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Etudiant\Desktop\stage_excel\"/>
    </mc:Choice>
  </mc:AlternateContent>
  <xr:revisionPtr revIDLastSave="0" documentId="13_ncr:20001_{CD8DBAE2-B787-4D8C-A9B1-DF240901112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ey" sheetId="1" r:id="rId1"/>
    <sheet name="Data" sheetId="2" r:id="rId2"/>
    <sheet name="Weekly Data" sheetId="3" r:id="rId3"/>
    <sheet name="Reporting 2021" sheetId="4" r:id="rId4"/>
    <sheet name="Reporting 2022" sheetId="5" r:id="rId5"/>
    <sheet name="GRAPH NEW STRUCTURE" sheetId="6" r:id="rId6"/>
    <sheet name="Monthly Data" sheetId="7" r:id="rId7"/>
    <sheet name="Reporting" sheetId="8" r:id="rId8"/>
    <sheet name="AIA" sheetId="9" r:id="rId9"/>
    <sheet name="FCP+AIA" sheetId="10" r:id="rId10"/>
    <sheet name="Forecast 2020" sheetId="11" r:id="rId11"/>
    <sheet name="Daily Tracking" sheetId="12" r:id="rId12"/>
    <sheet name="Delivery Plan" sheetId="13" r:id="rId13"/>
    <sheet name="Reconciliation SOLUNE vs SAP" sheetId="14" r:id="rId14"/>
    <sheet name="GroupExport" sheetId="15" r:id="rId15"/>
  </sheets>
  <definedNames>
    <definedName name="_xlnm._FilterDatabase" localSheetId="12">'Delivery Plan'!$A$3:$N$561</definedName>
    <definedName name="CAT">Key!$C$2:$C$14</definedName>
    <definedName name="Dstatus">Key!$D$2:$D$7</definedName>
    <definedName name="_xlnm.Print_Titles" localSheetId="1">Data!$1:$2</definedName>
    <definedName name="On_Site">Key!$N$2:$N$3</definedName>
    <definedName name="Raison_externalisation">Key!$F$2:$F$9</definedName>
    <definedName name="Refuse">Key!$E$2:$E$6</definedName>
    <definedName name="_xlnm.Print_Area" localSheetId="3">'Reporting 2021'!$A$1:$AK$60</definedName>
    <definedName name="_xlnm.Print_Area" localSheetId="4">'Reporting 2022'!$A$1:$AM$60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2" i="15" l="1"/>
  <c r="I12" i="15"/>
  <c r="K12" i="15" s="1"/>
  <c r="F12" i="15"/>
  <c r="AL11" i="15"/>
  <c r="I11" i="15"/>
  <c r="K11" i="15" s="1"/>
  <c r="F11" i="15"/>
  <c r="AL10" i="15"/>
  <c r="I10" i="15"/>
  <c r="K10" i="15" s="1"/>
  <c r="M10" i="15" s="1"/>
  <c r="O10" i="15" s="1"/>
  <c r="Q10" i="15" s="1"/>
  <c r="F10" i="15"/>
  <c r="AL9" i="15"/>
  <c r="AL8" i="15"/>
  <c r="AL7" i="15"/>
  <c r="I7" i="15"/>
  <c r="K7" i="15" s="1"/>
  <c r="H7" i="15"/>
  <c r="AL6" i="15"/>
  <c r="S6" i="15"/>
  <c r="R6" i="15"/>
  <c r="Q6" i="15"/>
  <c r="P6" i="15"/>
  <c r="O6" i="15"/>
  <c r="N6" i="15"/>
  <c r="M6" i="15"/>
  <c r="L6" i="15"/>
  <c r="K6" i="15"/>
  <c r="J6" i="15"/>
  <c r="I6" i="15"/>
  <c r="H6" i="15"/>
  <c r="AL5" i="15"/>
  <c r="AL4" i="15"/>
  <c r="AL3" i="15"/>
  <c r="S3" i="15"/>
  <c r="R3" i="15"/>
  <c r="Q3" i="15"/>
  <c r="AI3" i="15" s="1"/>
  <c r="P3" i="15"/>
  <c r="O3" i="15"/>
  <c r="N3" i="15"/>
  <c r="M3" i="15"/>
  <c r="L3" i="15"/>
  <c r="K3" i="15"/>
  <c r="J3" i="15"/>
  <c r="I3" i="15"/>
  <c r="H3" i="15"/>
  <c r="AF3" i="15" s="1"/>
  <c r="AL2" i="15"/>
  <c r="S2" i="15"/>
  <c r="R2" i="15"/>
  <c r="Q2" i="15"/>
  <c r="P2" i="15"/>
  <c r="O2" i="15"/>
  <c r="N2" i="15"/>
  <c r="M2" i="15"/>
  <c r="L2" i="15"/>
  <c r="K2" i="15"/>
  <c r="J2" i="15"/>
  <c r="I2" i="15"/>
  <c r="H2" i="15"/>
  <c r="Y14" i="14"/>
  <c r="Y13" i="14"/>
  <c r="Y12" i="14"/>
  <c r="T11" i="14"/>
  <c r="Q11" i="14"/>
  <c r="P11" i="14"/>
  <c r="Y11" i="14" s="1"/>
  <c r="T10" i="14"/>
  <c r="Q10" i="14"/>
  <c r="P10" i="14"/>
  <c r="Y10" i="14" s="1"/>
  <c r="Y9" i="14"/>
  <c r="Y8" i="14"/>
  <c r="W5" i="14"/>
  <c r="S5" i="14"/>
  <c r="S7" i="14" s="1"/>
  <c r="S15" i="14" s="1"/>
  <c r="E5" i="14"/>
  <c r="A5" i="14"/>
  <c r="V4" i="14"/>
  <c r="S4" i="14"/>
  <c r="R4" i="14"/>
  <c r="N4" i="14"/>
  <c r="W3" i="14"/>
  <c r="S3" i="14"/>
  <c r="N3" i="14"/>
  <c r="X1" i="14"/>
  <c r="X5" i="14" s="1"/>
  <c r="W1" i="14"/>
  <c r="W4" i="14" s="1"/>
  <c r="V1" i="14"/>
  <c r="V5" i="14" s="1"/>
  <c r="U1" i="14"/>
  <c r="U5" i="14" s="1"/>
  <c r="T1" i="14"/>
  <c r="T5" i="14" s="1"/>
  <c r="S1" i="14"/>
  <c r="S2" i="14" s="1"/>
  <c r="R1" i="14"/>
  <c r="R2" i="14" s="1"/>
  <c r="Q1" i="14"/>
  <c r="Q3" i="14" s="1"/>
  <c r="P1" i="14"/>
  <c r="P4" i="14" s="1"/>
  <c r="O1" i="14"/>
  <c r="O4" i="14" s="1"/>
  <c r="N1" i="14"/>
  <c r="N2" i="14" s="1"/>
  <c r="M1" i="14"/>
  <c r="M5" i="14" s="1"/>
  <c r="N561" i="13"/>
  <c r="F561" i="13"/>
  <c r="E561" i="13"/>
  <c r="G561" i="13" s="1"/>
  <c r="D561" i="13"/>
  <c r="C561" i="13" s="1"/>
  <c r="B561" i="13"/>
  <c r="A561" i="13"/>
  <c r="N560" i="13"/>
  <c r="F560" i="13"/>
  <c r="E560" i="13"/>
  <c r="M560" i="13" s="1"/>
  <c r="D560" i="13"/>
  <c r="C560" i="13" s="1"/>
  <c r="B560" i="13"/>
  <c r="A560" i="13"/>
  <c r="N559" i="13"/>
  <c r="F559" i="13"/>
  <c r="E559" i="13"/>
  <c r="J559" i="13" s="1"/>
  <c r="I559" i="13" s="1"/>
  <c r="D559" i="13"/>
  <c r="C559" i="13" s="1"/>
  <c r="B559" i="13"/>
  <c r="A559" i="13"/>
  <c r="N558" i="13"/>
  <c r="J558" i="13"/>
  <c r="I558" i="13" s="1"/>
  <c r="F558" i="13"/>
  <c r="E558" i="13"/>
  <c r="K558" i="13" s="1"/>
  <c r="D558" i="13"/>
  <c r="C558" i="13" s="1"/>
  <c r="B558" i="13"/>
  <c r="A558" i="13"/>
  <c r="N557" i="13"/>
  <c r="F557" i="13"/>
  <c r="E557" i="13"/>
  <c r="D557" i="13"/>
  <c r="C557" i="13" s="1"/>
  <c r="B557" i="13"/>
  <c r="A557" i="13"/>
  <c r="N556" i="13"/>
  <c r="F556" i="13"/>
  <c r="E556" i="13"/>
  <c r="M556" i="13" s="1"/>
  <c r="D556" i="13"/>
  <c r="C556" i="13" s="1"/>
  <c r="B556" i="13"/>
  <c r="A556" i="13"/>
  <c r="N555" i="13"/>
  <c r="F555" i="13"/>
  <c r="E555" i="13"/>
  <c r="L555" i="13" s="1"/>
  <c r="D555" i="13"/>
  <c r="C555" i="13" s="1"/>
  <c r="B555" i="13"/>
  <c r="A555" i="13"/>
  <c r="N554" i="13"/>
  <c r="F554" i="13"/>
  <c r="E554" i="13"/>
  <c r="M554" i="13" s="1"/>
  <c r="D554" i="13"/>
  <c r="C554" i="13" s="1"/>
  <c r="B554" i="13"/>
  <c r="A554" i="13"/>
  <c r="N553" i="13"/>
  <c r="K553" i="13"/>
  <c r="J553" i="13"/>
  <c r="I553" i="13" s="1"/>
  <c r="F553" i="13"/>
  <c r="E553" i="13"/>
  <c r="L553" i="13" s="1"/>
  <c r="D553" i="13"/>
  <c r="C553" i="13" s="1"/>
  <c r="B553" i="13"/>
  <c r="A553" i="13"/>
  <c r="N552" i="13"/>
  <c r="F552" i="13"/>
  <c r="E552" i="13"/>
  <c r="L552" i="13" s="1"/>
  <c r="D552" i="13"/>
  <c r="C552" i="13" s="1"/>
  <c r="B552" i="13"/>
  <c r="A552" i="13"/>
  <c r="N551" i="13"/>
  <c r="F551" i="13"/>
  <c r="E551" i="13"/>
  <c r="G551" i="13" s="1"/>
  <c r="D551" i="13"/>
  <c r="C551" i="13" s="1"/>
  <c r="B551" i="13"/>
  <c r="A551" i="13"/>
  <c r="N550" i="13"/>
  <c r="F550" i="13"/>
  <c r="E550" i="13"/>
  <c r="L550" i="13" s="1"/>
  <c r="D550" i="13"/>
  <c r="C550" i="13" s="1"/>
  <c r="B550" i="13"/>
  <c r="A550" i="13"/>
  <c r="N549" i="13"/>
  <c r="F549" i="13"/>
  <c r="E549" i="13"/>
  <c r="J549" i="13" s="1"/>
  <c r="I549" i="13" s="1"/>
  <c r="D549" i="13"/>
  <c r="C549" i="13" s="1"/>
  <c r="B549" i="13"/>
  <c r="A549" i="13"/>
  <c r="N548" i="13"/>
  <c r="F548" i="13"/>
  <c r="E548" i="13"/>
  <c r="K548" i="13" s="1"/>
  <c r="D548" i="13"/>
  <c r="C548" i="13" s="1"/>
  <c r="B548" i="13"/>
  <c r="A548" i="13"/>
  <c r="N547" i="13"/>
  <c r="F547" i="13"/>
  <c r="E547" i="13"/>
  <c r="J547" i="13" s="1"/>
  <c r="I547" i="13" s="1"/>
  <c r="D547" i="13"/>
  <c r="C547" i="13" s="1"/>
  <c r="B547" i="13"/>
  <c r="A547" i="13"/>
  <c r="N546" i="13"/>
  <c r="F546" i="13"/>
  <c r="E546" i="13"/>
  <c r="K546" i="13" s="1"/>
  <c r="D546" i="13"/>
  <c r="C546" i="13" s="1"/>
  <c r="B546" i="13"/>
  <c r="A546" i="13"/>
  <c r="N545" i="13"/>
  <c r="F545" i="13"/>
  <c r="E545" i="13"/>
  <c r="D545" i="13"/>
  <c r="C545" i="13" s="1"/>
  <c r="B545" i="13"/>
  <c r="A545" i="13"/>
  <c r="N544" i="13"/>
  <c r="F544" i="13"/>
  <c r="E544" i="13"/>
  <c r="M544" i="13" s="1"/>
  <c r="D544" i="13"/>
  <c r="C544" i="13" s="1"/>
  <c r="B544" i="13"/>
  <c r="A544" i="13"/>
  <c r="N543" i="13"/>
  <c r="F543" i="13"/>
  <c r="E543" i="13"/>
  <c r="L543" i="13" s="1"/>
  <c r="D543" i="13"/>
  <c r="C543" i="13" s="1"/>
  <c r="B543" i="13"/>
  <c r="A543" i="13"/>
  <c r="N542" i="13"/>
  <c r="F542" i="13"/>
  <c r="E542" i="13"/>
  <c r="M542" i="13" s="1"/>
  <c r="D542" i="13"/>
  <c r="C542" i="13" s="1"/>
  <c r="B542" i="13"/>
  <c r="A542" i="13"/>
  <c r="N541" i="13"/>
  <c r="F541" i="13"/>
  <c r="E541" i="13"/>
  <c r="M541" i="13" s="1"/>
  <c r="D541" i="13"/>
  <c r="C541" i="13" s="1"/>
  <c r="B541" i="13"/>
  <c r="A541" i="13"/>
  <c r="N540" i="13"/>
  <c r="F540" i="13"/>
  <c r="E540" i="13"/>
  <c r="M540" i="13" s="1"/>
  <c r="D540" i="13"/>
  <c r="C540" i="13" s="1"/>
  <c r="B540" i="13"/>
  <c r="A540" i="13"/>
  <c r="N539" i="13"/>
  <c r="M539" i="13"/>
  <c r="L539" i="13"/>
  <c r="F539" i="13"/>
  <c r="E539" i="13"/>
  <c r="K539" i="13" s="1"/>
  <c r="D539" i="13"/>
  <c r="C539" i="13" s="1"/>
  <c r="B539" i="13"/>
  <c r="A539" i="13"/>
  <c r="N538" i="13"/>
  <c r="F538" i="13"/>
  <c r="E538" i="13"/>
  <c r="L538" i="13" s="1"/>
  <c r="D538" i="13"/>
  <c r="C538" i="13" s="1"/>
  <c r="B538" i="13"/>
  <c r="A538" i="13"/>
  <c r="N537" i="13"/>
  <c r="F537" i="13"/>
  <c r="E537" i="13"/>
  <c r="G537" i="13" s="1"/>
  <c r="D537" i="13"/>
  <c r="C537" i="13" s="1"/>
  <c r="B537" i="13"/>
  <c r="A537" i="13"/>
  <c r="N536" i="13"/>
  <c r="F536" i="13"/>
  <c r="E536" i="13"/>
  <c r="K536" i="13" s="1"/>
  <c r="D536" i="13"/>
  <c r="C536" i="13" s="1"/>
  <c r="B536" i="13"/>
  <c r="A536" i="13"/>
  <c r="N535" i="13"/>
  <c r="F535" i="13"/>
  <c r="E535" i="13"/>
  <c r="J535" i="13" s="1"/>
  <c r="I535" i="13" s="1"/>
  <c r="D535" i="13"/>
  <c r="C535" i="13" s="1"/>
  <c r="B535" i="13"/>
  <c r="A535" i="13"/>
  <c r="N534" i="13"/>
  <c r="F534" i="13"/>
  <c r="E534" i="13"/>
  <c r="K534" i="13" s="1"/>
  <c r="D534" i="13"/>
  <c r="C534" i="13" s="1"/>
  <c r="B534" i="13"/>
  <c r="A534" i="13"/>
  <c r="N533" i="13"/>
  <c r="F533" i="13"/>
  <c r="E533" i="13"/>
  <c r="D533" i="13"/>
  <c r="C533" i="13" s="1"/>
  <c r="B533" i="13"/>
  <c r="A533" i="13"/>
  <c r="N532" i="13"/>
  <c r="F532" i="13"/>
  <c r="E532" i="13"/>
  <c r="M532" i="13" s="1"/>
  <c r="D532" i="13"/>
  <c r="C532" i="13" s="1"/>
  <c r="B532" i="13"/>
  <c r="A532" i="13"/>
  <c r="N531" i="13"/>
  <c r="F531" i="13"/>
  <c r="E531" i="13"/>
  <c r="L531" i="13" s="1"/>
  <c r="D531" i="13"/>
  <c r="C531" i="13" s="1"/>
  <c r="B531" i="13"/>
  <c r="A531" i="13"/>
  <c r="N530" i="13"/>
  <c r="F530" i="13"/>
  <c r="E530" i="13"/>
  <c r="D530" i="13"/>
  <c r="C530" i="13" s="1"/>
  <c r="B530" i="13"/>
  <c r="A530" i="13"/>
  <c r="N529" i="13"/>
  <c r="L529" i="13"/>
  <c r="K529" i="13"/>
  <c r="J529" i="13"/>
  <c r="I529" i="13" s="1"/>
  <c r="F529" i="13"/>
  <c r="E529" i="13"/>
  <c r="M529" i="13" s="1"/>
  <c r="D529" i="13"/>
  <c r="C529" i="13" s="1"/>
  <c r="B529" i="13"/>
  <c r="A529" i="13"/>
  <c r="N528" i="13"/>
  <c r="L528" i="13"/>
  <c r="K528" i="13"/>
  <c r="J528" i="13"/>
  <c r="I528" i="13" s="1"/>
  <c r="F528" i="13"/>
  <c r="E528" i="13"/>
  <c r="G528" i="13" s="1"/>
  <c r="D528" i="13"/>
  <c r="C528" i="13" s="1"/>
  <c r="B528" i="13"/>
  <c r="A528" i="13"/>
  <c r="N527" i="13"/>
  <c r="M527" i="13"/>
  <c r="F527" i="13"/>
  <c r="E527" i="13"/>
  <c r="K527" i="13" s="1"/>
  <c r="D527" i="13"/>
  <c r="C527" i="13" s="1"/>
  <c r="B527" i="13"/>
  <c r="A527" i="13"/>
  <c r="N526" i="13"/>
  <c r="F526" i="13"/>
  <c r="E526" i="13"/>
  <c r="L526" i="13" s="1"/>
  <c r="D526" i="13"/>
  <c r="C526" i="13" s="1"/>
  <c r="B526" i="13"/>
  <c r="A526" i="13"/>
  <c r="N525" i="13"/>
  <c r="F525" i="13"/>
  <c r="E525" i="13"/>
  <c r="J525" i="13" s="1"/>
  <c r="I525" i="13" s="1"/>
  <c r="D525" i="13"/>
  <c r="C525" i="13" s="1"/>
  <c r="B525" i="13"/>
  <c r="A525" i="13"/>
  <c r="N524" i="13"/>
  <c r="F524" i="13"/>
  <c r="E524" i="13"/>
  <c r="K524" i="13" s="1"/>
  <c r="D524" i="13"/>
  <c r="C524" i="13" s="1"/>
  <c r="B524" i="13"/>
  <c r="A524" i="13"/>
  <c r="N523" i="13"/>
  <c r="M523" i="13"/>
  <c r="F523" i="13"/>
  <c r="E523" i="13"/>
  <c r="J523" i="13" s="1"/>
  <c r="I523" i="13" s="1"/>
  <c r="D523" i="13"/>
  <c r="C523" i="13"/>
  <c r="B523" i="13"/>
  <c r="A523" i="13"/>
  <c r="N522" i="13"/>
  <c r="F522" i="13"/>
  <c r="E522" i="13"/>
  <c r="K522" i="13" s="1"/>
  <c r="D522" i="13"/>
  <c r="C522" i="13" s="1"/>
  <c r="B522" i="13"/>
  <c r="A522" i="13"/>
  <c r="N521" i="13"/>
  <c r="F521" i="13"/>
  <c r="E521" i="13"/>
  <c r="D521" i="13"/>
  <c r="C521" i="13"/>
  <c r="B521" i="13"/>
  <c r="A521" i="13"/>
  <c r="N520" i="13"/>
  <c r="L520" i="13"/>
  <c r="F520" i="13"/>
  <c r="E520" i="13"/>
  <c r="M520" i="13" s="1"/>
  <c r="D520" i="13"/>
  <c r="C520" i="13" s="1"/>
  <c r="B520" i="13"/>
  <c r="A520" i="13"/>
  <c r="N519" i="13"/>
  <c r="G519" i="13"/>
  <c r="F519" i="13"/>
  <c r="E519" i="13"/>
  <c r="L519" i="13" s="1"/>
  <c r="D519" i="13"/>
  <c r="C519" i="13" s="1"/>
  <c r="B519" i="13"/>
  <c r="A519" i="13"/>
  <c r="N518" i="13"/>
  <c r="F518" i="13"/>
  <c r="E518" i="13"/>
  <c r="D518" i="13"/>
  <c r="C518" i="13" s="1"/>
  <c r="B518" i="13"/>
  <c r="A518" i="13"/>
  <c r="N517" i="13"/>
  <c r="F517" i="13"/>
  <c r="E517" i="13"/>
  <c r="G517" i="13" s="1"/>
  <c r="D517" i="13"/>
  <c r="C517" i="13" s="1"/>
  <c r="B517" i="13"/>
  <c r="A517" i="13"/>
  <c r="N516" i="13"/>
  <c r="F516" i="13"/>
  <c r="E516" i="13"/>
  <c r="D516" i="13"/>
  <c r="C516" i="13" s="1"/>
  <c r="B516" i="13"/>
  <c r="A516" i="13"/>
  <c r="N515" i="13"/>
  <c r="F515" i="13"/>
  <c r="E515" i="13"/>
  <c r="K515" i="13" s="1"/>
  <c r="D515" i="13"/>
  <c r="C515" i="13" s="1"/>
  <c r="B515" i="13"/>
  <c r="A515" i="13"/>
  <c r="N514" i="13"/>
  <c r="M514" i="13"/>
  <c r="J514" i="13"/>
  <c r="I514" i="13" s="1"/>
  <c r="F514" i="13"/>
  <c r="E514" i="13"/>
  <c r="L514" i="13" s="1"/>
  <c r="D514" i="13"/>
  <c r="C514" i="13" s="1"/>
  <c r="B514" i="13"/>
  <c r="A514" i="13"/>
  <c r="N513" i="13"/>
  <c r="J513" i="13"/>
  <c r="I513" i="13" s="1"/>
  <c r="F513" i="13"/>
  <c r="E513" i="13"/>
  <c r="M513" i="13" s="1"/>
  <c r="D513" i="13"/>
  <c r="C513" i="13" s="1"/>
  <c r="B513" i="13"/>
  <c r="A513" i="13"/>
  <c r="N512" i="13"/>
  <c r="F512" i="13"/>
  <c r="E512" i="13"/>
  <c r="K512" i="13" s="1"/>
  <c r="D512" i="13"/>
  <c r="C512" i="13" s="1"/>
  <c r="B512" i="13"/>
  <c r="A512" i="13"/>
  <c r="N511" i="13"/>
  <c r="F511" i="13"/>
  <c r="E511" i="13"/>
  <c r="J511" i="13" s="1"/>
  <c r="I511" i="13" s="1"/>
  <c r="D511" i="13"/>
  <c r="C511" i="13" s="1"/>
  <c r="B511" i="13"/>
  <c r="A511" i="13"/>
  <c r="N510" i="13"/>
  <c r="F510" i="13"/>
  <c r="E510" i="13"/>
  <c r="K510" i="13" s="1"/>
  <c r="D510" i="13"/>
  <c r="C510" i="13" s="1"/>
  <c r="B510" i="13"/>
  <c r="A510" i="13"/>
  <c r="N509" i="13"/>
  <c r="F509" i="13"/>
  <c r="E509" i="13"/>
  <c r="D509" i="13"/>
  <c r="C509" i="13" s="1"/>
  <c r="B509" i="13"/>
  <c r="A509" i="13"/>
  <c r="N508" i="13"/>
  <c r="F508" i="13"/>
  <c r="E508" i="13"/>
  <c r="M508" i="13" s="1"/>
  <c r="D508" i="13"/>
  <c r="C508" i="13" s="1"/>
  <c r="B508" i="13"/>
  <c r="A508" i="13"/>
  <c r="N507" i="13"/>
  <c r="F507" i="13"/>
  <c r="E507" i="13"/>
  <c r="M507" i="13" s="1"/>
  <c r="D507" i="13"/>
  <c r="C507" i="13" s="1"/>
  <c r="B507" i="13"/>
  <c r="A507" i="13"/>
  <c r="N506" i="13"/>
  <c r="F506" i="13"/>
  <c r="E506" i="13"/>
  <c r="D506" i="13"/>
  <c r="C506" i="13" s="1"/>
  <c r="B506" i="13"/>
  <c r="A506" i="13"/>
  <c r="N505" i="13"/>
  <c r="F505" i="13"/>
  <c r="E505" i="13"/>
  <c r="D505" i="13"/>
  <c r="C505" i="13" s="1"/>
  <c r="B505" i="13"/>
  <c r="A505" i="13"/>
  <c r="N504" i="13"/>
  <c r="M504" i="13"/>
  <c r="K504" i="13"/>
  <c r="F504" i="13"/>
  <c r="E504" i="13"/>
  <c r="J504" i="13" s="1"/>
  <c r="I504" i="13" s="1"/>
  <c r="D504" i="13"/>
  <c r="C504" i="13" s="1"/>
  <c r="B504" i="13"/>
  <c r="A504" i="13"/>
  <c r="N503" i="13"/>
  <c r="F503" i="13"/>
  <c r="E503" i="13"/>
  <c r="K503" i="13" s="1"/>
  <c r="D503" i="13"/>
  <c r="C503" i="13" s="1"/>
  <c r="B503" i="13"/>
  <c r="A503" i="13"/>
  <c r="N502" i="13"/>
  <c r="M502" i="13"/>
  <c r="F502" i="13"/>
  <c r="E502" i="13"/>
  <c r="L502" i="13" s="1"/>
  <c r="D502" i="13"/>
  <c r="C502" i="13"/>
  <c r="B502" i="13"/>
  <c r="A502" i="13"/>
  <c r="N501" i="13"/>
  <c r="M501" i="13"/>
  <c r="F501" i="13"/>
  <c r="E501" i="13"/>
  <c r="L501" i="13" s="1"/>
  <c r="D501" i="13"/>
  <c r="C501" i="13" s="1"/>
  <c r="B501" i="13"/>
  <c r="A501" i="13"/>
  <c r="N500" i="13"/>
  <c r="M500" i="13"/>
  <c r="F500" i="13"/>
  <c r="E500" i="13"/>
  <c r="K500" i="13" s="1"/>
  <c r="D500" i="13"/>
  <c r="C500" i="13" s="1"/>
  <c r="B500" i="13"/>
  <c r="A500" i="13"/>
  <c r="N499" i="13"/>
  <c r="F499" i="13"/>
  <c r="E499" i="13"/>
  <c r="J499" i="13" s="1"/>
  <c r="I499" i="13" s="1"/>
  <c r="D499" i="13"/>
  <c r="C499" i="13" s="1"/>
  <c r="B499" i="13"/>
  <c r="A499" i="13"/>
  <c r="N498" i="13"/>
  <c r="F498" i="13"/>
  <c r="E498" i="13"/>
  <c r="D498" i="13"/>
  <c r="C498" i="13" s="1"/>
  <c r="B498" i="13"/>
  <c r="A498" i="13"/>
  <c r="N497" i="13"/>
  <c r="F497" i="13"/>
  <c r="E497" i="13"/>
  <c r="D497" i="13"/>
  <c r="C497" i="13" s="1"/>
  <c r="B497" i="13"/>
  <c r="A497" i="13"/>
  <c r="N496" i="13"/>
  <c r="G496" i="13"/>
  <c r="F496" i="13"/>
  <c r="E496" i="13"/>
  <c r="K496" i="13" s="1"/>
  <c r="D496" i="13"/>
  <c r="C496" i="13" s="1"/>
  <c r="B496" i="13"/>
  <c r="A496" i="13"/>
  <c r="N495" i="13"/>
  <c r="F495" i="13"/>
  <c r="E495" i="13"/>
  <c r="D495" i="13"/>
  <c r="C495" i="13" s="1"/>
  <c r="B495" i="13"/>
  <c r="A495" i="13"/>
  <c r="N494" i="13"/>
  <c r="F494" i="13"/>
  <c r="E494" i="13"/>
  <c r="D494" i="13"/>
  <c r="C494" i="13" s="1"/>
  <c r="B494" i="13"/>
  <c r="A494" i="13"/>
  <c r="N493" i="13"/>
  <c r="L493" i="13"/>
  <c r="F493" i="13"/>
  <c r="E493" i="13"/>
  <c r="M493" i="13" s="1"/>
  <c r="D493" i="13"/>
  <c r="C493" i="13" s="1"/>
  <c r="B493" i="13"/>
  <c r="A493" i="13"/>
  <c r="N492" i="13"/>
  <c r="F492" i="13"/>
  <c r="E492" i="13"/>
  <c r="J492" i="13" s="1"/>
  <c r="I492" i="13" s="1"/>
  <c r="D492" i="13"/>
  <c r="C492" i="13" s="1"/>
  <c r="B492" i="13"/>
  <c r="A492" i="13"/>
  <c r="N491" i="13"/>
  <c r="F491" i="13"/>
  <c r="E491" i="13"/>
  <c r="K491" i="13" s="1"/>
  <c r="D491" i="13"/>
  <c r="C491" i="13" s="1"/>
  <c r="B491" i="13"/>
  <c r="A491" i="13"/>
  <c r="N490" i="13"/>
  <c r="F490" i="13"/>
  <c r="E490" i="13"/>
  <c r="M490" i="13" s="1"/>
  <c r="D490" i="13"/>
  <c r="C490" i="13" s="1"/>
  <c r="B490" i="13"/>
  <c r="A490" i="13"/>
  <c r="N489" i="13"/>
  <c r="F489" i="13"/>
  <c r="E489" i="13"/>
  <c r="J489" i="13" s="1"/>
  <c r="I489" i="13" s="1"/>
  <c r="D489" i="13"/>
  <c r="C489" i="13" s="1"/>
  <c r="B489" i="13"/>
  <c r="A489" i="13"/>
  <c r="N488" i="13"/>
  <c r="F488" i="13"/>
  <c r="E488" i="13"/>
  <c r="K488" i="13" s="1"/>
  <c r="D488" i="13"/>
  <c r="C488" i="13" s="1"/>
  <c r="B488" i="13"/>
  <c r="A488" i="13"/>
  <c r="N487" i="13"/>
  <c r="F487" i="13"/>
  <c r="E487" i="13"/>
  <c r="M487" i="13" s="1"/>
  <c r="D487" i="13"/>
  <c r="C487" i="13" s="1"/>
  <c r="B487" i="13"/>
  <c r="A487" i="13"/>
  <c r="N486" i="13"/>
  <c r="F486" i="13"/>
  <c r="E486" i="13"/>
  <c r="D486" i="13"/>
  <c r="C486" i="13" s="1"/>
  <c r="B486" i="13"/>
  <c r="A486" i="13"/>
  <c r="N485" i="13"/>
  <c r="L485" i="13"/>
  <c r="F485" i="13"/>
  <c r="E485" i="13"/>
  <c r="K485" i="13" s="1"/>
  <c r="D485" i="13"/>
  <c r="C485" i="13" s="1"/>
  <c r="B485" i="13"/>
  <c r="A485" i="13"/>
  <c r="N484" i="13"/>
  <c r="F484" i="13"/>
  <c r="E484" i="13"/>
  <c r="K484" i="13" s="1"/>
  <c r="D484" i="13"/>
  <c r="C484" i="13" s="1"/>
  <c r="B484" i="13"/>
  <c r="A484" i="13"/>
  <c r="N483" i="13"/>
  <c r="F483" i="13"/>
  <c r="E483" i="13"/>
  <c r="M483" i="13" s="1"/>
  <c r="D483" i="13"/>
  <c r="C483" i="13" s="1"/>
  <c r="B483" i="13"/>
  <c r="A483" i="13"/>
  <c r="N482" i="13"/>
  <c r="F482" i="13"/>
  <c r="E482" i="13"/>
  <c r="D482" i="13"/>
  <c r="C482" i="13" s="1"/>
  <c r="B482" i="13"/>
  <c r="A482" i="13"/>
  <c r="N481" i="13"/>
  <c r="F481" i="13"/>
  <c r="E481" i="13"/>
  <c r="M481" i="13" s="1"/>
  <c r="D481" i="13"/>
  <c r="C481" i="13" s="1"/>
  <c r="B481" i="13"/>
  <c r="A481" i="13"/>
  <c r="N480" i="13"/>
  <c r="F480" i="13"/>
  <c r="E480" i="13"/>
  <c r="M480" i="13" s="1"/>
  <c r="D480" i="13"/>
  <c r="C480" i="13" s="1"/>
  <c r="B480" i="13"/>
  <c r="A480" i="13"/>
  <c r="N479" i="13"/>
  <c r="F479" i="13"/>
  <c r="E479" i="13"/>
  <c r="L479" i="13" s="1"/>
  <c r="D479" i="13"/>
  <c r="C479" i="13" s="1"/>
  <c r="B479" i="13"/>
  <c r="A479" i="13"/>
  <c r="N478" i="13"/>
  <c r="F478" i="13"/>
  <c r="E478" i="13"/>
  <c r="D478" i="13"/>
  <c r="C478" i="13" s="1"/>
  <c r="B478" i="13"/>
  <c r="A478" i="13"/>
  <c r="N477" i="13"/>
  <c r="F477" i="13"/>
  <c r="E477" i="13"/>
  <c r="M477" i="13" s="1"/>
  <c r="D477" i="13"/>
  <c r="C477" i="13" s="1"/>
  <c r="B477" i="13"/>
  <c r="A477" i="13"/>
  <c r="N476" i="13"/>
  <c r="F476" i="13"/>
  <c r="E476" i="13"/>
  <c r="D476" i="13"/>
  <c r="C476" i="13"/>
  <c r="B476" i="13"/>
  <c r="A476" i="13"/>
  <c r="N475" i="13"/>
  <c r="F475" i="13"/>
  <c r="E475" i="13"/>
  <c r="D475" i="13"/>
  <c r="C475" i="13" s="1"/>
  <c r="B475" i="13"/>
  <c r="A475" i="13"/>
  <c r="N474" i="13"/>
  <c r="F474" i="13"/>
  <c r="E474" i="13"/>
  <c r="D474" i="13"/>
  <c r="C474" i="13" s="1"/>
  <c r="B474" i="13"/>
  <c r="A474" i="13"/>
  <c r="N473" i="13"/>
  <c r="F473" i="13"/>
  <c r="E473" i="13"/>
  <c r="D473" i="13"/>
  <c r="C473" i="13" s="1"/>
  <c r="B473" i="13"/>
  <c r="A473" i="13"/>
  <c r="N472" i="13"/>
  <c r="F472" i="13"/>
  <c r="E472" i="13"/>
  <c r="M472" i="13" s="1"/>
  <c r="D472" i="13"/>
  <c r="C472" i="13" s="1"/>
  <c r="B472" i="13"/>
  <c r="A472" i="13"/>
  <c r="N471" i="13"/>
  <c r="F471" i="13"/>
  <c r="E471" i="13"/>
  <c r="M471" i="13" s="1"/>
  <c r="D471" i="13"/>
  <c r="C471" i="13" s="1"/>
  <c r="B471" i="13"/>
  <c r="A471" i="13"/>
  <c r="N470" i="13"/>
  <c r="F470" i="13"/>
  <c r="E470" i="13"/>
  <c r="M470" i="13" s="1"/>
  <c r="D470" i="13"/>
  <c r="C470" i="13"/>
  <c r="B470" i="13"/>
  <c r="A470" i="13"/>
  <c r="N469" i="13"/>
  <c r="F469" i="13"/>
  <c r="E469" i="13"/>
  <c r="M469" i="13" s="1"/>
  <c r="D469" i="13"/>
  <c r="C469" i="13"/>
  <c r="B469" i="13"/>
  <c r="A469" i="13"/>
  <c r="N468" i="13"/>
  <c r="G468" i="13"/>
  <c r="F468" i="13"/>
  <c r="E468" i="13"/>
  <c r="M468" i="13" s="1"/>
  <c r="D468" i="13"/>
  <c r="C468" i="13" s="1"/>
  <c r="B468" i="13"/>
  <c r="A468" i="13"/>
  <c r="N467" i="13"/>
  <c r="F467" i="13"/>
  <c r="E467" i="13"/>
  <c r="G467" i="13" s="1"/>
  <c r="D467" i="13"/>
  <c r="C467" i="13" s="1"/>
  <c r="B467" i="13"/>
  <c r="A467" i="13"/>
  <c r="N466" i="13"/>
  <c r="F466" i="13"/>
  <c r="E466" i="13"/>
  <c r="L466" i="13" s="1"/>
  <c r="D466" i="13"/>
  <c r="C466" i="13" s="1"/>
  <c r="B466" i="13"/>
  <c r="A466" i="13"/>
  <c r="N465" i="13"/>
  <c r="G465" i="13"/>
  <c r="F465" i="13"/>
  <c r="E465" i="13"/>
  <c r="K465" i="13" s="1"/>
  <c r="D465" i="13"/>
  <c r="C465" i="13" s="1"/>
  <c r="B465" i="13"/>
  <c r="A465" i="13"/>
  <c r="N464" i="13"/>
  <c r="G464" i="13"/>
  <c r="F464" i="13"/>
  <c r="E464" i="13"/>
  <c r="L464" i="13" s="1"/>
  <c r="D464" i="13"/>
  <c r="C464" i="13" s="1"/>
  <c r="B464" i="13"/>
  <c r="A464" i="13"/>
  <c r="N463" i="13"/>
  <c r="J463" i="13"/>
  <c r="I463" i="13" s="1"/>
  <c r="F463" i="13"/>
  <c r="E463" i="13"/>
  <c r="M463" i="13" s="1"/>
  <c r="D463" i="13"/>
  <c r="C463" i="13" s="1"/>
  <c r="B463" i="13"/>
  <c r="A463" i="13"/>
  <c r="N462" i="13"/>
  <c r="F462" i="13"/>
  <c r="E462" i="13"/>
  <c r="D462" i="13"/>
  <c r="C462" i="13" s="1"/>
  <c r="B462" i="13"/>
  <c r="A462" i="13"/>
  <c r="N461" i="13"/>
  <c r="F461" i="13"/>
  <c r="E461" i="13"/>
  <c r="D461" i="13"/>
  <c r="C461" i="13" s="1"/>
  <c r="B461" i="13"/>
  <c r="A461" i="13"/>
  <c r="N460" i="13"/>
  <c r="F460" i="13"/>
  <c r="E460" i="13"/>
  <c r="L460" i="13" s="1"/>
  <c r="D460" i="13"/>
  <c r="C460" i="13" s="1"/>
  <c r="B460" i="13"/>
  <c r="A460" i="13"/>
  <c r="N459" i="13"/>
  <c r="F459" i="13"/>
  <c r="E459" i="13"/>
  <c r="M459" i="13" s="1"/>
  <c r="D459" i="13"/>
  <c r="C459" i="13" s="1"/>
  <c r="B459" i="13"/>
  <c r="A459" i="13"/>
  <c r="N458" i="13"/>
  <c r="F458" i="13"/>
  <c r="E458" i="13"/>
  <c r="M458" i="13" s="1"/>
  <c r="D458" i="13"/>
  <c r="C458" i="13" s="1"/>
  <c r="B458" i="13"/>
  <c r="A458" i="13"/>
  <c r="N457" i="13"/>
  <c r="F457" i="13"/>
  <c r="E457" i="13"/>
  <c r="M457" i="13" s="1"/>
  <c r="D457" i="13"/>
  <c r="C457" i="13" s="1"/>
  <c r="B457" i="13"/>
  <c r="A457" i="13"/>
  <c r="N456" i="13"/>
  <c r="L456" i="13"/>
  <c r="F456" i="13"/>
  <c r="E456" i="13"/>
  <c r="M456" i="13" s="1"/>
  <c r="D456" i="13"/>
  <c r="C456" i="13" s="1"/>
  <c r="B456" i="13"/>
  <c r="A456" i="13"/>
  <c r="N455" i="13"/>
  <c r="M455" i="13"/>
  <c r="F455" i="13"/>
  <c r="E455" i="13"/>
  <c r="G455" i="13" s="1"/>
  <c r="D455" i="13"/>
  <c r="C455" i="13" s="1"/>
  <c r="B455" i="13"/>
  <c r="A455" i="13"/>
  <c r="N454" i="13"/>
  <c r="G454" i="13"/>
  <c r="F454" i="13"/>
  <c r="E454" i="13"/>
  <c r="M454" i="13" s="1"/>
  <c r="D454" i="13"/>
  <c r="C454" i="13" s="1"/>
  <c r="B454" i="13"/>
  <c r="A454" i="13"/>
  <c r="N453" i="13"/>
  <c r="F453" i="13"/>
  <c r="E453" i="13"/>
  <c r="J453" i="13" s="1"/>
  <c r="I453" i="13" s="1"/>
  <c r="D453" i="13"/>
  <c r="C453" i="13" s="1"/>
  <c r="B453" i="13"/>
  <c r="A453" i="13"/>
  <c r="N452" i="13"/>
  <c r="F452" i="13"/>
  <c r="E452" i="13"/>
  <c r="M452" i="13" s="1"/>
  <c r="D452" i="13"/>
  <c r="C452" i="13" s="1"/>
  <c r="B452" i="13"/>
  <c r="A452" i="13"/>
  <c r="N451" i="13"/>
  <c r="F451" i="13"/>
  <c r="E451" i="13"/>
  <c r="L451" i="13" s="1"/>
  <c r="D451" i="13"/>
  <c r="C451" i="13" s="1"/>
  <c r="B451" i="13"/>
  <c r="A451" i="13"/>
  <c r="N450" i="13"/>
  <c r="F450" i="13"/>
  <c r="E450" i="13"/>
  <c r="D450" i="13"/>
  <c r="C450" i="13" s="1"/>
  <c r="B450" i="13"/>
  <c r="A450" i="13"/>
  <c r="N449" i="13"/>
  <c r="F449" i="13"/>
  <c r="E449" i="13"/>
  <c r="D449" i="13"/>
  <c r="C449" i="13" s="1"/>
  <c r="B449" i="13"/>
  <c r="A449" i="13"/>
  <c r="N448" i="13"/>
  <c r="F448" i="13"/>
  <c r="E448" i="13"/>
  <c r="L448" i="13" s="1"/>
  <c r="D448" i="13"/>
  <c r="C448" i="13" s="1"/>
  <c r="B448" i="13"/>
  <c r="A448" i="13"/>
  <c r="N447" i="13"/>
  <c r="F447" i="13"/>
  <c r="E447" i="13"/>
  <c r="M447" i="13" s="1"/>
  <c r="D447" i="13"/>
  <c r="C447" i="13" s="1"/>
  <c r="B447" i="13"/>
  <c r="A447" i="13"/>
  <c r="N446" i="13"/>
  <c r="F446" i="13"/>
  <c r="E446" i="13"/>
  <c r="M446" i="13" s="1"/>
  <c r="D446" i="13"/>
  <c r="C446" i="13" s="1"/>
  <c r="B446" i="13"/>
  <c r="A446" i="13"/>
  <c r="N445" i="13"/>
  <c r="G445" i="13"/>
  <c r="F445" i="13"/>
  <c r="E445" i="13"/>
  <c r="M445" i="13" s="1"/>
  <c r="D445" i="13"/>
  <c r="C445" i="13"/>
  <c r="B445" i="13"/>
  <c r="A445" i="13"/>
  <c r="N444" i="13"/>
  <c r="F444" i="13"/>
  <c r="E444" i="13"/>
  <c r="M444" i="13" s="1"/>
  <c r="D444" i="13"/>
  <c r="C444" i="13" s="1"/>
  <c r="B444" i="13"/>
  <c r="A444" i="13"/>
  <c r="N443" i="13"/>
  <c r="F443" i="13"/>
  <c r="E443" i="13"/>
  <c r="G443" i="13" s="1"/>
  <c r="D443" i="13"/>
  <c r="C443" i="13" s="1"/>
  <c r="B443" i="13"/>
  <c r="A443" i="13"/>
  <c r="N442" i="13"/>
  <c r="M442" i="13"/>
  <c r="F442" i="13"/>
  <c r="E442" i="13"/>
  <c r="G442" i="13" s="1"/>
  <c r="D442" i="13"/>
  <c r="C442" i="13" s="1"/>
  <c r="B442" i="13"/>
  <c r="A442" i="13"/>
  <c r="N441" i="13"/>
  <c r="G441" i="13"/>
  <c r="F441" i="13"/>
  <c r="E441" i="13"/>
  <c r="J441" i="13" s="1"/>
  <c r="I441" i="13" s="1"/>
  <c r="D441" i="13"/>
  <c r="C441" i="13" s="1"/>
  <c r="B441" i="13"/>
  <c r="A441" i="13"/>
  <c r="N440" i="13"/>
  <c r="L440" i="13"/>
  <c r="F440" i="13"/>
  <c r="E440" i="13"/>
  <c r="K440" i="13" s="1"/>
  <c r="D440" i="13"/>
  <c r="C440" i="13" s="1"/>
  <c r="B440" i="13"/>
  <c r="A440" i="13"/>
  <c r="N439" i="13"/>
  <c r="F439" i="13"/>
  <c r="E439" i="13"/>
  <c r="L439" i="13" s="1"/>
  <c r="D439" i="13"/>
  <c r="C439" i="13" s="1"/>
  <c r="B439" i="13"/>
  <c r="A439" i="13"/>
  <c r="N438" i="13"/>
  <c r="F438" i="13"/>
  <c r="E438" i="13"/>
  <c r="D438" i="13"/>
  <c r="C438" i="13" s="1"/>
  <c r="B438" i="13"/>
  <c r="A438" i="13"/>
  <c r="N437" i="13"/>
  <c r="F437" i="13"/>
  <c r="E437" i="13"/>
  <c r="D437" i="13"/>
  <c r="C437" i="13" s="1"/>
  <c r="B437" i="13"/>
  <c r="A437" i="13"/>
  <c r="N436" i="13"/>
  <c r="F436" i="13"/>
  <c r="E436" i="13"/>
  <c r="L436" i="13" s="1"/>
  <c r="D436" i="13"/>
  <c r="C436" i="13" s="1"/>
  <c r="B436" i="13"/>
  <c r="A436" i="13"/>
  <c r="N435" i="13"/>
  <c r="F435" i="13"/>
  <c r="E435" i="13"/>
  <c r="M435" i="13" s="1"/>
  <c r="D435" i="13"/>
  <c r="C435" i="13" s="1"/>
  <c r="B435" i="13"/>
  <c r="A435" i="13"/>
  <c r="N434" i="13"/>
  <c r="J434" i="13"/>
  <c r="I434" i="13" s="1"/>
  <c r="F434" i="13"/>
  <c r="E434" i="13"/>
  <c r="M434" i="13" s="1"/>
  <c r="D434" i="13"/>
  <c r="C434" i="13" s="1"/>
  <c r="B434" i="13"/>
  <c r="A434" i="13"/>
  <c r="N433" i="13"/>
  <c r="K433" i="13"/>
  <c r="F433" i="13"/>
  <c r="E433" i="13"/>
  <c r="L433" i="13" s="1"/>
  <c r="D433" i="13"/>
  <c r="C433" i="13" s="1"/>
  <c r="B433" i="13"/>
  <c r="A433" i="13"/>
  <c r="N432" i="13"/>
  <c r="F432" i="13"/>
  <c r="E432" i="13"/>
  <c r="M432" i="13" s="1"/>
  <c r="D432" i="13"/>
  <c r="C432" i="13" s="1"/>
  <c r="B432" i="13"/>
  <c r="A432" i="13"/>
  <c r="N431" i="13"/>
  <c r="J431" i="13"/>
  <c r="I431" i="13" s="1"/>
  <c r="F431" i="13"/>
  <c r="E431" i="13"/>
  <c r="G431" i="13" s="1"/>
  <c r="D431" i="13"/>
  <c r="C431" i="13" s="1"/>
  <c r="B431" i="13"/>
  <c r="A431" i="13"/>
  <c r="N430" i="13"/>
  <c r="J430" i="13"/>
  <c r="I430" i="13" s="1"/>
  <c r="F430" i="13"/>
  <c r="E430" i="13"/>
  <c r="K430" i="13" s="1"/>
  <c r="D430" i="13"/>
  <c r="C430" i="13" s="1"/>
  <c r="B430" i="13"/>
  <c r="A430" i="13"/>
  <c r="N429" i="13"/>
  <c r="F429" i="13"/>
  <c r="E429" i="13"/>
  <c r="J429" i="13" s="1"/>
  <c r="I429" i="13" s="1"/>
  <c r="D429" i="13"/>
  <c r="C429" i="13" s="1"/>
  <c r="B429" i="13"/>
  <c r="A429" i="13"/>
  <c r="N428" i="13"/>
  <c r="F428" i="13"/>
  <c r="E428" i="13"/>
  <c r="K428" i="13" s="1"/>
  <c r="D428" i="13"/>
  <c r="C428" i="13" s="1"/>
  <c r="B428" i="13"/>
  <c r="A428" i="13"/>
  <c r="N427" i="13"/>
  <c r="M427" i="13"/>
  <c r="G427" i="13"/>
  <c r="F427" i="13"/>
  <c r="E427" i="13"/>
  <c r="L427" i="13" s="1"/>
  <c r="D427" i="13"/>
  <c r="C427" i="13" s="1"/>
  <c r="B427" i="13"/>
  <c r="A427" i="13"/>
  <c r="N426" i="13"/>
  <c r="F426" i="13"/>
  <c r="E426" i="13"/>
  <c r="D426" i="13"/>
  <c r="C426" i="13" s="1"/>
  <c r="B426" i="13"/>
  <c r="A426" i="13"/>
  <c r="N425" i="13"/>
  <c r="F425" i="13"/>
  <c r="E425" i="13"/>
  <c r="D425" i="13"/>
  <c r="C425" i="13" s="1"/>
  <c r="B425" i="13"/>
  <c r="A425" i="13"/>
  <c r="N424" i="13"/>
  <c r="F424" i="13"/>
  <c r="E424" i="13"/>
  <c r="L424" i="13" s="1"/>
  <c r="D424" i="13"/>
  <c r="C424" i="13" s="1"/>
  <c r="B424" i="13"/>
  <c r="A424" i="13"/>
  <c r="N423" i="13"/>
  <c r="F423" i="13"/>
  <c r="E423" i="13"/>
  <c r="M423" i="13" s="1"/>
  <c r="D423" i="13"/>
  <c r="C423" i="13" s="1"/>
  <c r="B423" i="13"/>
  <c r="A423" i="13"/>
  <c r="N422" i="13"/>
  <c r="J422" i="13"/>
  <c r="I422" i="13" s="1"/>
  <c r="F422" i="13"/>
  <c r="E422" i="13"/>
  <c r="M422" i="13" s="1"/>
  <c r="D422" i="13"/>
  <c r="C422" i="13" s="1"/>
  <c r="B422" i="13"/>
  <c r="A422" i="13"/>
  <c r="N421" i="13"/>
  <c r="F421" i="13"/>
  <c r="E421" i="13"/>
  <c r="M421" i="13" s="1"/>
  <c r="D421" i="13"/>
  <c r="C421" i="13" s="1"/>
  <c r="B421" i="13"/>
  <c r="A421" i="13"/>
  <c r="N420" i="13"/>
  <c r="F420" i="13"/>
  <c r="E420" i="13"/>
  <c r="M420" i="13" s="1"/>
  <c r="D420" i="13"/>
  <c r="C420" i="13" s="1"/>
  <c r="B420" i="13"/>
  <c r="A420" i="13"/>
  <c r="N419" i="13"/>
  <c r="F419" i="13"/>
  <c r="E419" i="13"/>
  <c r="G419" i="13" s="1"/>
  <c r="D419" i="13"/>
  <c r="C419" i="13" s="1"/>
  <c r="B419" i="13"/>
  <c r="A419" i="13"/>
  <c r="N418" i="13"/>
  <c r="F418" i="13"/>
  <c r="E418" i="13"/>
  <c r="M418" i="13" s="1"/>
  <c r="D418" i="13"/>
  <c r="C418" i="13" s="1"/>
  <c r="B418" i="13"/>
  <c r="A418" i="13"/>
  <c r="N417" i="13"/>
  <c r="G417" i="13"/>
  <c r="F417" i="13"/>
  <c r="E417" i="13"/>
  <c r="J417" i="13" s="1"/>
  <c r="I417" i="13" s="1"/>
  <c r="D417" i="13"/>
  <c r="C417" i="13" s="1"/>
  <c r="B417" i="13"/>
  <c r="A417" i="13"/>
  <c r="N416" i="13"/>
  <c r="M416" i="13"/>
  <c r="G416" i="13"/>
  <c r="F416" i="13"/>
  <c r="E416" i="13"/>
  <c r="L416" i="13" s="1"/>
  <c r="D416" i="13"/>
  <c r="C416" i="13" s="1"/>
  <c r="B416" i="13"/>
  <c r="A416" i="13"/>
  <c r="N415" i="13"/>
  <c r="F415" i="13"/>
  <c r="E415" i="13"/>
  <c r="D415" i="13"/>
  <c r="C415" i="13" s="1"/>
  <c r="B415" i="13"/>
  <c r="A415" i="13"/>
  <c r="N414" i="13"/>
  <c r="F414" i="13"/>
  <c r="E414" i="13"/>
  <c r="D414" i="13"/>
  <c r="C414" i="13" s="1"/>
  <c r="B414" i="13"/>
  <c r="A414" i="13"/>
  <c r="N413" i="13"/>
  <c r="F413" i="13"/>
  <c r="E413" i="13"/>
  <c r="D413" i="13"/>
  <c r="C413" i="13" s="1"/>
  <c r="B413" i="13"/>
  <c r="A413" i="13"/>
  <c r="N412" i="13"/>
  <c r="F412" i="13"/>
  <c r="E412" i="13"/>
  <c r="L412" i="13" s="1"/>
  <c r="D412" i="13"/>
  <c r="C412" i="13" s="1"/>
  <c r="B412" i="13"/>
  <c r="A412" i="13"/>
  <c r="N411" i="13"/>
  <c r="G411" i="13"/>
  <c r="F411" i="13"/>
  <c r="E411" i="13"/>
  <c r="M411" i="13" s="1"/>
  <c r="D411" i="13"/>
  <c r="C411" i="13" s="1"/>
  <c r="B411" i="13"/>
  <c r="A411" i="13"/>
  <c r="N410" i="13"/>
  <c r="F410" i="13"/>
  <c r="E410" i="13"/>
  <c r="M410" i="13" s="1"/>
  <c r="D410" i="13"/>
  <c r="C410" i="13" s="1"/>
  <c r="B410" i="13"/>
  <c r="A410" i="13"/>
  <c r="N409" i="13"/>
  <c r="F409" i="13"/>
  <c r="E409" i="13"/>
  <c r="M409" i="13" s="1"/>
  <c r="D409" i="13"/>
  <c r="C409" i="13" s="1"/>
  <c r="B409" i="13"/>
  <c r="A409" i="13"/>
  <c r="N408" i="13"/>
  <c r="F408" i="13"/>
  <c r="E408" i="13"/>
  <c r="M408" i="13" s="1"/>
  <c r="D408" i="13"/>
  <c r="C408" i="13" s="1"/>
  <c r="B408" i="13"/>
  <c r="A408" i="13"/>
  <c r="N407" i="13"/>
  <c r="L407" i="13"/>
  <c r="F407" i="13"/>
  <c r="E407" i="13"/>
  <c r="G407" i="13" s="1"/>
  <c r="D407" i="13"/>
  <c r="C407" i="13" s="1"/>
  <c r="B407" i="13"/>
  <c r="A407" i="13"/>
  <c r="N406" i="13"/>
  <c r="F406" i="13"/>
  <c r="E406" i="13"/>
  <c r="M406" i="13" s="1"/>
  <c r="D406" i="13"/>
  <c r="C406" i="13" s="1"/>
  <c r="B406" i="13"/>
  <c r="A406" i="13"/>
  <c r="N405" i="13"/>
  <c r="F405" i="13"/>
  <c r="E405" i="13"/>
  <c r="J405" i="13" s="1"/>
  <c r="I405" i="13" s="1"/>
  <c r="D405" i="13"/>
  <c r="C405" i="13" s="1"/>
  <c r="B405" i="13"/>
  <c r="A405" i="13"/>
  <c r="N404" i="13"/>
  <c r="F404" i="13"/>
  <c r="E404" i="13"/>
  <c r="K404" i="13" s="1"/>
  <c r="D404" i="13"/>
  <c r="C404" i="13" s="1"/>
  <c r="B404" i="13"/>
  <c r="A404" i="13"/>
  <c r="N403" i="13"/>
  <c r="F403" i="13"/>
  <c r="E403" i="13"/>
  <c r="L403" i="13" s="1"/>
  <c r="D403" i="13"/>
  <c r="C403" i="13" s="1"/>
  <c r="B403" i="13"/>
  <c r="A403" i="13"/>
  <c r="N402" i="13"/>
  <c r="F402" i="13"/>
  <c r="E402" i="13"/>
  <c r="D402" i="13"/>
  <c r="C402" i="13" s="1"/>
  <c r="B402" i="13"/>
  <c r="A402" i="13"/>
  <c r="N401" i="13"/>
  <c r="F401" i="13"/>
  <c r="E401" i="13"/>
  <c r="D401" i="13"/>
  <c r="C401" i="13" s="1"/>
  <c r="B401" i="13"/>
  <c r="A401" i="13"/>
  <c r="N400" i="13"/>
  <c r="F400" i="13"/>
  <c r="E400" i="13"/>
  <c r="L400" i="13" s="1"/>
  <c r="D400" i="13"/>
  <c r="C400" i="13" s="1"/>
  <c r="B400" i="13"/>
  <c r="A400" i="13"/>
  <c r="N399" i="13"/>
  <c r="F399" i="13"/>
  <c r="E399" i="13"/>
  <c r="M399" i="13" s="1"/>
  <c r="D399" i="13"/>
  <c r="C399" i="13" s="1"/>
  <c r="B399" i="13"/>
  <c r="A399" i="13"/>
  <c r="N398" i="13"/>
  <c r="K398" i="13"/>
  <c r="G398" i="13"/>
  <c r="F398" i="13"/>
  <c r="E398" i="13"/>
  <c r="M398" i="13" s="1"/>
  <c r="D398" i="13"/>
  <c r="C398" i="13" s="1"/>
  <c r="B398" i="13"/>
  <c r="A398" i="13"/>
  <c r="N397" i="13"/>
  <c r="F397" i="13"/>
  <c r="E397" i="13"/>
  <c r="M397" i="13" s="1"/>
  <c r="D397" i="13"/>
  <c r="C397" i="13" s="1"/>
  <c r="B397" i="13"/>
  <c r="A397" i="13"/>
  <c r="N396" i="13"/>
  <c r="F396" i="13"/>
  <c r="E396" i="13"/>
  <c r="G396" i="13" s="1"/>
  <c r="D396" i="13"/>
  <c r="C396" i="13" s="1"/>
  <c r="B396" i="13"/>
  <c r="A396" i="13"/>
  <c r="N395" i="13"/>
  <c r="F395" i="13"/>
  <c r="E395" i="13"/>
  <c r="G395" i="13" s="1"/>
  <c r="D395" i="13"/>
  <c r="C395" i="13" s="1"/>
  <c r="B395" i="13"/>
  <c r="A395" i="13"/>
  <c r="N394" i="13"/>
  <c r="M394" i="13"/>
  <c r="F394" i="13"/>
  <c r="E394" i="13"/>
  <c r="J394" i="13" s="1"/>
  <c r="I394" i="13" s="1"/>
  <c r="D394" i="13"/>
  <c r="C394" i="13" s="1"/>
  <c r="B394" i="13"/>
  <c r="A394" i="13"/>
  <c r="N393" i="13"/>
  <c r="F393" i="13"/>
  <c r="E393" i="13"/>
  <c r="K393" i="13" s="1"/>
  <c r="D393" i="13"/>
  <c r="C393" i="13" s="1"/>
  <c r="B393" i="13"/>
  <c r="A393" i="13"/>
  <c r="N392" i="13"/>
  <c r="F392" i="13"/>
  <c r="E392" i="13"/>
  <c r="L392" i="13" s="1"/>
  <c r="D392" i="13"/>
  <c r="C392" i="13" s="1"/>
  <c r="B392" i="13"/>
  <c r="A392" i="13"/>
  <c r="N391" i="13"/>
  <c r="F391" i="13"/>
  <c r="E391" i="13"/>
  <c r="M391" i="13" s="1"/>
  <c r="D391" i="13"/>
  <c r="C391" i="13" s="1"/>
  <c r="B391" i="13"/>
  <c r="A391" i="13"/>
  <c r="N390" i="13"/>
  <c r="F390" i="13"/>
  <c r="E390" i="13"/>
  <c r="D390" i="13"/>
  <c r="C390" i="13" s="1"/>
  <c r="B390" i="13"/>
  <c r="A390" i="13"/>
  <c r="N389" i="13"/>
  <c r="F389" i="13"/>
  <c r="E389" i="13"/>
  <c r="D389" i="13"/>
  <c r="C389" i="13" s="1"/>
  <c r="B389" i="13"/>
  <c r="A389" i="13"/>
  <c r="N388" i="13"/>
  <c r="G388" i="13"/>
  <c r="F388" i="13"/>
  <c r="E388" i="13"/>
  <c r="M388" i="13" s="1"/>
  <c r="D388" i="13"/>
  <c r="C388" i="13" s="1"/>
  <c r="B388" i="13"/>
  <c r="A388" i="13"/>
  <c r="N387" i="13"/>
  <c r="F387" i="13"/>
  <c r="E387" i="13"/>
  <c r="M387" i="13" s="1"/>
  <c r="D387" i="13"/>
  <c r="C387" i="13" s="1"/>
  <c r="B387" i="13"/>
  <c r="A387" i="13"/>
  <c r="N386" i="13"/>
  <c r="F386" i="13"/>
  <c r="E386" i="13"/>
  <c r="M386" i="13" s="1"/>
  <c r="D386" i="13"/>
  <c r="C386" i="13" s="1"/>
  <c r="B386" i="13"/>
  <c r="A386" i="13"/>
  <c r="N385" i="13"/>
  <c r="F385" i="13"/>
  <c r="E385" i="13"/>
  <c r="D385" i="13"/>
  <c r="C385" i="13" s="1"/>
  <c r="B385" i="13"/>
  <c r="A385" i="13"/>
  <c r="N384" i="13"/>
  <c r="F384" i="13"/>
  <c r="E384" i="13"/>
  <c r="G384" i="13" s="1"/>
  <c r="D384" i="13"/>
  <c r="C384" i="13" s="1"/>
  <c r="B384" i="13"/>
  <c r="A384" i="13"/>
  <c r="N383" i="13"/>
  <c r="F383" i="13"/>
  <c r="E383" i="13"/>
  <c r="K383" i="13" s="1"/>
  <c r="D383" i="13"/>
  <c r="C383" i="13" s="1"/>
  <c r="B383" i="13"/>
  <c r="A383" i="13"/>
  <c r="N382" i="13"/>
  <c r="M382" i="13"/>
  <c r="F382" i="13"/>
  <c r="E382" i="13"/>
  <c r="J382" i="13" s="1"/>
  <c r="I382" i="13" s="1"/>
  <c r="D382" i="13"/>
  <c r="C382" i="13" s="1"/>
  <c r="B382" i="13"/>
  <c r="A382" i="13"/>
  <c r="N381" i="13"/>
  <c r="F381" i="13"/>
  <c r="E381" i="13"/>
  <c r="K381" i="13" s="1"/>
  <c r="D381" i="13"/>
  <c r="C381" i="13" s="1"/>
  <c r="B381" i="13"/>
  <c r="A381" i="13"/>
  <c r="N380" i="13"/>
  <c r="F380" i="13"/>
  <c r="E380" i="13"/>
  <c r="D380" i="13"/>
  <c r="C380" i="13" s="1"/>
  <c r="B380" i="13"/>
  <c r="A380" i="13"/>
  <c r="N379" i="13"/>
  <c r="F379" i="13"/>
  <c r="E379" i="13"/>
  <c r="M379" i="13" s="1"/>
  <c r="D379" i="13"/>
  <c r="C379" i="13" s="1"/>
  <c r="B379" i="13"/>
  <c r="A379" i="13"/>
  <c r="N378" i="13"/>
  <c r="F378" i="13"/>
  <c r="E378" i="13"/>
  <c r="D378" i="13"/>
  <c r="C378" i="13" s="1"/>
  <c r="B378" i="13"/>
  <c r="A378" i="13"/>
  <c r="N377" i="13"/>
  <c r="F377" i="13"/>
  <c r="E377" i="13"/>
  <c r="D377" i="13"/>
  <c r="C377" i="13" s="1"/>
  <c r="B377" i="13"/>
  <c r="A377" i="13"/>
  <c r="N376" i="13"/>
  <c r="G376" i="13"/>
  <c r="F376" i="13"/>
  <c r="E376" i="13"/>
  <c r="M376" i="13" s="1"/>
  <c r="D376" i="13"/>
  <c r="C376" i="13" s="1"/>
  <c r="B376" i="13"/>
  <c r="A376" i="13"/>
  <c r="N375" i="13"/>
  <c r="F375" i="13"/>
  <c r="E375" i="13"/>
  <c r="M375" i="13" s="1"/>
  <c r="D375" i="13"/>
  <c r="C375" i="13" s="1"/>
  <c r="B375" i="13"/>
  <c r="A375" i="13"/>
  <c r="N374" i="13"/>
  <c r="F374" i="13"/>
  <c r="E374" i="13"/>
  <c r="M374" i="13" s="1"/>
  <c r="D374" i="13"/>
  <c r="C374" i="13" s="1"/>
  <c r="B374" i="13"/>
  <c r="A374" i="13"/>
  <c r="N373" i="13"/>
  <c r="F373" i="13"/>
  <c r="E373" i="13"/>
  <c r="M373" i="13" s="1"/>
  <c r="D373" i="13"/>
  <c r="C373" i="13"/>
  <c r="B373" i="13"/>
  <c r="A373" i="13"/>
  <c r="N372" i="13"/>
  <c r="F372" i="13"/>
  <c r="E372" i="13"/>
  <c r="G372" i="13" s="1"/>
  <c r="D372" i="13"/>
  <c r="C372" i="13" s="1"/>
  <c r="B372" i="13"/>
  <c r="A372" i="13"/>
  <c r="N371" i="13"/>
  <c r="L371" i="13"/>
  <c r="F371" i="13"/>
  <c r="E371" i="13"/>
  <c r="K371" i="13" s="1"/>
  <c r="D371" i="13"/>
  <c r="C371" i="13" s="1"/>
  <c r="B371" i="13"/>
  <c r="A371" i="13"/>
  <c r="N370" i="13"/>
  <c r="F370" i="13"/>
  <c r="E370" i="13"/>
  <c r="J370" i="13" s="1"/>
  <c r="I370" i="13" s="1"/>
  <c r="D370" i="13"/>
  <c r="C370" i="13" s="1"/>
  <c r="B370" i="13"/>
  <c r="A370" i="13"/>
  <c r="N369" i="13"/>
  <c r="F369" i="13"/>
  <c r="E369" i="13"/>
  <c r="K369" i="13" s="1"/>
  <c r="D369" i="13"/>
  <c r="C369" i="13" s="1"/>
  <c r="B369" i="13"/>
  <c r="A369" i="13"/>
  <c r="N368" i="13"/>
  <c r="F368" i="13"/>
  <c r="E368" i="13"/>
  <c r="L368" i="13" s="1"/>
  <c r="D368" i="13"/>
  <c r="C368" i="13" s="1"/>
  <c r="B368" i="13"/>
  <c r="A368" i="13"/>
  <c r="N367" i="13"/>
  <c r="F367" i="13"/>
  <c r="E367" i="13"/>
  <c r="M367" i="13" s="1"/>
  <c r="D367" i="13"/>
  <c r="C367" i="13" s="1"/>
  <c r="B367" i="13"/>
  <c r="A367" i="13"/>
  <c r="N366" i="13"/>
  <c r="F366" i="13"/>
  <c r="E366" i="13"/>
  <c r="D366" i="13"/>
  <c r="C366" i="13" s="1"/>
  <c r="B366" i="13"/>
  <c r="A366" i="13"/>
  <c r="N365" i="13"/>
  <c r="F365" i="13"/>
  <c r="E365" i="13"/>
  <c r="D365" i="13"/>
  <c r="C365" i="13" s="1"/>
  <c r="B365" i="13"/>
  <c r="A365" i="13"/>
  <c r="N364" i="13"/>
  <c r="F364" i="13"/>
  <c r="E364" i="13"/>
  <c r="M364" i="13" s="1"/>
  <c r="D364" i="13"/>
  <c r="C364" i="13" s="1"/>
  <c r="B364" i="13"/>
  <c r="A364" i="13"/>
  <c r="N363" i="13"/>
  <c r="F363" i="13"/>
  <c r="E363" i="13"/>
  <c r="M363" i="13" s="1"/>
  <c r="D363" i="13"/>
  <c r="C363" i="13" s="1"/>
  <c r="B363" i="13"/>
  <c r="A363" i="13"/>
  <c r="N362" i="13"/>
  <c r="F362" i="13"/>
  <c r="E362" i="13"/>
  <c r="M362" i="13" s="1"/>
  <c r="D362" i="13"/>
  <c r="C362" i="13" s="1"/>
  <c r="B362" i="13"/>
  <c r="A362" i="13"/>
  <c r="N361" i="13"/>
  <c r="F361" i="13"/>
  <c r="E361" i="13"/>
  <c r="M361" i="13" s="1"/>
  <c r="D361" i="13"/>
  <c r="C361" i="13" s="1"/>
  <c r="B361" i="13"/>
  <c r="A361" i="13"/>
  <c r="N360" i="13"/>
  <c r="L360" i="13"/>
  <c r="F360" i="13"/>
  <c r="E360" i="13"/>
  <c r="G360" i="13" s="1"/>
  <c r="D360" i="13"/>
  <c r="C360" i="13" s="1"/>
  <c r="B360" i="13"/>
  <c r="A360" i="13"/>
  <c r="N359" i="13"/>
  <c r="J359" i="13"/>
  <c r="I359" i="13" s="1"/>
  <c r="G359" i="13"/>
  <c r="F359" i="13"/>
  <c r="E359" i="13"/>
  <c r="K359" i="13" s="1"/>
  <c r="D359" i="13"/>
  <c r="C359" i="13" s="1"/>
  <c r="B359" i="13"/>
  <c r="A359" i="13"/>
  <c r="N358" i="13"/>
  <c r="F358" i="13"/>
  <c r="E358" i="13"/>
  <c r="J358" i="13" s="1"/>
  <c r="I358" i="13" s="1"/>
  <c r="D358" i="13"/>
  <c r="C358" i="13" s="1"/>
  <c r="B358" i="13"/>
  <c r="A358" i="13"/>
  <c r="N357" i="13"/>
  <c r="F357" i="13"/>
  <c r="E357" i="13"/>
  <c r="K357" i="13" s="1"/>
  <c r="D357" i="13"/>
  <c r="C357" i="13" s="1"/>
  <c r="B357" i="13"/>
  <c r="A357" i="13"/>
  <c r="N356" i="13"/>
  <c r="F356" i="13"/>
  <c r="E356" i="13"/>
  <c r="L356" i="13" s="1"/>
  <c r="D356" i="13"/>
  <c r="C356" i="13" s="1"/>
  <c r="B356" i="13"/>
  <c r="A356" i="13"/>
  <c r="N355" i="13"/>
  <c r="F355" i="13"/>
  <c r="E355" i="13"/>
  <c r="M355" i="13" s="1"/>
  <c r="D355" i="13"/>
  <c r="C355" i="13" s="1"/>
  <c r="B355" i="13"/>
  <c r="A355" i="13"/>
  <c r="N354" i="13"/>
  <c r="F354" i="13"/>
  <c r="E354" i="13"/>
  <c r="D354" i="13"/>
  <c r="C354" i="13" s="1"/>
  <c r="B354" i="13"/>
  <c r="A354" i="13"/>
  <c r="N353" i="13"/>
  <c r="F353" i="13"/>
  <c r="E353" i="13"/>
  <c r="D353" i="13"/>
  <c r="C353" i="13" s="1"/>
  <c r="B353" i="13"/>
  <c r="A353" i="13"/>
  <c r="N352" i="13"/>
  <c r="L352" i="13"/>
  <c r="F352" i="13"/>
  <c r="E352" i="13"/>
  <c r="M352" i="13" s="1"/>
  <c r="D352" i="13"/>
  <c r="C352" i="13" s="1"/>
  <c r="B352" i="13"/>
  <c r="A352" i="13"/>
  <c r="N351" i="13"/>
  <c r="F351" i="13"/>
  <c r="E351" i="13"/>
  <c r="D351" i="13"/>
  <c r="C351" i="13" s="1"/>
  <c r="B351" i="13"/>
  <c r="A351" i="13"/>
  <c r="N350" i="13"/>
  <c r="F350" i="13"/>
  <c r="E350" i="13"/>
  <c r="M350" i="13" s="1"/>
  <c r="D350" i="13"/>
  <c r="C350" i="13" s="1"/>
  <c r="B350" i="13"/>
  <c r="A350" i="13"/>
  <c r="N349" i="13"/>
  <c r="J349" i="13"/>
  <c r="I349" i="13" s="1"/>
  <c r="F349" i="13"/>
  <c r="E349" i="13"/>
  <c r="G349" i="13" s="1"/>
  <c r="D349" i="13"/>
  <c r="C349" i="13" s="1"/>
  <c r="B349" i="13"/>
  <c r="A349" i="13"/>
  <c r="N348" i="13"/>
  <c r="F348" i="13"/>
  <c r="E348" i="13"/>
  <c r="G348" i="13" s="1"/>
  <c r="D348" i="13"/>
  <c r="C348" i="13" s="1"/>
  <c r="B348" i="13"/>
  <c r="A348" i="13"/>
  <c r="N347" i="13"/>
  <c r="L347" i="13"/>
  <c r="G347" i="13"/>
  <c r="F347" i="13"/>
  <c r="E347" i="13"/>
  <c r="K347" i="13" s="1"/>
  <c r="D347" i="13"/>
  <c r="C347" i="13" s="1"/>
  <c r="B347" i="13"/>
  <c r="A347" i="13"/>
  <c r="N346" i="13"/>
  <c r="F346" i="13"/>
  <c r="E346" i="13"/>
  <c r="M346" i="13" s="1"/>
  <c r="D346" i="13"/>
  <c r="C346" i="13" s="1"/>
  <c r="B346" i="13"/>
  <c r="A346" i="13"/>
  <c r="N345" i="13"/>
  <c r="F345" i="13"/>
  <c r="E345" i="13"/>
  <c r="K345" i="13" s="1"/>
  <c r="D345" i="13"/>
  <c r="C345" i="13" s="1"/>
  <c r="B345" i="13"/>
  <c r="A345" i="13"/>
  <c r="N344" i="13"/>
  <c r="F344" i="13"/>
  <c r="E344" i="13"/>
  <c r="L344" i="13" s="1"/>
  <c r="D344" i="13"/>
  <c r="C344" i="13"/>
  <c r="B344" i="13"/>
  <c r="A344" i="13"/>
  <c r="N343" i="13"/>
  <c r="F343" i="13"/>
  <c r="E343" i="13"/>
  <c r="L343" i="13" s="1"/>
  <c r="D343" i="13"/>
  <c r="C343" i="13" s="1"/>
  <c r="B343" i="13"/>
  <c r="A343" i="13"/>
  <c r="N342" i="13"/>
  <c r="F342" i="13"/>
  <c r="E342" i="13"/>
  <c r="M342" i="13" s="1"/>
  <c r="D342" i="13"/>
  <c r="C342" i="13" s="1"/>
  <c r="B342" i="13"/>
  <c r="A342" i="13"/>
  <c r="N341" i="13"/>
  <c r="F341" i="13"/>
  <c r="E341" i="13"/>
  <c r="D341" i="13"/>
  <c r="C341" i="13" s="1"/>
  <c r="B341" i="13"/>
  <c r="A341" i="13"/>
  <c r="N340" i="13"/>
  <c r="F340" i="13"/>
  <c r="E340" i="13"/>
  <c r="D340" i="13"/>
  <c r="C340" i="13" s="1"/>
  <c r="B340" i="13"/>
  <c r="A340" i="13"/>
  <c r="N339" i="13"/>
  <c r="F339" i="13"/>
  <c r="E339" i="13"/>
  <c r="M339" i="13" s="1"/>
  <c r="D339" i="13"/>
  <c r="C339" i="13" s="1"/>
  <c r="B339" i="13"/>
  <c r="A339" i="13"/>
  <c r="N338" i="13"/>
  <c r="F338" i="13"/>
  <c r="E338" i="13"/>
  <c r="M338" i="13" s="1"/>
  <c r="D338" i="13"/>
  <c r="C338" i="13" s="1"/>
  <c r="B338" i="13"/>
  <c r="A338" i="13"/>
  <c r="N337" i="13"/>
  <c r="F337" i="13"/>
  <c r="E337" i="13"/>
  <c r="L337" i="13" s="1"/>
  <c r="D337" i="13"/>
  <c r="C337" i="13" s="1"/>
  <c r="B337" i="13"/>
  <c r="A337" i="13"/>
  <c r="N336" i="13"/>
  <c r="F336" i="13"/>
  <c r="E336" i="13"/>
  <c r="M336" i="13" s="1"/>
  <c r="D336" i="13"/>
  <c r="C336" i="13" s="1"/>
  <c r="B336" i="13"/>
  <c r="A336" i="13"/>
  <c r="N335" i="13"/>
  <c r="F335" i="13"/>
  <c r="E335" i="13"/>
  <c r="M335" i="13" s="1"/>
  <c r="D335" i="13"/>
  <c r="C335" i="13" s="1"/>
  <c r="B335" i="13"/>
  <c r="A335" i="13"/>
  <c r="N334" i="13"/>
  <c r="F334" i="13"/>
  <c r="E334" i="13"/>
  <c r="D334" i="13"/>
  <c r="C334" i="13" s="1"/>
  <c r="B334" i="13"/>
  <c r="A334" i="13"/>
  <c r="N333" i="13"/>
  <c r="F333" i="13"/>
  <c r="E333" i="13"/>
  <c r="D333" i="13"/>
  <c r="C333" i="13" s="1"/>
  <c r="B333" i="13"/>
  <c r="A333" i="13"/>
  <c r="N332" i="13"/>
  <c r="F332" i="13"/>
  <c r="E332" i="13"/>
  <c r="M332" i="13" s="1"/>
  <c r="D332" i="13"/>
  <c r="C332" i="13" s="1"/>
  <c r="B332" i="13"/>
  <c r="A332" i="13"/>
  <c r="N331" i="13"/>
  <c r="F331" i="13"/>
  <c r="E331" i="13"/>
  <c r="G331" i="13" s="1"/>
  <c r="D331" i="13"/>
  <c r="C331" i="13" s="1"/>
  <c r="B331" i="13"/>
  <c r="A331" i="13"/>
  <c r="N330" i="13"/>
  <c r="F330" i="13"/>
  <c r="E330" i="13"/>
  <c r="M330" i="13" s="1"/>
  <c r="D330" i="13"/>
  <c r="C330" i="13" s="1"/>
  <c r="B330" i="13"/>
  <c r="A330" i="13"/>
  <c r="N329" i="13"/>
  <c r="F329" i="13"/>
  <c r="E329" i="13"/>
  <c r="G329" i="13" s="1"/>
  <c r="D329" i="13"/>
  <c r="C329" i="13"/>
  <c r="B329" i="13"/>
  <c r="A329" i="13"/>
  <c r="N328" i="13"/>
  <c r="M328" i="13"/>
  <c r="L328" i="13"/>
  <c r="F328" i="13"/>
  <c r="E328" i="13"/>
  <c r="K328" i="13" s="1"/>
  <c r="D328" i="13"/>
  <c r="C328" i="13" s="1"/>
  <c r="B328" i="13"/>
  <c r="A328" i="13"/>
  <c r="N327" i="13"/>
  <c r="F327" i="13"/>
  <c r="E327" i="13"/>
  <c r="M327" i="13" s="1"/>
  <c r="D327" i="13"/>
  <c r="C327" i="13" s="1"/>
  <c r="B327" i="13"/>
  <c r="A327" i="13"/>
  <c r="N326" i="13"/>
  <c r="F326" i="13"/>
  <c r="E326" i="13"/>
  <c r="K326" i="13" s="1"/>
  <c r="D326" i="13"/>
  <c r="C326" i="13" s="1"/>
  <c r="B326" i="13"/>
  <c r="A326" i="13"/>
  <c r="N325" i="13"/>
  <c r="F325" i="13"/>
  <c r="E325" i="13"/>
  <c r="L325" i="13" s="1"/>
  <c r="D325" i="13"/>
  <c r="C325" i="13" s="1"/>
  <c r="B325" i="13"/>
  <c r="A325" i="13"/>
  <c r="N324" i="13"/>
  <c r="F324" i="13"/>
  <c r="E324" i="13"/>
  <c r="M324" i="13" s="1"/>
  <c r="D324" i="13"/>
  <c r="C324" i="13" s="1"/>
  <c r="B324" i="13"/>
  <c r="A324" i="13"/>
  <c r="N323" i="13"/>
  <c r="F323" i="13"/>
  <c r="E323" i="13"/>
  <c r="M323" i="13" s="1"/>
  <c r="D323" i="13"/>
  <c r="C323" i="13" s="1"/>
  <c r="B323" i="13"/>
  <c r="A323" i="13"/>
  <c r="N322" i="13"/>
  <c r="F322" i="13"/>
  <c r="E322" i="13"/>
  <c r="D322" i="13"/>
  <c r="C322" i="13" s="1"/>
  <c r="B322" i="13"/>
  <c r="A322" i="13"/>
  <c r="N321" i="13"/>
  <c r="F321" i="13"/>
  <c r="E321" i="13"/>
  <c r="D321" i="13"/>
  <c r="C321" i="13" s="1"/>
  <c r="B321" i="13"/>
  <c r="A321" i="13"/>
  <c r="N320" i="13"/>
  <c r="F320" i="13"/>
  <c r="E320" i="13"/>
  <c r="M320" i="13" s="1"/>
  <c r="D320" i="13"/>
  <c r="C320" i="13"/>
  <c r="B320" i="13"/>
  <c r="A320" i="13"/>
  <c r="N319" i="13"/>
  <c r="M319" i="13"/>
  <c r="L319" i="13"/>
  <c r="G319" i="13"/>
  <c r="F319" i="13"/>
  <c r="E319" i="13"/>
  <c r="J319" i="13" s="1"/>
  <c r="I319" i="13" s="1"/>
  <c r="D319" i="13"/>
  <c r="C319" i="13" s="1"/>
  <c r="B319" i="13"/>
  <c r="A319" i="13"/>
  <c r="N318" i="13"/>
  <c r="J318" i="13"/>
  <c r="I318" i="13" s="1"/>
  <c r="F318" i="13"/>
  <c r="E318" i="13"/>
  <c r="M318" i="13" s="1"/>
  <c r="D318" i="13"/>
  <c r="C318" i="13" s="1"/>
  <c r="B318" i="13"/>
  <c r="A318" i="13"/>
  <c r="N317" i="13"/>
  <c r="F317" i="13"/>
  <c r="E317" i="13"/>
  <c r="D317" i="13"/>
  <c r="C317" i="13" s="1"/>
  <c r="B317" i="13"/>
  <c r="A317" i="13"/>
  <c r="N316" i="13"/>
  <c r="K316" i="13"/>
  <c r="F316" i="13"/>
  <c r="E316" i="13"/>
  <c r="M316" i="13" s="1"/>
  <c r="D316" i="13"/>
  <c r="C316" i="13" s="1"/>
  <c r="B316" i="13"/>
  <c r="A316" i="13"/>
  <c r="N315" i="13"/>
  <c r="F315" i="13"/>
  <c r="E315" i="13"/>
  <c r="D315" i="13"/>
  <c r="C315" i="13" s="1"/>
  <c r="B315" i="13"/>
  <c r="A315" i="13"/>
  <c r="N314" i="13"/>
  <c r="J314" i="13"/>
  <c r="I314" i="13" s="1"/>
  <c r="F314" i="13"/>
  <c r="E314" i="13"/>
  <c r="K314" i="13" s="1"/>
  <c r="D314" i="13"/>
  <c r="C314" i="13"/>
  <c r="B314" i="13"/>
  <c r="A314" i="13"/>
  <c r="N313" i="13"/>
  <c r="M313" i="13"/>
  <c r="K313" i="13"/>
  <c r="J313" i="13"/>
  <c r="I313" i="13" s="1"/>
  <c r="F313" i="13"/>
  <c r="E313" i="13"/>
  <c r="L313" i="13" s="1"/>
  <c r="D313" i="13"/>
  <c r="C313" i="13" s="1"/>
  <c r="B313" i="13"/>
  <c r="A313" i="13"/>
  <c r="N312" i="13"/>
  <c r="F312" i="13"/>
  <c r="E312" i="13"/>
  <c r="M312" i="13" s="1"/>
  <c r="D312" i="13"/>
  <c r="C312" i="13" s="1"/>
  <c r="B312" i="13"/>
  <c r="A312" i="13"/>
  <c r="N311" i="13"/>
  <c r="F311" i="13"/>
  <c r="E311" i="13"/>
  <c r="D311" i="13"/>
  <c r="C311" i="13" s="1"/>
  <c r="B311" i="13"/>
  <c r="A311" i="13"/>
  <c r="N310" i="13"/>
  <c r="F310" i="13"/>
  <c r="E310" i="13"/>
  <c r="D310" i="13"/>
  <c r="C310" i="13" s="1"/>
  <c r="B310" i="13"/>
  <c r="A310" i="13"/>
  <c r="N309" i="13"/>
  <c r="F309" i="13"/>
  <c r="E309" i="13"/>
  <c r="D309" i="13"/>
  <c r="C309" i="13" s="1"/>
  <c r="B309" i="13"/>
  <c r="A309" i="13"/>
  <c r="N308" i="13"/>
  <c r="G308" i="13"/>
  <c r="F308" i="13"/>
  <c r="E308" i="13"/>
  <c r="M308" i="13" s="1"/>
  <c r="D308" i="13"/>
  <c r="C308" i="13"/>
  <c r="B308" i="13"/>
  <c r="A308" i="13"/>
  <c r="N307" i="13"/>
  <c r="K307" i="13"/>
  <c r="G307" i="13"/>
  <c r="F307" i="13"/>
  <c r="E307" i="13"/>
  <c r="M307" i="13" s="1"/>
  <c r="D307" i="13"/>
  <c r="C307" i="13"/>
  <c r="B307" i="13"/>
  <c r="A307" i="13"/>
  <c r="N306" i="13"/>
  <c r="F306" i="13"/>
  <c r="E306" i="13"/>
  <c r="M306" i="13" s="1"/>
  <c r="D306" i="13"/>
  <c r="C306" i="13" s="1"/>
  <c r="B306" i="13"/>
  <c r="A306" i="13"/>
  <c r="N305" i="13"/>
  <c r="K305" i="13"/>
  <c r="F305" i="13"/>
  <c r="E305" i="13"/>
  <c r="G305" i="13" s="1"/>
  <c r="D305" i="13"/>
  <c r="C305" i="13" s="1"/>
  <c r="B305" i="13"/>
  <c r="A305" i="13"/>
  <c r="N304" i="13"/>
  <c r="K304" i="13"/>
  <c r="J304" i="13"/>
  <c r="I304" i="13" s="1"/>
  <c r="G304" i="13"/>
  <c r="F304" i="13"/>
  <c r="E304" i="13"/>
  <c r="M304" i="13" s="1"/>
  <c r="D304" i="13"/>
  <c r="C304" i="13"/>
  <c r="B304" i="13"/>
  <c r="A304" i="13"/>
  <c r="N303" i="13"/>
  <c r="K303" i="13"/>
  <c r="J303" i="13"/>
  <c r="I303" i="13"/>
  <c r="F303" i="13"/>
  <c r="E303" i="13"/>
  <c r="M303" i="13" s="1"/>
  <c r="D303" i="13"/>
  <c r="C303" i="13" s="1"/>
  <c r="B303" i="13"/>
  <c r="A303" i="13"/>
  <c r="N302" i="13"/>
  <c r="J302" i="13"/>
  <c r="I302" i="13"/>
  <c r="F302" i="13"/>
  <c r="E302" i="13"/>
  <c r="K302" i="13" s="1"/>
  <c r="D302" i="13"/>
  <c r="C302" i="13"/>
  <c r="B302" i="13"/>
  <c r="A302" i="13"/>
  <c r="N301" i="13"/>
  <c r="M301" i="13"/>
  <c r="F301" i="13"/>
  <c r="E301" i="13"/>
  <c r="L301" i="13" s="1"/>
  <c r="D301" i="13"/>
  <c r="C301" i="13" s="1"/>
  <c r="B301" i="13"/>
  <c r="A301" i="13"/>
  <c r="N300" i="13"/>
  <c r="L300" i="13"/>
  <c r="K300" i="13"/>
  <c r="G300" i="13"/>
  <c r="F300" i="13"/>
  <c r="E300" i="13"/>
  <c r="M300" i="13" s="1"/>
  <c r="D300" i="13"/>
  <c r="C300" i="13"/>
  <c r="B300" i="13"/>
  <c r="A300" i="13"/>
  <c r="N299" i="13"/>
  <c r="L299" i="13"/>
  <c r="F299" i="13"/>
  <c r="E299" i="13"/>
  <c r="K299" i="13" s="1"/>
  <c r="D299" i="13"/>
  <c r="C299" i="13" s="1"/>
  <c r="B299" i="13"/>
  <c r="A299" i="13"/>
  <c r="N298" i="13"/>
  <c r="F298" i="13"/>
  <c r="E298" i="13"/>
  <c r="D298" i="13"/>
  <c r="C298" i="13" s="1"/>
  <c r="B298" i="13"/>
  <c r="A298" i="13"/>
  <c r="N297" i="13"/>
  <c r="F297" i="13"/>
  <c r="E297" i="13"/>
  <c r="D297" i="13"/>
  <c r="C297" i="13" s="1"/>
  <c r="B297" i="13"/>
  <c r="A297" i="13"/>
  <c r="N296" i="13"/>
  <c r="F296" i="13"/>
  <c r="E296" i="13"/>
  <c r="D296" i="13"/>
  <c r="C296" i="13" s="1"/>
  <c r="B296" i="13"/>
  <c r="A296" i="13"/>
  <c r="N295" i="13"/>
  <c r="L295" i="13"/>
  <c r="G295" i="13"/>
  <c r="F295" i="13"/>
  <c r="E295" i="13"/>
  <c r="M295" i="13" s="1"/>
  <c r="D295" i="13"/>
  <c r="C295" i="13" s="1"/>
  <c r="B295" i="13"/>
  <c r="A295" i="13"/>
  <c r="N294" i="13"/>
  <c r="F294" i="13"/>
  <c r="E294" i="13"/>
  <c r="M294" i="13" s="1"/>
  <c r="D294" i="13"/>
  <c r="C294" i="13" s="1"/>
  <c r="B294" i="13"/>
  <c r="A294" i="13"/>
  <c r="N293" i="13"/>
  <c r="K293" i="13"/>
  <c r="J293" i="13"/>
  <c r="I293" i="13" s="1"/>
  <c r="F293" i="13"/>
  <c r="E293" i="13"/>
  <c r="G293" i="13" s="1"/>
  <c r="D293" i="13"/>
  <c r="C293" i="13" s="1"/>
  <c r="B293" i="13"/>
  <c r="A293" i="13"/>
  <c r="N292" i="13"/>
  <c r="M292" i="13"/>
  <c r="G292" i="13"/>
  <c r="F292" i="13"/>
  <c r="E292" i="13"/>
  <c r="K292" i="13" s="1"/>
  <c r="D292" i="13"/>
  <c r="C292" i="13" s="1"/>
  <c r="B292" i="13"/>
  <c r="A292" i="13"/>
  <c r="N291" i="13"/>
  <c r="M291" i="13"/>
  <c r="F291" i="13"/>
  <c r="E291" i="13"/>
  <c r="K291" i="13" s="1"/>
  <c r="D291" i="13"/>
  <c r="C291" i="13" s="1"/>
  <c r="B291" i="13"/>
  <c r="A291" i="13"/>
  <c r="N290" i="13"/>
  <c r="M290" i="13"/>
  <c r="F290" i="13"/>
  <c r="E290" i="13"/>
  <c r="K290" i="13" s="1"/>
  <c r="D290" i="13"/>
  <c r="C290" i="13" s="1"/>
  <c r="B290" i="13"/>
  <c r="A290" i="13"/>
  <c r="N289" i="13"/>
  <c r="M289" i="13"/>
  <c r="K289" i="13"/>
  <c r="J289" i="13"/>
  <c r="I289" i="13" s="1"/>
  <c r="F289" i="13"/>
  <c r="E289" i="13"/>
  <c r="L289" i="13" s="1"/>
  <c r="D289" i="13"/>
  <c r="C289" i="13" s="1"/>
  <c r="B289" i="13"/>
  <c r="A289" i="13"/>
  <c r="N288" i="13"/>
  <c r="L288" i="13"/>
  <c r="F288" i="13"/>
  <c r="E288" i="13"/>
  <c r="M288" i="13" s="1"/>
  <c r="D288" i="13"/>
  <c r="C288" i="13" s="1"/>
  <c r="B288" i="13"/>
  <c r="A288" i="13"/>
  <c r="N287" i="13"/>
  <c r="M287" i="13"/>
  <c r="L287" i="13"/>
  <c r="F287" i="13"/>
  <c r="E287" i="13"/>
  <c r="K287" i="13" s="1"/>
  <c r="D287" i="13"/>
  <c r="C287" i="13" s="1"/>
  <c r="B287" i="13"/>
  <c r="A287" i="13"/>
  <c r="N286" i="13"/>
  <c r="F286" i="13"/>
  <c r="E286" i="13"/>
  <c r="D286" i="13"/>
  <c r="C286" i="13" s="1"/>
  <c r="B286" i="13"/>
  <c r="A286" i="13"/>
  <c r="N285" i="13"/>
  <c r="F285" i="13"/>
  <c r="E285" i="13"/>
  <c r="D285" i="13"/>
  <c r="C285" i="13" s="1"/>
  <c r="B285" i="13"/>
  <c r="A285" i="13"/>
  <c r="N284" i="13"/>
  <c r="F284" i="13"/>
  <c r="E284" i="13"/>
  <c r="M284" i="13" s="1"/>
  <c r="D284" i="13"/>
  <c r="C284" i="13" s="1"/>
  <c r="B284" i="13"/>
  <c r="A284" i="13"/>
  <c r="N283" i="13"/>
  <c r="J283" i="13"/>
  <c r="I283" i="13" s="1"/>
  <c r="F283" i="13"/>
  <c r="E283" i="13"/>
  <c r="G283" i="13" s="1"/>
  <c r="D283" i="13"/>
  <c r="C283" i="13" s="1"/>
  <c r="B283" i="13"/>
  <c r="A283" i="13"/>
  <c r="N282" i="13"/>
  <c r="F282" i="13"/>
  <c r="E282" i="13"/>
  <c r="D282" i="13"/>
  <c r="C282" i="13" s="1"/>
  <c r="B282" i="13"/>
  <c r="A282" i="13"/>
  <c r="N281" i="13"/>
  <c r="K281" i="13"/>
  <c r="J281" i="13"/>
  <c r="I281" i="13" s="1"/>
  <c r="F281" i="13"/>
  <c r="E281" i="13"/>
  <c r="G281" i="13" s="1"/>
  <c r="D281" i="13"/>
  <c r="C281" i="13"/>
  <c r="B281" i="13"/>
  <c r="A281" i="13"/>
  <c r="N280" i="13"/>
  <c r="M280" i="13"/>
  <c r="L280" i="13"/>
  <c r="K280" i="13"/>
  <c r="J280" i="13"/>
  <c r="I280" i="13" s="1"/>
  <c r="G280" i="13"/>
  <c r="F280" i="13"/>
  <c r="E280" i="13"/>
  <c r="D280" i="13"/>
  <c r="C280" i="13"/>
  <c r="B280" i="13"/>
  <c r="A280" i="13"/>
  <c r="N279" i="13"/>
  <c r="K279" i="13"/>
  <c r="F279" i="13"/>
  <c r="E279" i="13"/>
  <c r="J279" i="13" s="1"/>
  <c r="I279" i="13" s="1"/>
  <c r="D279" i="13"/>
  <c r="C279" i="13" s="1"/>
  <c r="B279" i="13"/>
  <c r="A279" i="13"/>
  <c r="N278" i="13"/>
  <c r="M278" i="13"/>
  <c r="F278" i="13"/>
  <c r="E278" i="13"/>
  <c r="K278" i="13" s="1"/>
  <c r="D278" i="13"/>
  <c r="C278" i="13" s="1"/>
  <c r="B278" i="13"/>
  <c r="A278" i="13"/>
  <c r="N277" i="13"/>
  <c r="M277" i="13"/>
  <c r="K277" i="13"/>
  <c r="J277" i="13"/>
  <c r="I277" i="13" s="1"/>
  <c r="F277" i="13"/>
  <c r="E277" i="13"/>
  <c r="L277" i="13" s="1"/>
  <c r="D277" i="13"/>
  <c r="C277" i="13" s="1"/>
  <c r="B277" i="13"/>
  <c r="A277" i="13"/>
  <c r="N276" i="13"/>
  <c r="L276" i="13"/>
  <c r="F276" i="13"/>
  <c r="E276" i="13"/>
  <c r="M276" i="13" s="1"/>
  <c r="D276" i="13"/>
  <c r="C276" i="13" s="1"/>
  <c r="B276" i="13"/>
  <c r="A276" i="13"/>
  <c r="N275" i="13"/>
  <c r="M275" i="13"/>
  <c r="L275" i="13"/>
  <c r="F275" i="13"/>
  <c r="E275" i="13"/>
  <c r="K275" i="13" s="1"/>
  <c r="D275" i="13"/>
  <c r="C275" i="13"/>
  <c r="B275" i="13"/>
  <c r="A275" i="13"/>
  <c r="N274" i="13"/>
  <c r="F274" i="13"/>
  <c r="E274" i="13"/>
  <c r="D274" i="13"/>
  <c r="C274" i="13" s="1"/>
  <c r="B274" i="13"/>
  <c r="A274" i="13"/>
  <c r="N273" i="13"/>
  <c r="F273" i="13"/>
  <c r="E273" i="13"/>
  <c r="D273" i="13"/>
  <c r="C273" i="13" s="1"/>
  <c r="B273" i="13"/>
  <c r="A273" i="13"/>
  <c r="N272" i="13"/>
  <c r="F272" i="13"/>
  <c r="E272" i="13"/>
  <c r="G272" i="13" s="1"/>
  <c r="D272" i="13"/>
  <c r="C272" i="13" s="1"/>
  <c r="B272" i="13"/>
  <c r="A272" i="13"/>
  <c r="N271" i="13"/>
  <c r="L271" i="13"/>
  <c r="K271" i="13"/>
  <c r="G271" i="13"/>
  <c r="F271" i="13"/>
  <c r="E271" i="13"/>
  <c r="M271" i="13" s="1"/>
  <c r="D271" i="13"/>
  <c r="C271" i="13" s="1"/>
  <c r="B271" i="13"/>
  <c r="A271" i="13"/>
  <c r="N270" i="13"/>
  <c r="G270" i="13"/>
  <c r="F270" i="13"/>
  <c r="E270" i="13"/>
  <c r="M270" i="13" s="1"/>
  <c r="D270" i="13"/>
  <c r="C270" i="13" s="1"/>
  <c r="B270" i="13"/>
  <c r="A270" i="13"/>
  <c r="N269" i="13"/>
  <c r="J269" i="13"/>
  <c r="I269" i="13" s="1"/>
  <c r="F269" i="13"/>
  <c r="E269" i="13"/>
  <c r="G269" i="13" s="1"/>
  <c r="D269" i="13"/>
  <c r="C269" i="13"/>
  <c r="B269" i="13"/>
  <c r="A269" i="13"/>
  <c r="N268" i="13"/>
  <c r="M268" i="13"/>
  <c r="J268" i="13"/>
  <c r="I268" i="13" s="1"/>
  <c r="F268" i="13"/>
  <c r="E268" i="13"/>
  <c r="L268" i="13" s="1"/>
  <c r="D268" i="13"/>
  <c r="C268" i="13"/>
  <c r="B268" i="13"/>
  <c r="A268" i="13"/>
  <c r="N267" i="13"/>
  <c r="M267" i="13"/>
  <c r="L267" i="13"/>
  <c r="K267" i="13"/>
  <c r="G267" i="13"/>
  <c r="F267" i="13"/>
  <c r="E267" i="13"/>
  <c r="J267" i="13" s="1"/>
  <c r="I267" i="13" s="1"/>
  <c r="D267" i="13"/>
  <c r="C267" i="13" s="1"/>
  <c r="B267" i="13"/>
  <c r="A267" i="13"/>
  <c r="N266" i="13"/>
  <c r="L266" i="13"/>
  <c r="J266" i="13"/>
  <c r="I266" i="13" s="1"/>
  <c r="F266" i="13"/>
  <c r="E266" i="13"/>
  <c r="K266" i="13" s="1"/>
  <c r="D266" i="13"/>
  <c r="C266" i="13" s="1"/>
  <c r="B266" i="13"/>
  <c r="A266" i="13"/>
  <c r="N265" i="13"/>
  <c r="M265" i="13"/>
  <c r="F265" i="13"/>
  <c r="E265" i="13"/>
  <c r="L265" i="13" s="1"/>
  <c r="D265" i="13"/>
  <c r="C265" i="13" s="1"/>
  <c r="B265" i="13"/>
  <c r="A265" i="13"/>
  <c r="N264" i="13"/>
  <c r="K264" i="13"/>
  <c r="G264" i="13"/>
  <c r="F264" i="13"/>
  <c r="E264" i="13"/>
  <c r="M264" i="13" s="1"/>
  <c r="D264" i="13"/>
  <c r="C264" i="13"/>
  <c r="B264" i="13"/>
  <c r="A264" i="13"/>
  <c r="N263" i="13"/>
  <c r="M263" i="13"/>
  <c r="F263" i="13"/>
  <c r="E263" i="13"/>
  <c r="K263" i="13" s="1"/>
  <c r="D263" i="13"/>
  <c r="C263" i="13" s="1"/>
  <c r="B263" i="13"/>
  <c r="A263" i="13"/>
  <c r="N262" i="13"/>
  <c r="F262" i="13"/>
  <c r="E262" i="13"/>
  <c r="J262" i="13" s="1"/>
  <c r="I262" i="13" s="1"/>
  <c r="D262" i="13"/>
  <c r="C262" i="13" s="1"/>
  <c r="B262" i="13"/>
  <c r="A262" i="13"/>
  <c r="N261" i="13"/>
  <c r="F261" i="13"/>
  <c r="E261" i="13"/>
  <c r="D261" i="13"/>
  <c r="C261" i="13" s="1"/>
  <c r="B261" i="13"/>
  <c r="A261" i="13"/>
  <c r="N260" i="13"/>
  <c r="F260" i="13"/>
  <c r="E260" i="13"/>
  <c r="D260" i="13"/>
  <c r="C260" i="13"/>
  <c r="B260" i="13"/>
  <c r="A260" i="13"/>
  <c r="N259" i="13"/>
  <c r="M259" i="13"/>
  <c r="L259" i="13"/>
  <c r="G259" i="13"/>
  <c r="F259" i="13"/>
  <c r="E259" i="13"/>
  <c r="J259" i="13" s="1"/>
  <c r="I259" i="13" s="1"/>
  <c r="D259" i="13"/>
  <c r="C259" i="13" s="1"/>
  <c r="B259" i="13"/>
  <c r="A259" i="13"/>
  <c r="N258" i="13"/>
  <c r="J258" i="13"/>
  <c r="I258" i="13" s="1"/>
  <c r="G258" i="13"/>
  <c r="F258" i="13"/>
  <c r="E258" i="13"/>
  <c r="D258" i="13"/>
  <c r="C258" i="13" s="1"/>
  <c r="B258" i="13"/>
  <c r="A258" i="13"/>
  <c r="N257" i="13"/>
  <c r="K257" i="13"/>
  <c r="F257" i="13"/>
  <c r="E257" i="13"/>
  <c r="G257" i="13" s="1"/>
  <c r="D257" i="13"/>
  <c r="C257" i="13" s="1"/>
  <c r="B257" i="13"/>
  <c r="A257" i="13"/>
  <c r="N256" i="13"/>
  <c r="K256" i="13"/>
  <c r="F256" i="13"/>
  <c r="E256" i="13"/>
  <c r="M256" i="13" s="1"/>
  <c r="D256" i="13"/>
  <c r="C256" i="13" s="1"/>
  <c r="B256" i="13"/>
  <c r="A256" i="13"/>
  <c r="N255" i="13"/>
  <c r="K255" i="13"/>
  <c r="F255" i="13"/>
  <c r="E255" i="13"/>
  <c r="J255" i="13" s="1"/>
  <c r="I255" i="13" s="1"/>
  <c r="D255" i="13"/>
  <c r="C255" i="13" s="1"/>
  <c r="B255" i="13"/>
  <c r="A255" i="13"/>
  <c r="N254" i="13"/>
  <c r="F254" i="13"/>
  <c r="E254" i="13"/>
  <c r="D254" i="13"/>
  <c r="C254" i="13"/>
  <c r="B254" i="13"/>
  <c r="A254" i="13"/>
  <c r="N253" i="13"/>
  <c r="M253" i="13"/>
  <c r="K253" i="13"/>
  <c r="F253" i="13"/>
  <c r="E253" i="13"/>
  <c r="L253" i="13" s="1"/>
  <c r="D253" i="13"/>
  <c r="C253" i="13" s="1"/>
  <c r="B253" i="13"/>
  <c r="A253" i="13"/>
  <c r="N252" i="13"/>
  <c r="K252" i="13"/>
  <c r="G252" i="13"/>
  <c r="F252" i="13"/>
  <c r="E252" i="13"/>
  <c r="M252" i="13" s="1"/>
  <c r="D252" i="13"/>
  <c r="C252" i="13" s="1"/>
  <c r="B252" i="13"/>
  <c r="A252" i="13"/>
  <c r="N251" i="13"/>
  <c r="M251" i="13"/>
  <c r="F251" i="13"/>
  <c r="E251" i="13"/>
  <c r="D251" i="13"/>
  <c r="C251" i="13" s="1"/>
  <c r="B251" i="13"/>
  <c r="A251" i="13"/>
  <c r="N250" i="13"/>
  <c r="M250" i="13"/>
  <c r="G250" i="13"/>
  <c r="F250" i="13"/>
  <c r="E250" i="13"/>
  <c r="J250" i="13" s="1"/>
  <c r="I250" i="13" s="1"/>
  <c r="D250" i="13"/>
  <c r="C250" i="13" s="1"/>
  <c r="B250" i="13"/>
  <c r="A250" i="13"/>
  <c r="N249" i="13"/>
  <c r="F249" i="13"/>
  <c r="E249" i="13"/>
  <c r="G249" i="13" s="1"/>
  <c r="D249" i="13"/>
  <c r="C249" i="13" s="1"/>
  <c r="B249" i="13"/>
  <c r="A249" i="13"/>
  <c r="N248" i="13"/>
  <c r="F248" i="13"/>
  <c r="E248" i="13"/>
  <c r="D248" i="13"/>
  <c r="C248" i="13" s="1"/>
  <c r="B248" i="13"/>
  <c r="A248" i="13"/>
  <c r="N247" i="13"/>
  <c r="M247" i="13"/>
  <c r="L247" i="13"/>
  <c r="J247" i="13"/>
  <c r="I247" i="13" s="1"/>
  <c r="G247" i="13"/>
  <c r="F247" i="13"/>
  <c r="E247" i="13"/>
  <c r="K247" i="13" s="1"/>
  <c r="D247" i="13"/>
  <c r="C247" i="13" s="1"/>
  <c r="B247" i="13"/>
  <c r="A247" i="13"/>
  <c r="N246" i="13"/>
  <c r="F246" i="13"/>
  <c r="E246" i="13"/>
  <c r="M246" i="13" s="1"/>
  <c r="D246" i="13"/>
  <c r="C246" i="13" s="1"/>
  <c r="B246" i="13"/>
  <c r="A246" i="13"/>
  <c r="N245" i="13"/>
  <c r="F245" i="13"/>
  <c r="E245" i="13"/>
  <c r="G245" i="13" s="1"/>
  <c r="D245" i="13"/>
  <c r="C245" i="13" s="1"/>
  <c r="B245" i="13"/>
  <c r="A245" i="13"/>
  <c r="N244" i="13"/>
  <c r="M244" i="13"/>
  <c r="L244" i="13"/>
  <c r="J244" i="13"/>
  <c r="I244" i="13" s="1"/>
  <c r="G244" i="13"/>
  <c r="F244" i="13"/>
  <c r="E244" i="13"/>
  <c r="K244" i="13" s="1"/>
  <c r="D244" i="13"/>
  <c r="C244" i="13" s="1"/>
  <c r="B244" i="13"/>
  <c r="A244" i="13"/>
  <c r="N243" i="13"/>
  <c r="M243" i="13"/>
  <c r="L243" i="13"/>
  <c r="G243" i="13"/>
  <c r="F243" i="13"/>
  <c r="E243" i="13"/>
  <c r="J243" i="13" s="1"/>
  <c r="I243" i="13" s="1"/>
  <c r="D243" i="13"/>
  <c r="C243" i="13" s="1"/>
  <c r="B243" i="13"/>
  <c r="A243" i="13"/>
  <c r="N242" i="13"/>
  <c r="F242" i="13"/>
  <c r="E242" i="13"/>
  <c r="J242" i="13" s="1"/>
  <c r="I242" i="13" s="1"/>
  <c r="D242" i="13"/>
  <c r="C242" i="13" s="1"/>
  <c r="B242" i="13"/>
  <c r="A242" i="13"/>
  <c r="N241" i="13"/>
  <c r="K241" i="13"/>
  <c r="F241" i="13"/>
  <c r="E241" i="13"/>
  <c r="L241" i="13" s="1"/>
  <c r="D241" i="13"/>
  <c r="C241" i="13" s="1"/>
  <c r="B241" i="13"/>
  <c r="A241" i="13"/>
  <c r="N240" i="13"/>
  <c r="L240" i="13"/>
  <c r="G240" i="13"/>
  <c r="F240" i="13"/>
  <c r="E240" i="13"/>
  <c r="D240" i="13"/>
  <c r="C240" i="13" s="1"/>
  <c r="B240" i="13"/>
  <c r="A240" i="13"/>
  <c r="N239" i="13"/>
  <c r="M239" i="13"/>
  <c r="L239" i="13"/>
  <c r="F239" i="13"/>
  <c r="E239" i="13"/>
  <c r="D239" i="13"/>
  <c r="C239" i="13"/>
  <c r="B239" i="13"/>
  <c r="A239" i="13"/>
  <c r="N238" i="13"/>
  <c r="F238" i="13"/>
  <c r="E238" i="13"/>
  <c r="G238" i="13" s="1"/>
  <c r="D238" i="13"/>
  <c r="C238" i="13"/>
  <c r="B238" i="13"/>
  <c r="A238" i="13"/>
  <c r="N237" i="13"/>
  <c r="F237" i="13"/>
  <c r="E237" i="13"/>
  <c r="D237" i="13"/>
  <c r="C237" i="13" s="1"/>
  <c r="B237" i="13"/>
  <c r="A237" i="13"/>
  <c r="N236" i="13"/>
  <c r="F236" i="13"/>
  <c r="E236" i="13"/>
  <c r="D236" i="13"/>
  <c r="C236" i="13" s="1"/>
  <c r="B236" i="13"/>
  <c r="A236" i="13"/>
  <c r="N235" i="13"/>
  <c r="K235" i="13"/>
  <c r="F235" i="13"/>
  <c r="E235" i="13"/>
  <c r="M235" i="13" s="1"/>
  <c r="D235" i="13"/>
  <c r="C235" i="13" s="1"/>
  <c r="B235" i="13"/>
  <c r="A235" i="13"/>
  <c r="N234" i="13"/>
  <c r="K234" i="13"/>
  <c r="J234" i="13"/>
  <c r="I234" i="13" s="1"/>
  <c r="G234" i="13"/>
  <c r="F234" i="13"/>
  <c r="E234" i="13"/>
  <c r="M234" i="13" s="1"/>
  <c r="D234" i="13"/>
  <c r="C234" i="13" s="1"/>
  <c r="B234" i="13"/>
  <c r="A234" i="13"/>
  <c r="N233" i="13"/>
  <c r="J233" i="13"/>
  <c r="I233" i="13" s="1"/>
  <c r="F233" i="13"/>
  <c r="E233" i="13"/>
  <c r="G233" i="13" s="1"/>
  <c r="D233" i="13"/>
  <c r="C233" i="13"/>
  <c r="B233" i="13"/>
  <c r="A233" i="13"/>
  <c r="N232" i="13"/>
  <c r="M232" i="13"/>
  <c r="L232" i="13"/>
  <c r="G232" i="13"/>
  <c r="F232" i="13"/>
  <c r="E232" i="13"/>
  <c r="J232" i="13" s="1"/>
  <c r="I232" i="13" s="1"/>
  <c r="D232" i="13"/>
  <c r="C232" i="13"/>
  <c r="B232" i="13"/>
  <c r="A232" i="13"/>
  <c r="N231" i="13"/>
  <c r="M231" i="13"/>
  <c r="L231" i="13"/>
  <c r="G231" i="13"/>
  <c r="F231" i="13"/>
  <c r="E231" i="13"/>
  <c r="J231" i="13" s="1"/>
  <c r="I231" i="13" s="1"/>
  <c r="D231" i="13"/>
  <c r="C231" i="13" s="1"/>
  <c r="B231" i="13"/>
  <c r="A231" i="13"/>
  <c r="N230" i="13"/>
  <c r="F230" i="13"/>
  <c r="E230" i="13"/>
  <c r="L230" i="13" s="1"/>
  <c r="D230" i="13"/>
  <c r="C230" i="13" s="1"/>
  <c r="B230" i="13"/>
  <c r="A230" i="13"/>
  <c r="N229" i="13"/>
  <c r="K229" i="13"/>
  <c r="F229" i="13"/>
  <c r="E229" i="13"/>
  <c r="L229" i="13" s="1"/>
  <c r="D229" i="13"/>
  <c r="C229" i="13" s="1"/>
  <c r="B229" i="13"/>
  <c r="A229" i="13"/>
  <c r="N228" i="13"/>
  <c r="K228" i="13"/>
  <c r="F228" i="13"/>
  <c r="E228" i="13"/>
  <c r="L228" i="13" s="1"/>
  <c r="D228" i="13"/>
  <c r="C228" i="13"/>
  <c r="B228" i="13"/>
  <c r="A228" i="13"/>
  <c r="N227" i="13"/>
  <c r="F227" i="13"/>
  <c r="E227" i="13"/>
  <c r="D227" i="13"/>
  <c r="C227" i="13"/>
  <c r="B227" i="13"/>
  <c r="A227" i="13"/>
  <c r="N226" i="13"/>
  <c r="F226" i="13"/>
  <c r="E226" i="13"/>
  <c r="D226" i="13"/>
  <c r="C226" i="13" s="1"/>
  <c r="B226" i="13"/>
  <c r="A226" i="13"/>
  <c r="N225" i="13"/>
  <c r="F225" i="13"/>
  <c r="E225" i="13"/>
  <c r="D225" i="13"/>
  <c r="C225" i="13" s="1"/>
  <c r="B225" i="13"/>
  <c r="A225" i="13"/>
  <c r="N224" i="13"/>
  <c r="F224" i="13"/>
  <c r="E224" i="13"/>
  <c r="D224" i="13"/>
  <c r="C224" i="13" s="1"/>
  <c r="B224" i="13"/>
  <c r="A224" i="13"/>
  <c r="N223" i="13"/>
  <c r="L223" i="13"/>
  <c r="G223" i="13"/>
  <c r="F223" i="13"/>
  <c r="E223" i="13"/>
  <c r="M223" i="13" s="1"/>
  <c r="D223" i="13"/>
  <c r="C223" i="13" s="1"/>
  <c r="B223" i="13"/>
  <c r="A223" i="13"/>
  <c r="N222" i="13"/>
  <c r="F222" i="13"/>
  <c r="E222" i="13"/>
  <c r="M222" i="13" s="1"/>
  <c r="D222" i="13"/>
  <c r="C222" i="13" s="1"/>
  <c r="B222" i="13"/>
  <c r="A222" i="13"/>
  <c r="N221" i="13"/>
  <c r="F221" i="13"/>
  <c r="E221" i="13"/>
  <c r="G221" i="13" s="1"/>
  <c r="D221" i="13"/>
  <c r="C221" i="13"/>
  <c r="B221" i="13"/>
  <c r="A221" i="13"/>
  <c r="N220" i="13"/>
  <c r="M220" i="13"/>
  <c r="J220" i="13"/>
  <c r="I220" i="13" s="1"/>
  <c r="G220" i="13"/>
  <c r="F220" i="13"/>
  <c r="E220" i="13"/>
  <c r="L220" i="13" s="1"/>
  <c r="D220" i="13"/>
  <c r="C220" i="13"/>
  <c r="B220" i="13"/>
  <c r="A220" i="13"/>
  <c r="N219" i="13"/>
  <c r="F219" i="13"/>
  <c r="E219" i="13"/>
  <c r="D219" i="13"/>
  <c r="C219" i="13" s="1"/>
  <c r="B219" i="13"/>
  <c r="A219" i="13"/>
  <c r="N218" i="13"/>
  <c r="F218" i="13"/>
  <c r="E218" i="13"/>
  <c r="L218" i="13" s="1"/>
  <c r="D218" i="13"/>
  <c r="C218" i="13" s="1"/>
  <c r="B218" i="13"/>
  <c r="A218" i="13"/>
  <c r="N217" i="13"/>
  <c r="F217" i="13"/>
  <c r="E217" i="13"/>
  <c r="L217" i="13" s="1"/>
  <c r="D217" i="13"/>
  <c r="C217" i="13" s="1"/>
  <c r="B217" i="13"/>
  <c r="A217" i="13"/>
  <c r="N216" i="13"/>
  <c r="F216" i="13"/>
  <c r="E216" i="13"/>
  <c r="L216" i="13" s="1"/>
  <c r="D216" i="13"/>
  <c r="C216" i="13" s="1"/>
  <c r="B216" i="13"/>
  <c r="A216" i="13"/>
  <c r="N215" i="13"/>
  <c r="L215" i="13"/>
  <c r="F215" i="13"/>
  <c r="E215" i="13"/>
  <c r="K215" i="13" s="1"/>
  <c r="D215" i="13"/>
  <c r="C215" i="13" s="1"/>
  <c r="B215" i="13"/>
  <c r="A215" i="13"/>
  <c r="N214" i="13"/>
  <c r="K214" i="13"/>
  <c r="F214" i="13"/>
  <c r="E214" i="13"/>
  <c r="L214" i="13" s="1"/>
  <c r="D214" i="13"/>
  <c r="C214" i="13" s="1"/>
  <c r="B214" i="13"/>
  <c r="A214" i="13"/>
  <c r="N213" i="13"/>
  <c r="K213" i="13"/>
  <c r="F213" i="13"/>
  <c r="E213" i="13"/>
  <c r="M213" i="13" s="1"/>
  <c r="D213" i="13"/>
  <c r="C213" i="13" s="1"/>
  <c r="B213" i="13"/>
  <c r="A213" i="13"/>
  <c r="N212" i="13"/>
  <c r="F212" i="13"/>
  <c r="E212" i="13"/>
  <c r="M212" i="13" s="1"/>
  <c r="D212" i="13"/>
  <c r="C212" i="13" s="1"/>
  <c r="B212" i="13"/>
  <c r="A212" i="13"/>
  <c r="N211" i="13"/>
  <c r="G211" i="13"/>
  <c r="F211" i="13"/>
  <c r="E211" i="13"/>
  <c r="L211" i="13" s="1"/>
  <c r="D211" i="13"/>
  <c r="C211" i="13"/>
  <c r="B211" i="13"/>
  <c r="A211" i="13"/>
  <c r="N210" i="13"/>
  <c r="F210" i="13"/>
  <c r="E210" i="13"/>
  <c r="M210" i="13" s="1"/>
  <c r="D210" i="13"/>
  <c r="C210" i="13" s="1"/>
  <c r="B210" i="13"/>
  <c r="A210" i="13"/>
  <c r="N209" i="13"/>
  <c r="F209" i="13"/>
  <c r="E209" i="13"/>
  <c r="M209" i="13" s="1"/>
  <c r="D209" i="13"/>
  <c r="C209" i="13" s="1"/>
  <c r="B209" i="13"/>
  <c r="A209" i="13"/>
  <c r="N208" i="13"/>
  <c r="G208" i="13"/>
  <c r="F208" i="13"/>
  <c r="E208" i="13"/>
  <c r="M208" i="13" s="1"/>
  <c r="D208" i="13"/>
  <c r="C208" i="13"/>
  <c r="B208" i="13"/>
  <c r="A208" i="13"/>
  <c r="N207" i="13"/>
  <c r="L207" i="13"/>
  <c r="F207" i="13"/>
  <c r="E207" i="13"/>
  <c r="M207" i="13" s="1"/>
  <c r="D207" i="13"/>
  <c r="C207" i="13" s="1"/>
  <c r="B207" i="13"/>
  <c r="A207" i="13"/>
  <c r="N206" i="13"/>
  <c r="F206" i="13"/>
  <c r="E206" i="13"/>
  <c r="M206" i="13" s="1"/>
  <c r="D206" i="13"/>
  <c r="C206" i="13" s="1"/>
  <c r="B206" i="13"/>
  <c r="A206" i="13"/>
  <c r="N205" i="13"/>
  <c r="M205" i="13"/>
  <c r="F205" i="13"/>
  <c r="E205" i="13"/>
  <c r="G205" i="13" s="1"/>
  <c r="D205" i="13"/>
  <c r="C205" i="13"/>
  <c r="B205" i="13"/>
  <c r="A205" i="13"/>
  <c r="N204" i="13"/>
  <c r="K204" i="13"/>
  <c r="F204" i="13"/>
  <c r="E204" i="13"/>
  <c r="G204" i="13" s="1"/>
  <c r="D204" i="13"/>
  <c r="C204" i="13" s="1"/>
  <c r="B204" i="13"/>
  <c r="A204" i="13"/>
  <c r="N203" i="13"/>
  <c r="K203" i="13"/>
  <c r="F203" i="13"/>
  <c r="E203" i="13"/>
  <c r="J203" i="13" s="1"/>
  <c r="I203" i="13" s="1"/>
  <c r="D203" i="13"/>
  <c r="C203" i="13"/>
  <c r="B203" i="13"/>
  <c r="A203" i="13"/>
  <c r="N202" i="13"/>
  <c r="M202" i="13"/>
  <c r="F202" i="13"/>
  <c r="E202" i="13"/>
  <c r="K202" i="13" s="1"/>
  <c r="D202" i="13"/>
  <c r="C202" i="13" s="1"/>
  <c r="B202" i="13"/>
  <c r="A202" i="13"/>
  <c r="N201" i="13"/>
  <c r="M201" i="13"/>
  <c r="F201" i="13"/>
  <c r="E201" i="13"/>
  <c r="L201" i="13" s="1"/>
  <c r="D201" i="13"/>
  <c r="C201" i="13" s="1"/>
  <c r="B201" i="13"/>
  <c r="A201" i="13"/>
  <c r="N200" i="13"/>
  <c r="L200" i="13"/>
  <c r="F200" i="13"/>
  <c r="E200" i="13"/>
  <c r="M200" i="13" s="1"/>
  <c r="D200" i="13"/>
  <c r="C200" i="13"/>
  <c r="B200" i="13"/>
  <c r="A200" i="13"/>
  <c r="N199" i="13"/>
  <c r="F199" i="13"/>
  <c r="E199" i="13"/>
  <c r="D199" i="13"/>
  <c r="C199" i="13" s="1"/>
  <c r="B199" i="13"/>
  <c r="A199" i="13"/>
  <c r="N198" i="13"/>
  <c r="F198" i="13"/>
  <c r="E198" i="13"/>
  <c r="M198" i="13" s="1"/>
  <c r="D198" i="13"/>
  <c r="C198" i="13" s="1"/>
  <c r="B198" i="13"/>
  <c r="A198" i="13"/>
  <c r="N197" i="13"/>
  <c r="F197" i="13"/>
  <c r="E197" i="13"/>
  <c r="M197" i="13" s="1"/>
  <c r="D197" i="13"/>
  <c r="C197" i="13" s="1"/>
  <c r="B197" i="13"/>
  <c r="A197" i="13"/>
  <c r="N196" i="13"/>
  <c r="G196" i="13"/>
  <c r="F196" i="13"/>
  <c r="E196" i="13"/>
  <c r="M196" i="13" s="1"/>
  <c r="D196" i="13"/>
  <c r="C196" i="13"/>
  <c r="B196" i="13"/>
  <c r="A196" i="13"/>
  <c r="N195" i="13"/>
  <c r="L195" i="13"/>
  <c r="K195" i="13"/>
  <c r="J195" i="13"/>
  <c r="I195" i="13"/>
  <c r="G195" i="13"/>
  <c r="F195" i="13"/>
  <c r="E195" i="13"/>
  <c r="M195" i="13" s="1"/>
  <c r="D195" i="13"/>
  <c r="C195" i="13" s="1"/>
  <c r="B195" i="13"/>
  <c r="A195" i="13"/>
  <c r="N194" i="13"/>
  <c r="G194" i="13"/>
  <c r="F194" i="13"/>
  <c r="E194" i="13"/>
  <c r="M194" i="13" s="1"/>
  <c r="D194" i="13"/>
  <c r="C194" i="13" s="1"/>
  <c r="B194" i="13"/>
  <c r="A194" i="13"/>
  <c r="N193" i="13"/>
  <c r="M193" i="13"/>
  <c r="K193" i="13"/>
  <c r="J193" i="13"/>
  <c r="I193" i="13" s="1"/>
  <c r="F193" i="13"/>
  <c r="E193" i="13"/>
  <c r="G193" i="13" s="1"/>
  <c r="D193" i="13"/>
  <c r="C193" i="13" s="1"/>
  <c r="B193" i="13"/>
  <c r="A193" i="13"/>
  <c r="N192" i="13"/>
  <c r="K192" i="13"/>
  <c r="J192" i="13"/>
  <c r="I192" i="13" s="1"/>
  <c r="G192" i="13"/>
  <c r="F192" i="13"/>
  <c r="E192" i="13"/>
  <c r="M192" i="13" s="1"/>
  <c r="D192" i="13"/>
  <c r="C192" i="13" s="1"/>
  <c r="B192" i="13"/>
  <c r="A192" i="13"/>
  <c r="N191" i="13"/>
  <c r="F191" i="13"/>
  <c r="E191" i="13"/>
  <c r="D191" i="13"/>
  <c r="C191" i="13" s="1"/>
  <c r="B191" i="13"/>
  <c r="A191" i="13"/>
  <c r="N190" i="13"/>
  <c r="L190" i="13"/>
  <c r="F190" i="13"/>
  <c r="E190" i="13"/>
  <c r="K190" i="13" s="1"/>
  <c r="D190" i="13"/>
  <c r="C190" i="13" s="1"/>
  <c r="B190" i="13"/>
  <c r="A190" i="13"/>
  <c r="N189" i="13"/>
  <c r="K189" i="13"/>
  <c r="F189" i="13"/>
  <c r="E189" i="13"/>
  <c r="L189" i="13" s="1"/>
  <c r="D189" i="13"/>
  <c r="C189" i="13" s="1"/>
  <c r="B189" i="13"/>
  <c r="A189" i="13"/>
  <c r="N188" i="13"/>
  <c r="L188" i="13"/>
  <c r="F188" i="13"/>
  <c r="E188" i="13"/>
  <c r="M188" i="13" s="1"/>
  <c r="D188" i="13"/>
  <c r="C188" i="13"/>
  <c r="B188" i="13"/>
  <c r="A188" i="13"/>
  <c r="N187" i="13"/>
  <c r="M187" i="13"/>
  <c r="F187" i="13"/>
  <c r="E187" i="13"/>
  <c r="L187" i="13" s="1"/>
  <c r="D187" i="13"/>
  <c r="C187" i="13" s="1"/>
  <c r="B187" i="13"/>
  <c r="A187" i="13"/>
  <c r="N186" i="13"/>
  <c r="F186" i="13"/>
  <c r="E186" i="13"/>
  <c r="M186" i="13" s="1"/>
  <c r="D186" i="13"/>
  <c r="C186" i="13" s="1"/>
  <c r="B186" i="13"/>
  <c r="A186" i="13"/>
  <c r="N185" i="13"/>
  <c r="F185" i="13"/>
  <c r="E185" i="13"/>
  <c r="M185" i="13" s="1"/>
  <c r="D185" i="13"/>
  <c r="C185" i="13" s="1"/>
  <c r="B185" i="13"/>
  <c r="A185" i="13"/>
  <c r="N184" i="13"/>
  <c r="F184" i="13"/>
  <c r="E184" i="13"/>
  <c r="M184" i="13" s="1"/>
  <c r="D184" i="13"/>
  <c r="C184" i="13" s="1"/>
  <c r="B184" i="13"/>
  <c r="A184" i="13"/>
  <c r="N183" i="13"/>
  <c r="M183" i="13"/>
  <c r="K183" i="13"/>
  <c r="J183" i="13"/>
  <c r="I183" i="13" s="1"/>
  <c r="G183" i="13"/>
  <c r="F183" i="13"/>
  <c r="E183" i="13"/>
  <c r="L183" i="13" s="1"/>
  <c r="D183" i="13"/>
  <c r="C183" i="13" s="1"/>
  <c r="B183" i="13"/>
  <c r="A183" i="13"/>
  <c r="N182" i="13"/>
  <c r="J182" i="13"/>
  <c r="I182" i="13" s="1"/>
  <c r="G182" i="13"/>
  <c r="F182" i="13"/>
  <c r="E182" i="13"/>
  <c r="M182" i="13" s="1"/>
  <c r="D182" i="13"/>
  <c r="C182" i="13" s="1"/>
  <c r="B182" i="13"/>
  <c r="A182" i="13"/>
  <c r="N181" i="13"/>
  <c r="J181" i="13"/>
  <c r="I181" i="13" s="1"/>
  <c r="F181" i="13"/>
  <c r="E181" i="13"/>
  <c r="G181" i="13" s="1"/>
  <c r="D181" i="13"/>
  <c r="C181" i="13"/>
  <c r="B181" i="13"/>
  <c r="A181" i="13"/>
  <c r="N180" i="13"/>
  <c r="M180" i="13"/>
  <c r="G180" i="13"/>
  <c r="F180" i="13"/>
  <c r="E180" i="13"/>
  <c r="L180" i="13" s="1"/>
  <c r="D180" i="13"/>
  <c r="C180" i="13" s="1"/>
  <c r="B180" i="13"/>
  <c r="A180" i="13"/>
  <c r="N179" i="13"/>
  <c r="M179" i="13"/>
  <c r="L179" i="13"/>
  <c r="F179" i="13"/>
  <c r="E179" i="13"/>
  <c r="J179" i="13" s="1"/>
  <c r="I179" i="13" s="1"/>
  <c r="D179" i="13"/>
  <c r="C179" i="13"/>
  <c r="B179" i="13"/>
  <c r="A179" i="13"/>
  <c r="N178" i="13"/>
  <c r="M178" i="13"/>
  <c r="J178" i="13"/>
  <c r="I178" i="13" s="1"/>
  <c r="F178" i="13"/>
  <c r="E178" i="13"/>
  <c r="K178" i="13" s="1"/>
  <c r="D178" i="13"/>
  <c r="C178" i="13" s="1"/>
  <c r="B178" i="13"/>
  <c r="A178" i="13"/>
  <c r="N177" i="13"/>
  <c r="F177" i="13"/>
  <c r="E177" i="13"/>
  <c r="L177" i="13" s="1"/>
  <c r="D177" i="13"/>
  <c r="C177" i="13"/>
  <c r="B177" i="13"/>
  <c r="A177" i="13"/>
  <c r="N176" i="13"/>
  <c r="G176" i="13"/>
  <c r="F176" i="13"/>
  <c r="E176" i="13"/>
  <c r="M176" i="13" s="1"/>
  <c r="D176" i="13"/>
  <c r="C176" i="13"/>
  <c r="B176" i="13"/>
  <c r="A176" i="13"/>
  <c r="N175" i="13"/>
  <c r="M175" i="13"/>
  <c r="F175" i="13"/>
  <c r="E175" i="13"/>
  <c r="L175" i="13" s="1"/>
  <c r="D175" i="13"/>
  <c r="C175" i="13" s="1"/>
  <c r="B175" i="13"/>
  <c r="A175" i="13"/>
  <c r="N174" i="13"/>
  <c r="F174" i="13"/>
  <c r="E174" i="13"/>
  <c r="M174" i="13" s="1"/>
  <c r="D174" i="13"/>
  <c r="C174" i="13" s="1"/>
  <c r="B174" i="13"/>
  <c r="A174" i="13"/>
  <c r="N173" i="13"/>
  <c r="F173" i="13"/>
  <c r="E173" i="13"/>
  <c r="M173" i="13" s="1"/>
  <c r="D173" i="13"/>
  <c r="C173" i="13" s="1"/>
  <c r="B173" i="13"/>
  <c r="A173" i="13"/>
  <c r="N172" i="13"/>
  <c r="F172" i="13"/>
  <c r="E172" i="13"/>
  <c r="M172" i="13" s="1"/>
  <c r="D172" i="13"/>
  <c r="C172" i="13" s="1"/>
  <c r="B172" i="13"/>
  <c r="A172" i="13"/>
  <c r="N171" i="13"/>
  <c r="M171" i="13"/>
  <c r="K171" i="13"/>
  <c r="J171" i="13"/>
  <c r="I171" i="13" s="1"/>
  <c r="G171" i="13"/>
  <c r="F171" i="13"/>
  <c r="E171" i="13"/>
  <c r="L171" i="13" s="1"/>
  <c r="D171" i="13"/>
  <c r="C171" i="13" s="1"/>
  <c r="B171" i="13"/>
  <c r="A171" i="13"/>
  <c r="N170" i="13"/>
  <c r="F170" i="13"/>
  <c r="E170" i="13"/>
  <c r="M170" i="13" s="1"/>
  <c r="D170" i="13"/>
  <c r="C170" i="13" s="1"/>
  <c r="B170" i="13"/>
  <c r="A170" i="13"/>
  <c r="N169" i="13"/>
  <c r="F169" i="13"/>
  <c r="E169" i="13"/>
  <c r="D169" i="13"/>
  <c r="C169" i="13" s="1"/>
  <c r="B169" i="13"/>
  <c r="A169" i="13"/>
  <c r="N168" i="13"/>
  <c r="F168" i="13"/>
  <c r="E168" i="13"/>
  <c r="D168" i="13"/>
  <c r="C168" i="13" s="1"/>
  <c r="B168" i="13"/>
  <c r="A168" i="13"/>
  <c r="N167" i="13"/>
  <c r="M167" i="13"/>
  <c r="L167" i="13"/>
  <c r="K167" i="13"/>
  <c r="F167" i="13"/>
  <c r="E167" i="13"/>
  <c r="J167" i="13" s="1"/>
  <c r="I167" i="13" s="1"/>
  <c r="D167" i="13"/>
  <c r="C167" i="13"/>
  <c r="B167" i="13"/>
  <c r="A167" i="13"/>
  <c r="N166" i="13"/>
  <c r="F166" i="13"/>
  <c r="E166" i="13"/>
  <c r="K166" i="13" s="1"/>
  <c r="D166" i="13"/>
  <c r="C166" i="13" s="1"/>
  <c r="B166" i="13"/>
  <c r="A166" i="13"/>
  <c r="N165" i="13"/>
  <c r="M165" i="13"/>
  <c r="K165" i="13"/>
  <c r="F165" i="13"/>
  <c r="E165" i="13"/>
  <c r="L165" i="13" s="1"/>
  <c r="D165" i="13"/>
  <c r="C165" i="13" s="1"/>
  <c r="B165" i="13"/>
  <c r="A165" i="13"/>
  <c r="N164" i="13"/>
  <c r="F164" i="13"/>
  <c r="E164" i="13"/>
  <c r="D164" i="13"/>
  <c r="C164" i="13" s="1"/>
  <c r="B164" i="13"/>
  <c r="A164" i="13"/>
  <c r="N163" i="13"/>
  <c r="M163" i="13"/>
  <c r="J163" i="13"/>
  <c r="I163" i="13" s="1"/>
  <c r="F163" i="13"/>
  <c r="E163" i="13"/>
  <c r="L163" i="13" s="1"/>
  <c r="D163" i="13"/>
  <c r="C163" i="13"/>
  <c r="B163" i="13"/>
  <c r="A163" i="13"/>
  <c r="N162" i="13"/>
  <c r="F162" i="13"/>
  <c r="E162" i="13"/>
  <c r="M162" i="13" s="1"/>
  <c r="D162" i="13"/>
  <c r="C162" i="13" s="1"/>
  <c r="B162" i="13"/>
  <c r="A162" i="13"/>
  <c r="N161" i="13"/>
  <c r="F161" i="13"/>
  <c r="E161" i="13"/>
  <c r="M161" i="13" s="1"/>
  <c r="D161" i="13"/>
  <c r="C161" i="13" s="1"/>
  <c r="B161" i="13"/>
  <c r="A161" i="13"/>
  <c r="N160" i="13"/>
  <c r="G160" i="13"/>
  <c r="F160" i="13"/>
  <c r="E160" i="13"/>
  <c r="M160" i="13" s="1"/>
  <c r="D160" i="13"/>
  <c r="C160" i="13" s="1"/>
  <c r="B160" i="13"/>
  <c r="A160" i="13"/>
  <c r="N159" i="13"/>
  <c r="M159" i="13"/>
  <c r="F159" i="13"/>
  <c r="E159" i="13"/>
  <c r="K159" i="13" s="1"/>
  <c r="D159" i="13"/>
  <c r="C159" i="13" s="1"/>
  <c r="B159" i="13"/>
  <c r="A159" i="13"/>
  <c r="N158" i="13"/>
  <c r="J158" i="13"/>
  <c r="I158" i="13" s="1"/>
  <c r="F158" i="13"/>
  <c r="E158" i="13"/>
  <c r="M158" i="13" s="1"/>
  <c r="D158" i="13"/>
  <c r="C158" i="13" s="1"/>
  <c r="B158" i="13"/>
  <c r="A158" i="13"/>
  <c r="N157" i="13"/>
  <c r="F157" i="13"/>
  <c r="E157" i="13"/>
  <c r="G157" i="13" s="1"/>
  <c r="D157" i="13"/>
  <c r="C157" i="13" s="1"/>
  <c r="B157" i="13"/>
  <c r="A157" i="13"/>
  <c r="N156" i="13"/>
  <c r="K156" i="13"/>
  <c r="F156" i="13"/>
  <c r="E156" i="13"/>
  <c r="M156" i="13" s="1"/>
  <c r="D156" i="13"/>
  <c r="C156" i="13" s="1"/>
  <c r="B156" i="13"/>
  <c r="A156" i="13"/>
  <c r="N155" i="13"/>
  <c r="M155" i="13"/>
  <c r="L155" i="13"/>
  <c r="K155" i="13"/>
  <c r="F155" i="13"/>
  <c r="E155" i="13"/>
  <c r="J155" i="13" s="1"/>
  <c r="I155" i="13" s="1"/>
  <c r="D155" i="13"/>
  <c r="C155" i="13"/>
  <c r="B155" i="13"/>
  <c r="A155" i="13"/>
  <c r="N154" i="13"/>
  <c r="F154" i="13"/>
  <c r="E154" i="13"/>
  <c r="K154" i="13" s="1"/>
  <c r="D154" i="13"/>
  <c r="C154" i="13" s="1"/>
  <c r="B154" i="13"/>
  <c r="A154" i="13"/>
  <c r="N153" i="13"/>
  <c r="M153" i="13"/>
  <c r="K153" i="13"/>
  <c r="F153" i="13"/>
  <c r="E153" i="13"/>
  <c r="L153" i="13" s="1"/>
  <c r="D153" i="13"/>
  <c r="C153" i="13" s="1"/>
  <c r="B153" i="13"/>
  <c r="A153" i="13"/>
  <c r="N152" i="13"/>
  <c r="F152" i="13"/>
  <c r="E152" i="13"/>
  <c r="D152" i="13"/>
  <c r="C152" i="13" s="1"/>
  <c r="B152" i="13"/>
  <c r="A152" i="13"/>
  <c r="N151" i="13"/>
  <c r="J151" i="13"/>
  <c r="I151" i="13" s="1"/>
  <c r="F151" i="13"/>
  <c r="E151" i="13"/>
  <c r="L151" i="13" s="1"/>
  <c r="D151" i="13"/>
  <c r="C151" i="13" s="1"/>
  <c r="B151" i="13"/>
  <c r="A151" i="13"/>
  <c r="N150" i="13"/>
  <c r="F150" i="13"/>
  <c r="E150" i="13"/>
  <c r="M150" i="13" s="1"/>
  <c r="D150" i="13"/>
  <c r="C150" i="13" s="1"/>
  <c r="B150" i="13"/>
  <c r="A150" i="13"/>
  <c r="N149" i="13"/>
  <c r="F149" i="13"/>
  <c r="E149" i="13"/>
  <c r="D149" i="13"/>
  <c r="C149" i="13" s="1"/>
  <c r="B149" i="13"/>
  <c r="A149" i="13"/>
  <c r="N148" i="13"/>
  <c r="F148" i="13"/>
  <c r="E148" i="13"/>
  <c r="M148" i="13" s="1"/>
  <c r="D148" i="13"/>
  <c r="C148" i="13" s="1"/>
  <c r="B148" i="13"/>
  <c r="A148" i="13"/>
  <c r="N147" i="13"/>
  <c r="J147" i="13"/>
  <c r="I147" i="13" s="1"/>
  <c r="G147" i="13"/>
  <c r="F147" i="13"/>
  <c r="E147" i="13"/>
  <c r="L147" i="13" s="1"/>
  <c r="D147" i="13"/>
  <c r="C147" i="13" s="1"/>
  <c r="B147" i="13"/>
  <c r="A147" i="13"/>
  <c r="N146" i="13"/>
  <c r="F146" i="13"/>
  <c r="E146" i="13"/>
  <c r="M146" i="13" s="1"/>
  <c r="D146" i="13"/>
  <c r="C146" i="13" s="1"/>
  <c r="B146" i="13"/>
  <c r="A146" i="13"/>
  <c r="N145" i="13"/>
  <c r="J145" i="13"/>
  <c r="I145" i="13" s="1"/>
  <c r="F145" i="13"/>
  <c r="E145" i="13"/>
  <c r="G145" i="13" s="1"/>
  <c r="D145" i="13"/>
  <c r="C145" i="13"/>
  <c r="B145" i="13"/>
  <c r="A145" i="13"/>
  <c r="N144" i="13"/>
  <c r="M144" i="13"/>
  <c r="G144" i="13"/>
  <c r="F144" i="13"/>
  <c r="E144" i="13"/>
  <c r="L144" i="13" s="1"/>
  <c r="D144" i="13"/>
  <c r="C144" i="13"/>
  <c r="B144" i="13"/>
  <c r="A144" i="13"/>
  <c r="N143" i="13"/>
  <c r="M143" i="13"/>
  <c r="F143" i="13"/>
  <c r="E143" i="13"/>
  <c r="J143" i="13" s="1"/>
  <c r="I143" i="13" s="1"/>
  <c r="D143" i="13"/>
  <c r="C143" i="13" s="1"/>
  <c r="B143" i="13"/>
  <c r="A143" i="13"/>
  <c r="N142" i="13"/>
  <c r="M142" i="13"/>
  <c r="L142" i="13"/>
  <c r="J142" i="13"/>
  <c r="I142" i="13" s="1"/>
  <c r="F142" i="13"/>
  <c r="E142" i="13"/>
  <c r="K142" i="13" s="1"/>
  <c r="D142" i="13"/>
  <c r="C142" i="13" s="1"/>
  <c r="B142" i="13"/>
  <c r="A142" i="13"/>
  <c r="N141" i="13"/>
  <c r="K141" i="13"/>
  <c r="F141" i="13"/>
  <c r="E141" i="13"/>
  <c r="L141" i="13" s="1"/>
  <c r="D141" i="13"/>
  <c r="C141" i="13"/>
  <c r="B141" i="13"/>
  <c r="A141" i="13"/>
  <c r="N140" i="13"/>
  <c r="L140" i="13"/>
  <c r="G140" i="13"/>
  <c r="F140" i="13"/>
  <c r="E140" i="13"/>
  <c r="M140" i="13" s="1"/>
  <c r="D140" i="13"/>
  <c r="C140" i="13"/>
  <c r="B140" i="13"/>
  <c r="A140" i="13"/>
  <c r="N139" i="13"/>
  <c r="G139" i="13"/>
  <c r="F139" i="13"/>
  <c r="E139" i="13"/>
  <c r="L139" i="13" s="1"/>
  <c r="D139" i="13"/>
  <c r="C139" i="13" s="1"/>
  <c r="B139" i="13"/>
  <c r="A139" i="13"/>
  <c r="N138" i="13"/>
  <c r="F138" i="13"/>
  <c r="E138" i="13"/>
  <c r="D138" i="13"/>
  <c r="C138" i="13" s="1"/>
  <c r="B138" i="13"/>
  <c r="A138" i="13"/>
  <c r="N137" i="13"/>
  <c r="F137" i="13"/>
  <c r="E137" i="13"/>
  <c r="D137" i="13"/>
  <c r="C137" i="13" s="1"/>
  <c r="B137" i="13"/>
  <c r="A137" i="13"/>
  <c r="N136" i="13"/>
  <c r="F136" i="13"/>
  <c r="E136" i="13"/>
  <c r="M136" i="13" s="1"/>
  <c r="D136" i="13"/>
  <c r="C136" i="13"/>
  <c r="B136" i="13"/>
  <c r="A136" i="13"/>
  <c r="N135" i="13"/>
  <c r="L135" i="13"/>
  <c r="K135" i="13"/>
  <c r="J135" i="13"/>
  <c r="I135" i="13"/>
  <c r="G135" i="13"/>
  <c r="F135" i="13"/>
  <c r="E135" i="13"/>
  <c r="M135" i="13" s="1"/>
  <c r="D135" i="13"/>
  <c r="C135" i="13" s="1"/>
  <c r="B135" i="13"/>
  <c r="A135" i="13"/>
  <c r="N134" i="13"/>
  <c r="F134" i="13"/>
  <c r="E134" i="13"/>
  <c r="D134" i="13"/>
  <c r="C134" i="13" s="1"/>
  <c r="B134" i="13"/>
  <c r="A134" i="13"/>
  <c r="N133" i="13"/>
  <c r="F133" i="13"/>
  <c r="E133" i="13"/>
  <c r="D133" i="13"/>
  <c r="C133" i="13" s="1"/>
  <c r="B133" i="13"/>
  <c r="A133" i="13"/>
  <c r="N132" i="13"/>
  <c r="F132" i="13"/>
  <c r="E132" i="13"/>
  <c r="D132" i="13"/>
  <c r="C132" i="13" s="1"/>
  <c r="B132" i="13"/>
  <c r="A132" i="13"/>
  <c r="N131" i="13"/>
  <c r="M131" i="13"/>
  <c r="L131" i="13"/>
  <c r="K131" i="13"/>
  <c r="F131" i="13"/>
  <c r="E131" i="13"/>
  <c r="J131" i="13" s="1"/>
  <c r="I131" i="13" s="1"/>
  <c r="D131" i="13"/>
  <c r="C131" i="13"/>
  <c r="B131" i="13"/>
  <c r="A131" i="13"/>
  <c r="N130" i="13"/>
  <c r="M130" i="13"/>
  <c r="J130" i="13"/>
  <c r="I130" i="13" s="1"/>
  <c r="F130" i="13"/>
  <c r="E130" i="13"/>
  <c r="K130" i="13" s="1"/>
  <c r="D130" i="13"/>
  <c r="C130" i="13" s="1"/>
  <c r="B130" i="13"/>
  <c r="A130" i="13"/>
  <c r="N129" i="13"/>
  <c r="F129" i="13"/>
  <c r="E129" i="13"/>
  <c r="L129" i="13" s="1"/>
  <c r="D129" i="13"/>
  <c r="C129" i="13"/>
  <c r="B129" i="13"/>
  <c r="A129" i="13"/>
  <c r="N128" i="13"/>
  <c r="G128" i="13"/>
  <c r="F128" i="13"/>
  <c r="E128" i="13"/>
  <c r="M128" i="13" s="1"/>
  <c r="D128" i="13"/>
  <c r="C128" i="13"/>
  <c r="B128" i="13"/>
  <c r="A128" i="13"/>
  <c r="N127" i="13"/>
  <c r="F127" i="13"/>
  <c r="E127" i="13"/>
  <c r="D127" i="13"/>
  <c r="C127" i="13" s="1"/>
  <c r="B127" i="13"/>
  <c r="A127" i="13"/>
  <c r="N126" i="13"/>
  <c r="F126" i="13"/>
  <c r="E126" i="13"/>
  <c r="D126" i="13"/>
  <c r="C126" i="13" s="1"/>
  <c r="B126" i="13"/>
  <c r="A126" i="13"/>
  <c r="N125" i="13"/>
  <c r="F125" i="13"/>
  <c r="E125" i="13"/>
  <c r="D125" i="13"/>
  <c r="C125" i="13" s="1"/>
  <c r="B125" i="13"/>
  <c r="A125" i="13"/>
  <c r="N124" i="13"/>
  <c r="G124" i="13"/>
  <c r="F124" i="13"/>
  <c r="E124" i="13"/>
  <c r="D124" i="13"/>
  <c r="C124" i="13"/>
  <c r="B124" i="13"/>
  <c r="A124" i="13"/>
  <c r="N123" i="13"/>
  <c r="L123" i="13"/>
  <c r="J123" i="13"/>
  <c r="I123" i="13"/>
  <c r="G123" i="13"/>
  <c r="F123" i="13"/>
  <c r="E123" i="13"/>
  <c r="M123" i="13" s="1"/>
  <c r="D123" i="13"/>
  <c r="C123" i="13" s="1"/>
  <c r="B123" i="13"/>
  <c r="A123" i="13"/>
  <c r="N122" i="13"/>
  <c r="F122" i="13"/>
  <c r="E122" i="13"/>
  <c r="D122" i="13"/>
  <c r="C122" i="13" s="1"/>
  <c r="B122" i="13"/>
  <c r="A122" i="13"/>
  <c r="N121" i="13"/>
  <c r="J121" i="13"/>
  <c r="I121" i="13" s="1"/>
  <c r="F121" i="13"/>
  <c r="E121" i="13"/>
  <c r="G121" i="13" s="1"/>
  <c r="D121" i="13"/>
  <c r="C121" i="13"/>
  <c r="B121" i="13"/>
  <c r="A121" i="13"/>
  <c r="N120" i="13"/>
  <c r="M120" i="13"/>
  <c r="G120" i="13"/>
  <c r="F120" i="13"/>
  <c r="E120" i="13"/>
  <c r="L120" i="13" s="1"/>
  <c r="D120" i="13"/>
  <c r="C120" i="13"/>
  <c r="B120" i="13"/>
  <c r="A120" i="13"/>
  <c r="N119" i="13"/>
  <c r="F119" i="13"/>
  <c r="E119" i="13"/>
  <c r="D119" i="13"/>
  <c r="C119" i="13" s="1"/>
  <c r="B119" i="13"/>
  <c r="A119" i="13"/>
  <c r="N118" i="13"/>
  <c r="M118" i="13"/>
  <c r="L118" i="13"/>
  <c r="J118" i="13"/>
  <c r="I118" i="13" s="1"/>
  <c r="F118" i="13"/>
  <c r="E118" i="13"/>
  <c r="K118" i="13" s="1"/>
  <c r="D118" i="13"/>
  <c r="C118" i="13" s="1"/>
  <c r="B118" i="13"/>
  <c r="A118" i="13"/>
  <c r="N117" i="13"/>
  <c r="F117" i="13"/>
  <c r="E117" i="13"/>
  <c r="D117" i="13"/>
  <c r="C117" i="13"/>
  <c r="B117" i="13"/>
  <c r="A117" i="13"/>
  <c r="N116" i="13"/>
  <c r="G116" i="13"/>
  <c r="F116" i="13"/>
  <c r="E116" i="13"/>
  <c r="M116" i="13" s="1"/>
  <c r="D116" i="13"/>
  <c r="C116" i="13"/>
  <c r="B116" i="13"/>
  <c r="A116" i="13"/>
  <c r="N115" i="13"/>
  <c r="M115" i="13"/>
  <c r="G115" i="13"/>
  <c r="F115" i="13"/>
  <c r="E115" i="13"/>
  <c r="L115" i="13" s="1"/>
  <c r="D115" i="13"/>
  <c r="C115" i="13"/>
  <c r="B115" i="13"/>
  <c r="A115" i="13"/>
  <c r="N114" i="13"/>
  <c r="F114" i="13"/>
  <c r="E114" i="13"/>
  <c r="D114" i="13"/>
  <c r="C114" i="13" s="1"/>
  <c r="B114" i="13"/>
  <c r="A114" i="13"/>
  <c r="N113" i="13"/>
  <c r="J113" i="13"/>
  <c r="I113" i="13" s="1"/>
  <c r="F113" i="13"/>
  <c r="E113" i="13"/>
  <c r="K113" i="13" s="1"/>
  <c r="D113" i="13"/>
  <c r="C113" i="13" s="1"/>
  <c r="B113" i="13"/>
  <c r="A113" i="13"/>
  <c r="N112" i="13"/>
  <c r="F112" i="13"/>
  <c r="E112" i="13"/>
  <c r="D112" i="13"/>
  <c r="C112" i="13" s="1"/>
  <c r="B112" i="13"/>
  <c r="A112" i="13"/>
  <c r="N111" i="13"/>
  <c r="M111" i="13"/>
  <c r="J111" i="13"/>
  <c r="I111" i="13" s="1"/>
  <c r="G111" i="13"/>
  <c r="F111" i="13"/>
  <c r="E111" i="13"/>
  <c r="L111" i="13" s="1"/>
  <c r="D111" i="13"/>
  <c r="C111" i="13" s="1"/>
  <c r="B111" i="13"/>
  <c r="A111" i="13"/>
  <c r="N110" i="13"/>
  <c r="M110" i="13"/>
  <c r="F110" i="13"/>
  <c r="E110" i="13"/>
  <c r="D110" i="13"/>
  <c r="C110" i="13" s="1"/>
  <c r="B110" i="13"/>
  <c r="A110" i="13"/>
  <c r="N109" i="13"/>
  <c r="J109" i="13"/>
  <c r="I109" i="13" s="1"/>
  <c r="F109" i="13"/>
  <c r="E109" i="13"/>
  <c r="G109" i="13" s="1"/>
  <c r="D109" i="13"/>
  <c r="C109" i="13"/>
  <c r="B109" i="13"/>
  <c r="A109" i="13"/>
  <c r="N108" i="13"/>
  <c r="M108" i="13"/>
  <c r="G108" i="13"/>
  <c r="F108" i="13"/>
  <c r="E108" i="13"/>
  <c r="L108" i="13" s="1"/>
  <c r="D108" i="13"/>
  <c r="C108" i="13" s="1"/>
  <c r="B108" i="13"/>
  <c r="A108" i="13"/>
  <c r="N107" i="13"/>
  <c r="K107" i="13"/>
  <c r="F107" i="13"/>
  <c r="E107" i="13"/>
  <c r="D107" i="13"/>
  <c r="C107" i="13"/>
  <c r="B107" i="13"/>
  <c r="A107" i="13"/>
  <c r="N106" i="13"/>
  <c r="F106" i="13"/>
  <c r="E106" i="13"/>
  <c r="D106" i="13"/>
  <c r="C106" i="13" s="1"/>
  <c r="B106" i="13"/>
  <c r="A106" i="13"/>
  <c r="N105" i="13"/>
  <c r="F105" i="13"/>
  <c r="E105" i="13"/>
  <c r="D105" i="13"/>
  <c r="C105" i="13" s="1"/>
  <c r="B105" i="13"/>
  <c r="A105" i="13"/>
  <c r="N104" i="13"/>
  <c r="L104" i="13"/>
  <c r="G104" i="13"/>
  <c r="F104" i="13"/>
  <c r="E104" i="13"/>
  <c r="M104" i="13" s="1"/>
  <c r="D104" i="13"/>
  <c r="C104" i="13" s="1"/>
  <c r="B104" i="13"/>
  <c r="A104" i="13"/>
  <c r="N103" i="13"/>
  <c r="F103" i="13"/>
  <c r="E103" i="13"/>
  <c r="D103" i="13"/>
  <c r="C103" i="13" s="1"/>
  <c r="B103" i="13"/>
  <c r="A103" i="13"/>
  <c r="N102" i="13"/>
  <c r="F102" i="13"/>
  <c r="E102" i="13"/>
  <c r="D102" i="13"/>
  <c r="C102" i="13"/>
  <c r="B102" i="13"/>
  <c r="A102" i="13"/>
  <c r="N101" i="13"/>
  <c r="F101" i="13"/>
  <c r="E101" i="13"/>
  <c r="M101" i="13" s="1"/>
  <c r="D101" i="13"/>
  <c r="C101" i="13" s="1"/>
  <c r="B101" i="13"/>
  <c r="A101" i="13"/>
  <c r="N100" i="13"/>
  <c r="F100" i="13"/>
  <c r="E100" i="13"/>
  <c r="D100" i="13"/>
  <c r="C100" i="13" s="1"/>
  <c r="B100" i="13"/>
  <c r="A100" i="13"/>
  <c r="N99" i="13"/>
  <c r="F99" i="13"/>
  <c r="E99" i="13"/>
  <c r="D99" i="13"/>
  <c r="C99" i="13" s="1"/>
  <c r="B99" i="13"/>
  <c r="A99" i="13"/>
  <c r="N98" i="13"/>
  <c r="M98" i="13"/>
  <c r="G98" i="13"/>
  <c r="F98" i="13"/>
  <c r="E98" i="13"/>
  <c r="L98" i="13" s="1"/>
  <c r="D98" i="13"/>
  <c r="C98" i="13" s="1"/>
  <c r="B98" i="13"/>
  <c r="A98" i="13"/>
  <c r="N97" i="13"/>
  <c r="M97" i="13"/>
  <c r="J97" i="13"/>
  <c r="I97" i="13" s="1"/>
  <c r="F97" i="13"/>
  <c r="E97" i="13"/>
  <c r="G97" i="13" s="1"/>
  <c r="D97" i="13"/>
  <c r="C97" i="13" s="1"/>
  <c r="B97" i="13"/>
  <c r="A97" i="13"/>
  <c r="N96" i="13"/>
  <c r="M96" i="13"/>
  <c r="L96" i="13"/>
  <c r="G96" i="13"/>
  <c r="F96" i="13"/>
  <c r="E96" i="13"/>
  <c r="K96" i="13" s="1"/>
  <c r="D96" i="13"/>
  <c r="C96" i="13" s="1"/>
  <c r="B96" i="13"/>
  <c r="A96" i="13"/>
  <c r="N95" i="13"/>
  <c r="M95" i="13"/>
  <c r="F95" i="13"/>
  <c r="E95" i="13"/>
  <c r="D95" i="13"/>
  <c r="C95" i="13" s="1"/>
  <c r="B95" i="13"/>
  <c r="A95" i="13"/>
  <c r="N94" i="13"/>
  <c r="L94" i="13"/>
  <c r="J94" i="13"/>
  <c r="I94" i="13" s="1"/>
  <c r="F94" i="13"/>
  <c r="E94" i="13"/>
  <c r="D94" i="13"/>
  <c r="C94" i="13"/>
  <c r="B94" i="13"/>
  <c r="A94" i="13"/>
  <c r="N93" i="13"/>
  <c r="F93" i="13"/>
  <c r="E93" i="13"/>
  <c r="D93" i="13"/>
  <c r="C93" i="13" s="1"/>
  <c r="B93" i="13"/>
  <c r="A93" i="13"/>
  <c r="N92" i="13"/>
  <c r="F92" i="13"/>
  <c r="E92" i="13"/>
  <c r="D92" i="13"/>
  <c r="C92" i="13" s="1"/>
  <c r="B92" i="13"/>
  <c r="A92" i="13"/>
  <c r="N91" i="13"/>
  <c r="F91" i="13"/>
  <c r="E91" i="13"/>
  <c r="K91" i="13" s="1"/>
  <c r="D91" i="13"/>
  <c r="C91" i="13" s="1"/>
  <c r="B91" i="13"/>
  <c r="A91" i="13"/>
  <c r="N90" i="13"/>
  <c r="J90" i="13"/>
  <c r="I90" i="13" s="1"/>
  <c r="F90" i="13"/>
  <c r="E90" i="13"/>
  <c r="L90" i="13" s="1"/>
  <c r="D90" i="13"/>
  <c r="C90" i="13" s="1"/>
  <c r="B90" i="13"/>
  <c r="A90" i="13"/>
  <c r="N89" i="13"/>
  <c r="J89" i="13"/>
  <c r="I89" i="13" s="1"/>
  <c r="F89" i="13"/>
  <c r="E89" i="13"/>
  <c r="M89" i="13" s="1"/>
  <c r="D89" i="13"/>
  <c r="C89" i="13" s="1"/>
  <c r="B89" i="13"/>
  <c r="A89" i="13"/>
  <c r="N88" i="13"/>
  <c r="F88" i="13"/>
  <c r="E88" i="13"/>
  <c r="G88" i="13" s="1"/>
  <c r="D88" i="13"/>
  <c r="C88" i="13"/>
  <c r="B88" i="13"/>
  <c r="A88" i="13"/>
  <c r="N87" i="13"/>
  <c r="K87" i="13"/>
  <c r="F87" i="13"/>
  <c r="E87" i="13"/>
  <c r="G87" i="13" s="1"/>
  <c r="D87" i="13"/>
  <c r="C87" i="13" s="1"/>
  <c r="B87" i="13"/>
  <c r="A87" i="13"/>
  <c r="N86" i="13"/>
  <c r="G86" i="13"/>
  <c r="F86" i="13"/>
  <c r="E86" i="13"/>
  <c r="K86" i="13" s="1"/>
  <c r="D86" i="13"/>
  <c r="C86" i="13" s="1"/>
  <c r="B86" i="13"/>
  <c r="A86" i="13"/>
  <c r="N85" i="13"/>
  <c r="M85" i="13"/>
  <c r="L85" i="13"/>
  <c r="F85" i="13"/>
  <c r="E85" i="13"/>
  <c r="G85" i="13" s="1"/>
  <c r="D85" i="13"/>
  <c r="C85" i="13"/>
  <c r="B85" i="13"/>
  <c r="A85" i="13"/>
  <c r="N84" i="13"/>
  <c r="M84" i="13"/>
  <c r="L84" i="13"/>
  <c r="K84" i="13"/>
  <c r="J84" i="13"/>
  <c r="I84" i="13"/>
  <c r="G84" i="13"/>
  <c r="F84" i="13"/>
  <c r="E84" i="13"/>
  <c r="D84" i="13"/>
  <c r="C84" i="13"/>
  <c r="B84" i="13"/>
  <c r="A84" i="13"/>
  <c r="N83" i="13"/>
  <c r="F83" i="13"/>
  <c r="E83" i="13"/>
  <c r="L83" i="13" s="1"/>
  <c r="D83" i="13"/>
  <c r="C83" i="13" s="1"/>
  <c r="B83" i="13"/>
  <c r="A83" i="13"/>
  <c r="N82" i="13"/>
  <c r="J82" i="13"/>
  <c r="I82" i="13" s="1"/>
  <c r="F82" i="13"/>
  <c r="E82" i="13"/>
  <c r="M82" i="13" s="1"/>
  <c r="D82" i="13"/>
  <c r="C82" i="13" s="1"/>
  <c r="B82" i="13"/>
  <c r="A82" i="13"/>
  <c r="N81" i="13"/>
  <c r="K81" i="13"/>
  <c r="F81" i="13"/>
  <c r="E81" i="13"/>
  <c r="M81" i="13" s="1"/>
  <c r="D81" i="13"/>
  <c r="C81" i="13"/>
  <c r="B81" i="13"/>
  <c r="A81" i="13"/>
  <c r="N80" i="13"/>
  <c r="L80" i="13"/>
  <c r="F80" i="13"/>
  <c r="E80" i="13"/>
  <c r="M80" i="13" s="1"/>
  <c r="D80" i="13"/>
  <c r="C80" i="13" s="1"/>
  <c r="B80" i="13"/>
  <c r="A80" i="13"/>
  <c r="N79" i="13"/>
  <c r="M79" i="13"/>
  <c r="G79" i="13"/>
  <c r="F79" i="13"/>
  <c r="E79" i="13"/>
  <c r="L79" i="13" s="1"/>
  <c r="D79" i="13"/>
  <c r="C79" i="13" s="1"/>
  <c r="B79" i="13"/>
  <c r="A79" i="13"/>
  <c r="N78" i="13"/>
  <c r="F78" i="13"/>
  <c r="E78" i="13"/>
  <c r="D78" i="13"/>
  <c r="C78" i="13" s="1"/>
  <c r="B78" i="13"/>
  <c r="A78" i="13"/>
  <c r="N77" i="13"/>
  <c r="K77" i="13"/>
  <c r="G77" i="13"/>
  <c r="F77" i="13"/>
  <c r="E77" i="13"/>
  <c r="M77" i="13" s="1"/>
  <c r="D77" i="13"/>
  <c r="C77" i="13"/>
  <c r="B77" i="13"/>
  <c r="A77" i="13"/>
  <c r="N76" i="13"/>
  <c r="L76" i="13"/>
  <c r="K76" i="13"/>
  <c r="J76" i="13"/>
  <c r="I76" i="13"/>
  <c r="G76" i="13"/>
  <c r="F76" i="13"/>
  <c r="E76" i="13"/>
  <c r="M76" i="13" s="1"/>
  <c r="D76" i="13"/>
  <c r="C76" i="13"/>
  <c r="B76" i="13"/>
  <c r="A76" i="13"/>
  <c r="N75" i="13"/>
  <c r="M75" i="13"/>
  <c r="L75" i="13"/>
  <c r="K75" i="13"/>
  <c r="J75" i="13"/>
  <c r="I75" i="13"/>
  <c r="F75" i="13"/>
  <c r="E75" i="13"/>
  <c r="G75" i="13" s="1"/>
  <c r="D75" i="13"/>
  <c r="C75" i="13" s="1"/>
  <c r="B75" i="13"/>
  <c r="A75" i="13"/>
  <c r="N74" i="13"/>
  <c r="F74" i="13"/>
  <c r="E74" i="13"/>
  <c r="G74" i="13" s="1"/>
  <c r="D74" i="13"/>
  <c r="C74" i="13" s="1"/>
  <c r="B74" i="13"/>
  <c r="A74" i="13"/>
  <c r="N73" i="13"/>
  <c r="K73" i="13"/>
  <c r="F73" i="13"/>
  <c r="E73" i="13"/>
  <c r="J73" i="13" s="1"/>
  <c r="I73" i="13" s="1"/>
  <c r="D73" i="13"/>
  <c r="C73" i="13"/>
  <c r="B73" i="13"/>
  <c r="A73" i="13"/>
  <c r="N72" i="13"/>
  <c r="M72" i="13"/>
  <c r="F72" i="13"/>
  <c r="E72" i="13"/>
  <c r="K72" i="13" s="1"/>
  <c r="D72" i="13"/>
  <c r="C72" i="13" s="1"/>
  <c r="B72" i="13"/>
  <c r="A72" i="13"/>
  <c r="N71" i="13"/>
  <c r="F71" i="13"/>
  <c r="E71" i="13"/>
  <c r="L71" i="13" s="1"/>
  <c r="D71" i="13"/>
  <c r="C71" i="13"/>
  <c r="B71" i="13"/>
  <c r="A71" i="13"/>
  <c r="N70" i="13"/>
  <c r="F70" i="13"/>
  <c r="E70" i="13"/>
  <c r="M70" i="13" s="1"/>
  <c r="D70" i="13"/>
  <c r="C70" i="13" s="1"/>
  <c r="B70" i="13"/>
  <c r="A70" i="13"/>
  <c r="N69" i="13"/>
  <c r="F69" i="13"/>
  <c r="E69" i="13"/>
  <c r="M69" i="13" s="1"/>
  <c r="D69" i="13"/>
  <c r="C69" i="13" s="1"/>
  <c r="B69" i="13"/>
  <c r="A69" i="13"/>
  <c r="N68" i="13"/>
  <c r="F68" i="13"/>
  <c r="E68" i="13"/>
  <c r="M68" i="13" s="1"/>
  <c r="D68" i="13"/>
  <c r="C68" i="13" s="1"/>
  <c r="B68" i="13"/>
  <c r="A68" i="13"/>
  <c r="N67" i="13"/>
  <c r="M67" i="13"/>
  <c r="F67" i="13"/>
  <c r="E67" i="13"/>
  <c r="L67" i="13" s="1"/>
  <c r="D67" i="13"/>
  <c r="C67" i="13" s="1"/>
  <c r="B67" i="13"/>
  <c r="A67" i="13"/>
  <c r="N66" i="13"/>
  <c r="F66" i="13"/>
  <c r="E66" i="13"/>
  <c r="D66" i="13"/>
  <c r="C66" i="13" s="1"/>
  <c r="B66" i="13"/>
  <c r="A66" i="13"/>
  <c r="N65" i="13"/>
  <c r="K65" i="13"/>
  <c r="F65" i="13"/>
  <c r="E65" i="13"/>
  <c r="M65" i="13" s="1"/>
  <c r="D65" i="13"/>
  <c r="C65" i="13"/>
  <c r="B65" i="13"/>
  <c r="A65" i="13"/>
  <c r="N64" i="13"/>
  <c r="L64" i="13"/>
  <c r="K64" i="13"/>
  <c r="J64" i="13"/>
  <c r="I64" i="13" s="1"/>
  <c r="G64" i="13"/>
  <c r="F64" i="13"/>
  <c r="E64" i="13"/>
  <c r="M64" i="13" s="1"/>
  <c r="D64" i="13"/>
  <c r="C64" i="13"/>
  <c r="B64" i="13"/>
  <c r="A64" i="13"/>
  <c r="N63" i="13"/>
  <c r="L63" i="13"/>
  <c r="K63" i="13"/>
  <c r="J63" i="13"/>
  <c r="I63" i="13"/>
  <c r="G63" i="13"/>
  <c r="F63" i="13"/>
  <c r="E63" i="13"/>
  <c r="M63" i="13" s="1"/>
  <c r="D63" i="13"/>
  <c r="C63" i="13" s="1"/>
  <c r="B63" i="13"/>
  <c r="A63" i="13"/>
  <c r="N62" i="13"/>
  <c r="F62" i="13"/>
  <c r="E62" i="13"/>
  <c r="G62" i="13" s="1"/>
  <c r="D62" i="13"/>
  <c r="C62" i="13" s="1"/>
  <c r="B62" i="13"/>
  <c r="A62" i="13"/>
  <c r="N61" i="13"/>
  <c r="M61" i="13"/>
  <c r="L61" i="13"/>
  <c r="K61" i="13"/>
  <c r="F61" i="13"/>
  <c r="E61" i="13"/>
  <c r="J61" i="13" s="1"/>
  <c r="I61" i="13" s="1"/>
  <c r="D61" i="13"/>
  <c r="C61" i="13"/>
  <c r="B61" i="13"/>
  <c r="A61" i="13"/>
  <c r="N60" i="13"/>
  <c r="F60" i="13"/>
  <c r="E60" i="13"/>
  <c r="D60" i="13"/>
  <c r="C60" i="13" s="1"/>
  <c r="B60" i="13"/>
  <c r="A60" i="13"/>
  <c r="N59" i="13"/>
  <c r="M59" i="13"/>
  <c r="G59" i="13"/>
  <c r="F59" i="13"/>
  <c r="E59" i="13"/>
  <c r="L59" i="13" s="1"/>
  <c r="D59" i="13"/>
  <c r="C59" i="13"/>
  <c r="B59" i="13"/>
  <c r="A59" i="13"/>
  <c r="N58" i="13"/>
  <c r="F58" i="13"/>
  <c r="E58" i="13"/>
  <c r="M58" i="13" s="1"/>
  <c r="D58" i="13"/>
  <c r="C58" i="13" s="1"/>
  <c r="B58" i="13"/>
  <c r="A58" i="13"/>
  <c r="N57" i="13"/>
  <c r="F57" i="13"/>
  <c r="E57" i="13"/>
  <c r="D57" i="13"/>
  <c r="C57" i="13" s="1"/>
  <c r="B57" i="13"/>
  <c r="A57" i="13"/>
  <c r="N56" i="13"/>
  <c r="F56" i="13"/>
  <c r="E56" i="13"/>
  <c r="M56" i="13" s="1"/>
  <c r="D56" i="13"/>
  <c r="C56" i="13"/>
  <c r="B56" i="13"/>
  <c r="A56" i="13"/>
  <c r="N55" i="13"/>
  <c r="F55" i="13"/>
  <c r="E55" i="13"/>
  <c r="D55" i="13"/>
  <c r="C55" i="13" s="1"/>
  <c r="B55" i="13"/>
  <c r="A55" i="13"/>
  <c r="N54" i="13"/>
  <c r="F54" i="13"/>
  <c r="E54" i="13"/>
  <c r="D54" i="13"/>
  <c r="C54" i="13" s="1"/>
  <c r="B54" i="13"/>
  <c r="A54" i="13"/>
  <c r="N53" i="13"/>
  <c r="M53" i="13"/>
  <c r="L53" i="13"/>
  <c r="K53" i="13"/>
  <c r="J53" i="13"/>
  <c r="I53" i="13" s="1"/>
  <c r="G53" i="13"/>
  <c r="F53" i="13"/>
  <c r="E53" i="13"/>
  <c r="D53" i="13"/>
  <c r="C53" i="13" s="1"/>
  <c r="B53" i="13"/>
  <c r="A53" i="13"/>
  <c r="N52" i="13"/>
  <c r="L52" i="13"/>
  <c r="K52" i="13"/>
  <c r="J52" i="13"/>
  <c r="I52" i="13" s="1"/>
  <c r="G52" i="13"/>
  <c r="F52" i="13"/>
  <c r="E52" i="13"/>
  <c r="M52" i="13" s="1"/>
  <c r="D52" i="13"/>
  <c r="C52" i="13"/>
  <c r="B52" i="13"/>
  <c r="A52" i="13"/>
  <c r="N51" i="13"/>
  <c r="L51" i="13"/>
  <c r="K51" i="13"/>
  <c r="J51" i="13"/>
  <c r="I51" i="13"/>
  <c r="G51" i="13"/>
  <c r="F51" i="13"/>
  <c r="E51" i="13"/>
  <c r="M51" i="13" s="1"/>
  <c r="D51" i="13"/>
  <c r="C51" i="13" s="1"/>
  <c r="B51" i="13"/>
  <c r="A51" i="13"/>
  <c r="N50" i="13"/>
  <c r="F50" i="13"/>
  <c r="E50" i="13"/>
  <c r="G50" i="13" s="1"/>
  <c r="D50" i="13"/>
  <c r="C50" i="13"/>
  <c r="B50" i="13"/>
  <c r="A50" i="13"/>
  <c r="N49" i="13"/>
  <c r="M49" i="13"/>
  <c r="L49" i="13"/>
  <c r="K49" i="13"/>
  <c r="F49" i="13"/>
  <c r="E49" i="13"/>
  <c r="J49" i="13" s="1"/>
  <c r="I49" i="13" s="1"/>
  <c r="D49" i="13"/>
  <c r="C49" i="13" s="1"/>
  <c r="B49" i="13"/>
  <c r="A49" i="13"/>
  <c r="N48" i="13"/>
  <c r="F48" i="13"/>
  <c r="E48" i="13"/>
  <c r="D48" i="13"/>
  <c r="C48" i="13" s="1"/>
  <c r="B48" i="13"/>
  <c r="A48" i="13"/>
  <c r="N47" i="13"/>
  <c r="F47" i="13"/>
  <c r="E47" i="13"/>
  <c r="D47" i="13"/>
  <c r="C47" i="13" s="1"/>
  <c r="B47" i="13"/>
  <c r="A47" i="13"/>
  <c r="N46" i="13"/>
  <c r="F46" i="13"/>
  <c r="E46" i="13"/>
  <c r="D46" i="13"/>
  <c r="C46" i="13" s="1"/>
  <c r="B46" i="13"/>
  <c r="A46" i="13"/>
  <c r="N45" i="13"/>
  <c r="F45" i="13"/>
  <c r="E45" i="13"/>
  <c r="D45" i="13"/>
  <c r="C45" i="13" s="1"/>
  <c r="B45" i="13"/>
  <c r="A45" i="13"/>
  <c r="N44" i="13"/>
  <c r="F44" i="13"/>
  <c r="E44" i="13"/>
  <c r="D44" i="13"/>
  <c r="C44" i="13" s="1"/>
  <c r="B44" i="13"/>
  <c r="A44" i="13"/>
  <c r="N43" i="13"/>
  <c r="M43" i="13"/>
  <c r="F43" i="13"/>
  <c r="E43" i="13"/>
  <c r="L43" i="13" s="1"/>
  <c r="D43" i="13"/>
  <c r="C43" i="13" s="1"/>
  <c r="B43" i="13"/>
  <c r="A43" i="13"/>
  <c r="N42" i="13"/>
  <c r="F42" i="13"/>
  <c r="E42" i="13"/>
  <c r="D42" i="13"/>
  <c r="C42" i="13"/>
  <c r="B42" i="13"/>
  <c r="A42" i="13"/>
  <c r="N41" i="13"/>
  <c r="M41" i="13"/>
  <c r="L41" i="13"/>
  <c r="K41" i="13"/>
  <c r="J41" i="13"/>
  <c r="I41" i="13" s="1"/>
  <c r="G41" i="13"/>
  <c r="F41" i="13"/>
  <c r="E41" i="13"/>
  <c r="D41" i="13"/>
  <c r="C41" i="13" s="1"/>
  <c r="B41" i="13"/>
  <c r="A41" i="13"/>
  <c r="N40" i="13"/>
  <c r="L40" i="13"/>
  <c r="K40" i="13"/>
  <c r="J40" i="13"/>
  <c r="I40" i="13" s="1"/>
  <c r="G40" i="13"/>
  <c r="F40" i="13"/>
  <c r="E40" i="13"/>
  <c r="M40" i="13" s="1"/>
  <c r="D40" i="13"/>
  <c r="C40" i="13"/>
  <c r="B40" i="13"/>
  <c r="A40" i="13"/>
  <c r="N39" i="13"/>
  <c r="L39" i="13"/>
  <c r="K39" i="13"/>
  <c r="J39" i="13"/>
  <c r="I39" i="13"/>
  <c r="G39" i="13"/>
  <c r="F39" i="13"/>
  <c r="E39" i="13"/>
  <c r="M39" i="13" s="1"/>
  <c r="D39" i="13"/>
  <c r="C39" i="13" s="1"/>
  <c r="B39" i="13"/>
  <c r="A39" i="13"/>
  <c r="N38" i="13"/>
  <c r="F38" i="13"/>
  <c r="E38" i="13"/>
  <c r="J38" i="13" s="1"/>
  <c r="I38" i="13" s="1"/>
  <c r="D38" i="13"/>
  <c r="C38" i="13"/>
  <c r="B38" i="13"/>
  <c r="A38" i="13"/>
  <c r="N37" i="13"/>
  <c r="M37" i="13"/>
  <c r="L37" i="13"/>
  <c r="K37" i="13"/>
  <c r="F37" i="13"/>
  <c r="E37" i="13"/>
  <c r="J37" i="13" s="1"/>
  <c r="I37" i="13" s="1"/>
  <c r="D37" i="13"/>
  <c r="C37" i="13" s="1"/>
  <c r="B37" i="13"/>
  <c r="A37" i="13"/>
  <c r="N36" i="13"/>
  <c r="F36" i="13"/>
  <c r="E36" i="13"/>
  <c r="D36" i="13"/>
  <c r="C36" i="13" s="1"/>
  <c r="B36" i="13"/>
  <c r="A36" i="13"/>
  <c r="N35" i="13"/>
  <c r="F35" i="13"/>
  <c r="E35" i="13"/>
  <c r="L35" i="13" s="1"/>
  <c r="D35" i="13"/>
  <c r="C35" i="13" s="1"/>
  <c r="B35" i="13"/>
  <c r="A35" i="13"/>
  <c r="N34" i="13"/>
  <c r="F34" i="13"/>
  <c r="E34" i="13"/>
  <c r="D34" i="13"/>
  <c r="C34" i="13" s="1"/>
  <c r="B34" i="13"/>
  <c r="A34" i="13"/>
  <c r="N33" i="13"/>
  <c r="F33" i="13"/>
  <c r="E33" i="13"/>
  <c r="D33" i="13"/>
  <c r="C33" i="13"/>
  <c r="B33" i="13"/>
  <c r="A33" i="13"/>
  <c r="N32" i="13"/>
  <c r="L32" i="13"/>
  <c r="F32" i="13"/>
  <c r="E32" i="13"/>
  <c r="M32" i="13" s="1"/>
  <c r="D32" i="13"/>
  <c r="C32" i="13" s="1"/>
  <c r="B32" i="13"/>
  <c r="A32" i="13"/>
  <c r="N31" i="13"/>
  <c r="M31" i="13"/>
  <c r="F31" i="13"/>
  <c r="E31" i="13"/>
  <c r="L31" i="13" s="1"/>
  <c r="D31" i="13"/>
  <c r="C31" i="13" s="1"/>
  <c r="B31" i="13"/>
  <c r="A31" i="13"/>
  <c r="N30" i="13"/>
  <c r="F30" i="13"/>
  <c r="E30" i="13"/>
  <c r="D30" i="13"/>
  <c r="C30" i="13" s="1"/>
  <c r="B30" i="13"/>
  <c r="A30" i="13"/>
  <c r="N29" i="13"/>
  <c r="F29" i="13"/>
  <c r="E29" i="13"/>
  <c r="D29" i="13"/>
  <c r="C29" i="13" s="1"/>
  <c r="B29" i="13"/>
  <c r="A29" i="13"/>
  <c r="N28" i="13"/>
  <c r="M28" i="13"/>
  <c r="J28" i="13"/>
  <c r="I28" i="13"/>
  <c r="G28" i="13"/>
  <c r="F28" i="13"/>
  <c r="E28" i="13"/>
  <c r="D28" i="13"/>
  <c r="C28" i="13"/>
  <c r="B28" i="13"/>
  <c r="A28" i="13"/>
  <c r="N27" i="13"/>
  <c r="L27" i="13"/>
  <c r="K27" i="13"/>
  <c r="J27" i="13"/>
  <c r="I27" i="13"/>
  <c r="G27" i="13"/>
  <c r="F27" i="13"/>
  <c r="E27" i="13"/>
  <c r="M27" i="13" s="1"/>
  <c r="D27" i="13"/>
  <c r="C27" i="13" s="1"/>
  <c r="B27" i="13"/>
  <c r="A27" i="13"/>
  <c r="N26" i="13"/>
  <c r="F26" i="13"/>
  <c r="E26" i="13"/>
  <c r="J26" i="13" s="1"/>
  <c r="I26" i="13" s="1"/>
  <c r="D26" i="13"/>
  <c r="C26" i="13" s="1"/>
  <c r="B26" i="13"/>
  <c r="A26" i="13"/>
  <c r="N25" i="13"/>
  <c r="M25" i="13"/>
  <c r="L25" i="13"/>
  <c r="K25" i="13"/>
  <c r="F25" i="13"/>
  <c r="E25" i="13"/>
  <c r="J25" i="13" s="1"/>
  <c r="I25" i="13" s="1"/>
  <c r="D25" i="13"/>
  <c r="C25" i="13" s="1"/>
  <c r="B25" i="13"/>
  <c r="A25" i="13"/>
  <c r="N24" i="13"/>
  <c r="M24" i="13"/>
  <c r="L24" i="13"/>
  <c r="F24" i="13"/>
  <c r="E24" i="13"/>
  <c r="D24" i="13"/>
  <c r="C24" i="13" s="1"/>
  <c r="B24" i="13"/>
  <c r="A24" i="13"/>
  <c r="N23" i="13"/>
  <c r="F23" i="13"/>
  <c r="E23" i="13"/>
  <c r="L23" i="13" s="1"/>
  <c r="D23" i="13"/>
  <c r="C23" i="13"/>
  <c r="B23" i="13"/>
  <c r="A23" i="13"/>
  <c r="N22" i="13"/>
  <c r="J22" i="13"/>
  <c r="I22" i="13" s="1"/>
  <c r="G22" i="13"/>
  <c r="F22" i="13"/>
  <c r="E22" i="13"/>
  <c r="M22" i="13" s="1"/>
  <c r="D22" i="13"/>
  <c r="C22" i="13" s="1"/>
  <c r="B22" i="13"/>
  <c r="A22" i="13"/>
  <c r="N21" i="13"/>
  <c r="K21" i="13"/>
  <c r="F21" i="13"/>
  <c r="E21" i="13"/>
  <c r="M21" i="13" s="1"/>
  <c r="D21" i="13"/>
  <c r="C21" i="13"/>
  <c r="B21" i="13"/>
  <c r="A21" i="13"/>
  <c r="N20" i="13"/>
  <c r="F20" i="13"/>
  <c r="E20" i="13"/>
  <c r="M20" i="13" s="1"/>
  <c r="D20" i="13"/>
  <c r="C20" i="13"/>
  <c r="B20" i="13"/>
  <c r="A20" i="13"/>
  <c r="N19" i="13"/>
  <c r="M19" i="13"/>
  <c r="F19" i="13"/>
  <c r="E19" i="13"/>
  <c r="D19" i="13"/>
  <c r="C19" i="13" s="1"/>
  <c r="B19" i="13"/>
  <c r="A19" i="13"/>
  <c r="N18" i="13"/>
  <c r="F18" i="13"/>
  <c r="E18" i="13"/>
  <c r="D18" i="13"/>
  <c r="C18" i="13"/>
  <c r="B18" i="13"/>
  <c r="A18" i="13"/>
  <c r="N17" i="13"/>
  <c r="K17" i="13"/>
  <c r="J17" i="13"/>
  <c r="I17" i="13" s="1"/>
  <c r="F17" i="13"/>
  <c r="E17" i="13"/>
  <c r="M17" i="13" s="1"/>
  <c r="D17" i="13"/>
  <c r="C17" i="13" s="1"/>
  <c r="B17" i="13"/>
  <c r="A17" i="13"/>
  <c r="N16" i="13"/>
  <c r="M16" i="13"/>
  <c r="F16" i="13"/>
  <c r="E16" i="13"/>
  <c r="L16" i="13" s="1"/>
  <c r="D16" i="13"/>
  <c r="C16" i="13"/>
  <c r="B16" i="13"/>
  <c r="A16" i="13"/>
  <c r="N15" i="13"/>
  <c r="M15" i="13"/>
  <c r="F15" i="13"/>
  <c r="E15" i="13"/>
  <c r="G15" i="13" s="1"/>
  <c r="D15" i="13"/>
  <c r="C15" i="13" s="1"/>
  <c r="B15" i="13"/>
  <c r="A15" i="13"/>
  <c r="N14" i="13"/>
  <c r="F14" i="13"/>
  <c r="E14" i="13"/>
  <c r="K14" i="13" s="1"/>
  <c r="D14" i="13"/>
  <c r="C14" i="13"/>
  <c r="B14" i="13"/>
  <c r="A14" i="13"/>
  <c r="N13" i="13"/>
  <c r="M13" i="13"/>
  <c r="L13" i="13"/>
  <c r="K13" i="13"/>
  <c r="F13" i="13"/>
  <c r="E13" i="13"/>
  <c r="J13" i="13" s="1"/>
  <c r="I13" i="13" s="1"/>
  <c r="D13" i="13"/>
  <c r="C13" i="13" s="1"/>
  <c r="B13" i="13"/>
  <c r="A13" i="13"/>
  <c r="N12" i="13"/>
  <c r="M12" i="13"/>
  <c r="G12" i="13"/>
  <c r="F12" i="13"/>
  <c r="E12" i="13"/>
  <c r="K12" i="13" s="1"/>
  <c r="D12" i="13"/>
  <c r="C12" i="13" s="1"/>
  <c r="B12" i="13"/>
  <c r="A12" i="13"/>
  <c r="N11" i="13"/>
  <c r="M11" i="13"/>
  <c r="F11" i="13"/>
  <c r="E11" i="13"/>
  <c r="L11" i="13" s="1"/>
  <c r="D11" i="13"/>
  <c r="C11" i="13" s="1"/>
  <c r="B11" i="13"/>
  <c r="A11" i="13"/>
  <c r="N10" i="13"/>
  <c r="F10" i="13"/>
  <c r="E10" i="13"/>
  <c r="M10" i="13" s="1"/>
  <c r="D10" i="13"/>
  <c r="C10" i="13" s="1"/>
  <c r="B10" i="13"/>
  <c r="A10" i="13"/>
  <c r="N9" i="13"/>
  <c r="F9" i="13"/>
  <c r="E9" i="13"/>
  <c r="D9" i="13"/>
  <c r="C9" i="13"/>
  <c r="B9" i="13"/>
  <c r="A9" i="13"/>
  <c r="N8" i="13"/>
  <c r="L8" i="13"/>
  <c r="F8" i="13"/>
  <c r="E8" i="13"/>
  <c r="M8" i="13" s="1"/>
  <c r="D8" i="13"/>
  <c r="C8" i="13"/>
  <c r="B8" i="13"/>
  <c r="A8" i="13"/>
  <c r="N7" i="13"/>
  <c r="M7" i="13"/>
  <c r="F7" i="13"/>
  <c r="E7" i="13"/>
  <c r="D7" i="13"/>
  <c r="C7" i="13" s="1"/>
  <c r="B7" i="13"/>
  <c r="A7" i="13"/>
  <c r="N6" i="13"/>
  <c r="F6" i="13"/>
  <c r="E6" i="13"/>
  <c r="G6" i="13" s="1"/>
  <c r="D6" i="13"/>
  <c r="C6" i="13" s="1"/>
  <c r="B6" i="13"/>
  <c r="A6" i="13"/>
  <c r="N5" i="13"/>
  <c r="J5" i="13"/>
  <c r="I5" i="13" s="1"/>
  <c r="F5" i="13"/>
  <c r="E5" i="13"/>
  <c r="G5" i="13" s="1"/>
  <c r="D5" i="13"/>
  <c r="C5" i="13"/>
  <c r="B5" i="13"/>
  <c r="A5" i="13"/>
  <c r="N4" i="13"/>
  <c r="K4" i="13"/>
  <c r="F4" i="13"/>
  <c r="E4" i="13"/>
  <c r="G4" i="13" s="1"/>
  <c r="D4" i="13"/>
  <c r="C4" i="13"/>
  <c r="B4" i="13"/>
  <c r="A4" i="13"/>
  <c r="F128" i="12"/>
  <c r="F127" i="12"/>
  <c r="F126" i="12"/>
  <c r="F125" i="12"/>
  <c r="F124" i="12"/>
  <c r="F123" i="12"/>
  <c r="F122" i="12"/>
  <c r="D116" i="12"/>
  <c r="D115" i="12"/>
  <c r="E114" i="12" s="1"/>
  <c r="I112" i="12"/>
  <c r="J111" i="12"/>
  <c r="I111" i="12"/>
  <c r="H111" i="12"/>
  <c r="F111" i="12"/>
  <c r="D111" i="12"/>
  <c r="K110" i="12"/>
  <c r="J110" i="12"/>
  <c r="I110" i="12"/>
  <c r="H110" i="12"/>
  <c r="F110" i="12"/>
  <c r="F115" i="12" s="1"/>
  <c r="E110" i="12"/>
  <c r="D110" i="12"/>
  <c r="K109" i="12"/>
  <c r="E109" i="12"/>
  <c r="G107" i="12"/>
  <c r="G106" i="12"/>
  <c r="D105" i="12"/>
  <c r="E104" i="12" s="1"/>
  <c r="L112" i="12" s="1"/>
  <c r="E103" i="12"/>
  <c r="E102" i="12"/>
  <c r="A51" i="12"/>
  <c r="A50" i="12"/>
  <c r="H45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G7" i="11"/>
  <c r="F7" i="11"/>
  <c r="D7" i="11"/>
  <c r="C7" i="11"/>
  <c r="F6" i="11"/>
  <c r="E6" i="11"/>
  <c r="E7" i="11" s="1"/>
  <c r="D6" i="11"/>
  <c r="I5" i="11"/>
  <c r="I4" i="11"/>
  <c r="I3" i="11"/>
  <c r="N7" i="9"/>
  <c r="S9" i="15" s="1"/>
  <c r="M7" i="9"/>
  <c r="R9" i="15" s="1"/>
  <c r="L7" i="9"/>
  <c r="Q9" i="15" s="1"/>
  <c r="K7" i="9"/>
  <c r="P9" i="15" s="1"/>
  <c r="J7" i="9"/>
  <c r="O9" i="15" s="1"/>
  <c r="I7" i="9"/>
  <c r="N9" i="15" s="1"/>
  <c r="H7" i="9"/>
  <c r="M9" i="15" s="1"/>
  <c r="G7" i="9"/>
  <c r="L9" i="15" s="1"/>
  <c r="F7" i="9"/>
  <c r="K9" i="15" s="1"/>
  <c r="E7" i="9"/>
  <c r="J9" i="15" s="1"/>
  <c r="D7" i="9"/>
  <c r="I9" i="15" s="1"/>
  <c r="C7" i="9"/>
  <c r="H9" i="15" s="1"/>
  <c r="N6" i="9"/>
  <c r="S8" i="15" s="1"/>
  <c r="M6" i="9"/>
  <c r="R8" i="15" s="1"/>
  <c r="L6" i="9"/>
  <c r="Q8" i="15" s="1"/>
  <c r="K6" i="9"/>
  <c r="P8" i="15" s="1"/>
  <c r="J6" i="9"/>
  <c r="O8" i="15" s="1"/>
  <c r="I6" i="9"/>
  <c r="N8" i="15" s="1"/>
  <c r="H6" i="9"/>
  <c r="M8" i="15" s="1"/>
  <c r="G6" i="9"/>
  <c r="L8" i="15" s="1"/>
  <c r="F6" i="9"/>
  <c r="K8" i="15" s="1"/>
  <c r="E6" i="9"/>
  <c r="J8" i="15" s="1"/>
  <c r="D6" i="9"/>
  <c r="I8" i="15" s="1"/>
  <c r="C6" i="9"/>
  <c r="H8" i="15" s="1"/>
  <c r="N5" i="9"/>
  <c r="S5" i="15" s="1"/>
  <c r="M5" i="9"/>
  <c r="R5" i="15" s="1"/>
  <c r="L5" i="9"/>
  <c r="Q5" i="15" s="1"/>
  <c r="K5" i="9"/>
  <c r="P5" i="15" s="1"/>
  <c r="J5" i="9"/>
  <c r="O5" i="15" s="1"/>
  <c r="I5" i="9"/>
  <c r="N5" i="15" s="1"/>
  <c r="H5" i="9"/>
  <c r="M5" i="15" s="1"/>
  <c r="G5" i="9"/>
  <c r="L5" i="15" s="1"/>
  <c r="F5" i="9"/>
  <c r="K5" i="15" s="1"/>
  <c r="E5" i="9"/>
  <c r="J5" i="15" s="1"/>
  <c r="D5" i="9"/>
  <c r="I5" i="15" s="1"/>
  <c r="C5" i="9"/>
  <c r="H5" i="15" s="1"/>
  <c r="N4" i="9"/>
  <c r="S4" i="15" s="1"/>
  <c r="M4" i="9"/>
  <c r="R4" i="15" s="1"/>
  <c r="L4" i="9"/>
  <c r="Q4" i="15" s="1"/>
  <c r="K4" i="9"/>
  <c r="P4" i="15" s="1"/>
  <c r="J4" i="9"/>
  <c r="O4" i="15" s="1"/>
  <c r="I4" i="9"/>
  <c r="N4" i="15" s="1"/>
  <c r="H4" i="9"/>
  <c r="M4" i="15" s="1"/>
  <c r="G4" i="9"/>
  <c r="L4" i="15" s="1"/>
  <c r="F4" i="9"/>
  <c r="K4" i="15" s="1"/>
  <c r="E4" i="9"/>
  <c r="J4" i="15" s="1"/>
  <c r="D4" i="9"/>
  <c r="I4" i="15" s="1"/>
  <c r="C4" i="9"/>
  <c r="H4" i="15" s="1"/>
  <c r="N3" i="9"/>
  <c r="M3" i="9"/>
  <c r="L3" i="9"/>
  <c r="K3" i="9"/>
  <c r="J3" i="9"/>
  <c r="I3" i="9"/>
  <c r="H3" i="9"/>
  <c r="G3" i="9"/>
  <c r="F3" i="9"/>
  <c r="E3" i="9"/>
  <c r="D3" i="9"/>
  <c r="C3" i="9"/>
  <c r="N2" i="9"/>
  <c r="M2" i="9"/>
  <c r="L2" i="9"/>
  <c r="K2" i="9"/>
  <c r="J2" i="9"/>
  <c r="I2" i="9"/>
  <c r="H2" i="9"/>
  <c r="G2" i="9"/>
  <c r="F2" i="9"/>
  <c r="E2" i="9"/>
  <c r="D2" i="9"/>
  <c r="C2" i="9"/>
  <c r="C78" i="8"/>
  <c r="D78" i="8" s="1"/>
  <c r="E78" i="8" s="1"/>
  <c r="F78" i="8" s="1"/>
  <c r="G78" i="8" s="1"/>
  <c r="H78" i="8" s="1"/>
  <c r="I78" i="8" s="1"/>
  <c r="J78" i="8" s="1"/>
  <c r="K78" i="8" s="1"/>
  <c r="L78" i="8" s="1"/>
  <c r="M78" i="8" s="1"/>
  <c r="N78" i="8" s="1"/>
  <c r="O77" i="8"/>
  <c r="P77" i="8" s="1"/>
  <c r="F77" i="8"/>
  <c r="G77" i="8" s="1"/>
  <c r="H77" i="8" s="1"/>
  <c r="I77" i="8" s="1"/>
  <c r="J77" i="8" s="1"/>
  <c r="K77" i="8" s="1"/>
  <c r="L77" i="8" s="1"/>
  <c r="M77" i="8" s="1"/>
  <c r="N77" i="8" s="1"/>
  <c r="E77" i="8"/>
  <c r="C77" i="8"/>
  <c r="D77" i="8" s="1"/>
  <c r="C76" i="8"/>
  <c r="D76" i="8" s="1"/>
  <c r="E76" i="8" s="1"/>
  <c r="F76" i="8" s="1"/>
  <c r="G76" i="8" s="1"/>
  <c r="H76" i="8" s="1"/>
  <c r="I76" i="8" s="1"/>
  <c r="J76" i="8" s="1"/>
  <c r="K76" i="8" s="1"/>
  <c r="L76" i="8" s="1"/>
  <c r="M76" i="8" s="1"/>
  <c r="N76" i="8" s="1"/>
  <c r="N74" i="8"/>
  <c r="M74" i="8"/>
  <c r="L74" i="8"/>
  <c r="K74" i="8"/>
  <c r="J74" i="8"/>
  <c r="I74" i="8"/>
  <c r="H74" i="8"/>
  <c r="G74" i="8"/>
  <c r="F74" i="8"/>
  <c r="E74" i="8"/>
  <c r="D74" i="8"/>
  <c r="C74" i="8"/>
  <c r="N73" i="8"/>
  <c r="M73" i="8"/>
  <c r="L73" i="8"/>
  <c r="K73" i="8"/>
  <c r="J73" i="8"/>
  <c r="I73" i="8"/>
  <c r="H73" i="8"/>
  <c r="G73" i="8"/>
  <c r="F73" i="8"/>
  <c r="E73" i="8"/>
  <c r="D73" i="8"/>
  <c r="C73" i="8"/>
  <c r="N72" i="8"/>
  <c r="M72" i="8"/>
  <c r="L72" i="8"/>
  <c r="K72" i="8"/>
  <c r="J72" i="8"/>
  <c r="I72" i="8"/>
  <c r="H72" i="8"/>
  <c r="G72" i="8"/>
  <c r="F72" i="8"/>
  <c r="E72" i="8"/>
  <c r="D72" i="8"/>
  <c r="C72" i="8"/>
  <c r="C75" i="8" s="1"/>
  <c r="D75" i="8" s="1"/>
  <c r="E75" i="8" s="1"/>
  <c r="F75" i="8" s="1"/>
  <c r="G75" i="8" s="1"/>
  <c r="H75" i="8" s="1"/>
  <c r="I75" i="8" s="1"/>
  <c r="J75" i="8" s="1"/>
  <c r="K75" i="8" s="1"/>
  <c r="L75" i="8" s="1"/>
  <c r="M75" i="8" s="1"/>
  <c r="N75" i="8" s="1"/>
  <c r="C69" i="8"/>
  <c r="D69" i="8" s="1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8" i="8"/>
  <c r="P68" i="8" s="1"/>
  <c r="O67" i="8"/>
  <c r="O66" i="8"/>
  <c r="C66" i="8"/>
  <c r="D66" i="8" s="1"/>
  <c r="E66" i="8" s="1"/>
  <c r="F66" i="8" s="1"/>
  <c r="G66" i="8" s="1"/>
  <c r="O64" i="8"/>
  <c r="N64" i="8" s="1"/>
  <c r="M64" i="8"/>
  <c r="L64" i="8"/>
  <c r="H64" i="8"/>
  <c r="F64" i="8"/>
  <c r="E64" i="8"/>
  <c r="D64" i="8"/>
  <c r="C64" i="8"/>
  <c r="C67" i="8" s="1"/>
  <c r="D67" i="8" s="1"/>
  <c r="E67" i="8" s="1"/>
  <c r="F67" i="8" s="1"/>
  <c r="P63" i="8"/>
  <c r="O63" i="8"/>
  <c r="N63" i="8" s="1"/>
  <c r="M63" i="8"/>
  <c r="L63" i="8"/>
  <c r="G63" i="8"/>
  <c r="F63" i="8"/>
  <c r="E63" i="8"/>
  <c r="D63" i="8"/>
  <c r="C63" i="8"/>
  <c r="N62" i="8"/>
  <c r="M62" i="8"/>
  <c r="L62" i="8"/>
  <c r="K62" i="8"/>
  <c r="J62" i="8"/>
  <c r="I62" i="8"/>
  <c r="H62" i="8"/>
  <c r="G62" i="8"/>
  <c r="F62" i="8"/>
  <c r="E62" i="8"/>
  <c r="D62" i="8"/>
  <c r="C62" i="8"/>
  <c r="O60" i="8"/>
  <c r="C60" i="8"/>
  <c r="D60" i="8" s="1"/>
  <c r="E60" i="8" s="1"/>
  <c r="F60" i="8" s="1"/>
  <c r="G60" i="8" s="1"/>
  <c r="H60" i="8" s="1"/>
  <c r="I60" i="8" s="1"/>
  <c r="J60" i="8" s="1"/>
  <c r="K60" i="8" s="1"/>
  <c r="L60" i="8" s="1"/>
  <c r="M60" i="8" s="1"/>
  <c r="N60" i="8" s="1"/>
  <c r="D57" i="8"/>
  <c r="E57" i="8" s="1"/>
  <c r="F57" i="8" s="1"/>
  <c r="G57" i="8" s="1"/>
  <c r="H57" i="8" s="1"/>
  <c r="I57" i="8" s="1"/>
  <c r="J57" i="8" s="1"/>
  <c r="K57" i="8" s="1"/>
  <c r="L57" i="8" s="1"/>
  <c r="M57" i="8" s="1"/>
  <c r="N57" i="8" s="1"/>
  <c r="C57" i="8"/>
  <c r="E54" i="8"/>
  <c r="F54" i="8" s="1"/>
  <c r="G54" i="8" s="1"/>
  <c r="H54" i="8" s="1"/>
  <c r="I54" i="8" s="1"/>
  <c r="J54" i="8" s="1"/>
  <c r="K54" i="8" s="1"/>
  <c r="L54" i="8" s="1"/>
  <c r="M54" i="8" s="1"/>
  <c r="N54" i="8" s="1"/>
  <c r="D54" i="8"/>
  <c r="C54" i="8"/>
  <c r="C51" i="8"/>
  <c r="D51" i="8" s="1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M49" i="8"/>
  <c r="K49" i="8"/>
  <c r="J49" i="8"/>
  <c r="H49" i="8"/>
  <c r="G49" i="8"/>
  <c r="O47" i="8"/>
  <c r="C47" i="8" s="1"/>
  <c r="D47" i="8" s="1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C44" i="8"/>
  <c r="D44" i="8" s="1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C41" i="8"/>
  <c r="D41" i="8" s="1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N40" i="8"/>
  <c r="N49" i="8" s="1"/>
  <c r="M40" i="8"/>
  <c r="L40" i="8"/>
  <c r="L49" i="8" s="1"/>
  <c r="K40" i="8"/>
  <c r="J40" i="8"/>
  <c r="I40" i="8"/>
  <c r="I49" i="8" s="1"/>
  <c r="H40" i="8"/>
  <c r="G40" i="8"/>
  <c r="F40" i="8"/>
  <c r="F49" i="8" s="1"/>
  <c r="E40" i="8"/>
  <c r="E49" i="8" s="1"/>
  <c r="D40" i="8"/>
  <c r="D49" i="8" s="1"/>
  <c r="C40" i="8"/>
  <c r="C49" i="8" s="1"/>
  <c r="O38" i="8"/>
  <c r="C38" i="8" s="1"/>
  <c r="D38" i="8" s="1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C35" i="8"/>
  <c r="D35" i="8" s="1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C32" i="8"/>
  <c r="C29" i="8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E25" i="8"/>
  <c r="F25" i="8" s="1"/>
  <c r="G25" i="8" s="1"/>
  <c r="H25" i="8" s="1"/>
  <c r="I25" i="8" s="1"/>
  <c r="J25" i="8" s="1"/>
  <c r="K25" i="8" s="1"/>
  <c r="L25" i="8" s="1"/>
  <c r="M25" i="8" s="1"/>
  <c r="N25" i="8" s="1"/>
  <c r="D25" i="8"/>
  <c r="C25" i="8"/>
  <c r="C26" i="8" s="1"/>
  <c r="D26" i="8" s="1"/>
  <c r="E26" i="8" s="1"/>
  <c r="D24" i="8"/>
  <c r="D27" i="8" s="1"/>
  <c r="O21" i="8"/>
  <c r="N18" i="8"/>
  <c r="M18" i="8"/>
  <c r="L18" i="8"/>
  <c r="K18" i="8"/>
  <c r="J18" i="8"/>
  <c r="I18" i="8"/>
  <c r="H18" i="8"/>
  <c r="G18" i="8"/>
  <c r="F18" i="8"/>
  <c r="E18" i="8"/>
  <c r="D18" i="8"/>
  <c r="C18" i="8"/>
  <c r="C19" i="8" s="1"/>
  <c r="D19" i="8" s="1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7" i="8"/>
  <c r="P16" i="8"/>
  <c r="O16" i="8"/>
  <c r="N12" i="8"/>
  <c r="M12" i="8"/>
  <c r="L12" i="8"/>
  <c r="K12" i="8"/>
  <c r="J12" i="8"/>
  <c r="H12" i="8"/>
  <c r="G12" i="8"/>
  <c r="F12" i="8"/>
  <c r="D12" i="8"/>
  <c r="C12" i="8"/>
  <c r="N10" i="8"/>
  <c r="M10" i="8"/>
  <c r="L10" i="8"/>
  <c r="K10" i="8"/>
  <c r="J10" i="8"/>
  <c r="I10" i="8"/>
  <c r="H10" i="8"/>
  <c r="G10" i="8"/>
  <c r="F10" i="8"/>
  <c r="E10" i="8"/>
  <c r="D10" i="8"/>
  <c r="C10" i="8"/>
  <c r="C45" i="8" s="1"/>
  <c r="D45" i="8" s="1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9" i="8"/>
  <c r="O8" i="8"/>
  <c r="P7" i="8"/>
  <c r="O7" i="8"/>
  <c r="O6" i="8"/>
  <c r="F68" i="7"/>
  <c r="AW29" i="7"/>
  <c r="AX29" i="7" s="1"/>
  <c r="AY29" i="7" s="1"/>
  <c r="AZ29" i="7" s="1"/>
  <c r="BA29" i="7" s="1"/>
  <c r="BB29" i="7" s="1"/>
  <c r="AV29" i="7"/>
  <c r="AU29" i="7"/>
  <c r="AT29" i="7"/>
  <c r="F29" i="7"/>
  <c r="G29" i="7" s="1"/>
  <c r="H29" i="7" s="1"/>
  <c r="I29" i="7" s="1"/>
  <c r="J29" i="7" s="1"/>
  <c r="K29" i="7" s="1"/>
  <c r="L29" i="7" s="1"/>
  <c r="M29" i="7" s="1"/>
  <c r="N29" i="7" s="1"/>
  <c r="E29" i="7"/>
  <c r="D29" i="7"/>
  <c r="C29" i="7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D27" i="7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C27" i="7"/>
  <c r="D26" i="7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C26" i="7"/>
  <c r="AY24" i="7"/>
  <c r="AX24" i="7"/>
  <c r="AU24" i="7"/>
  <c r="AT24" i="7"/>
  <c r="AT28" i="7" s="1"/>
  <c r="AU28" i="7" s="1"/>
  <c r="AV28" i="7" s="1"/>
  <c r="AW28" i="7" s="1"/>
  <c r="AX28" i="7" s="1"/>
  <c r="AY23" i="7"/>
  <c r="AX23" i="7"/>
  <c r="AU23" i="7"/>
  <c r="AT23" i="7"/>
  <c r="AT27" i="7" s="1"/>
  <c r="AU27" i="7" s="1"/>
  <c r="AV27" i="7" s="1"/>
  <c r="AW27" i="7" s="1"/>
  <c r="AY22" i="7"/>
  <c r="AX22" i="7"/>
  <c r="AU22" i="7"/>
  <c r="AT22" i="7"/>
  <c r="AT26" i="7" s="1"/>
  <c r="AU26" i="7" s="1"/>
  <c r="AV26" i="7" s="1"/>
  <c r="AW26" i="7" s="1"/>
  <c r="N19" i="7"/>
  <c r="M19" i="7"/>
  <c r="L19" i="7"/>
  <c r="K19" i="7"/>
  <c r="J19" i="7"/>
  <c r="I19" i="7"/>
  <c r="H19" i="7"/>
  <c r="G19" i="7"/>
  <c r="F19" i="7"/>
  <c r="E19" i="7"/>
  <c r="D19" i="7"/>
  <c r="C19" i="7"/>
  <c r="N6" i="7"/>
  <c r="M6" i="7"/>
  <c r="L6" i="7"/>
  <c r="K6" i="7"/>
  <c r="J6" i="7"/>
  <c r="I6" i="7"/>
  <c r="H6" i="7"/>
  <c r="G6" i="7"/>
  <c r="F6" i="7"/>
  <c r="E6" i="7"/>
  <c r="D6" i="7"/>
  <c r="C6" i="7"/>
  <c r="A6" i="7" s="1"/>
  <c r="N5" i="7"/>
  <c r="M5" i="7"/>
  <c r="L5" i="7"/>
  <c r="K5" i="7"/>
  <c r="J5" i="7"/>
  <c r="I5" i="7"/>
  <c r="H5" i="7"/>
  <c r="G5" i="7"/>
  <c r="F5" i="7"/>
  <c r="E5" i="7"/>
  <c r="D5" i="7"/>
  <c r="A5" i="7" s="1"/>
  <c r="C5" i="7"/>
  <c r="N4" i="7"/>
  <c r="N3" i="10" s="1"/>
  <c r="M4" i="7"/>
  <c r="M3" i="10" s="1"/>
  <c r="L4" i="7"/>
  <c r="L3" i="10" s="1"/>
  <c r="K4" i="7"/>
  <c r="K3" i="10" s="1"/>
  <c r="J4" i="7"/>
  <c r="J3" i="10" s="1"/>
  <c r="I4" i="7"/>
  <c r="H4" i="7"/>
  <c r="H3" i="10" s="1"/>
  <c r="G4" i="7"/>
  <c r="G3" i="10" s="1"/>
  <c r="F4" i="7"/>
  <c r="F3" i="10" s="1"/>
  <c r="E4" i="7"/>
  <c r="D4" i="7"/>
  <c r="D3" i="10" s="1"/>
  <c r="C4" i="7"/>
  <c r="C3" i="10" s="1"/>
  <c r="N2" i="7"/>
  <c r="M2" i="7"/>
  <c r="L2" i="7"/>
  <c r="K2" i="7"/>
  <c r="J2" i="7"/>
  <c r="I2" i="7"/>
  <c r="H2" i="7"/>
  <c r="G2" i="7"/>
  <c r="F2" i="7"/>
  <c r="E2" i="7"/>
  <c r="D2" i="7"/>
  <c r="C2" i="7"/>
  <c r="AI56" i="6"/>
  <c r="AC56" i="6"/>
  <c r="AF56" i="6" s="1"/>
  <c r="AB56" i="6"/>
  <c r="AA56" i="6"/>
  <c r="Z56" i="6"/>
  <c r="Y56" i="6"/>
  <c r="X56" i="6"/>
  <c r="W56" i="6"/>
  <c r="V56" i="6"/>
  <c r="J56" i="6"/>
  <c r="I56" i="6"/>
  <c r="L56" i="6" s="1"/>
  <c r="AC54" i="6"/>
  <c r="AB54" i="6"/>
  <c r="Z54" i="6"/>
  <c r="Y54" i="6"/>
  <c r="U54" i="6"/>
  <c r="U55" i="6" s="1"/>
  <c r="G54" i="6"/>
  <c r="AB53" i="6"/>
  <c r="AD53" i="6" s="1"/>
  <c r="AF53" i="6" s="1"/>
  <c r="AH53" i="6" s="1"/>
  <c r="AA53" i="6"/>
  <c r="Z53" i="6"/>
  <c r="W53" i="6"/>
  <c r="V53" i="6"/>
  <c r="K53" i="6"/>
  <c r="M53" i="6" s="1"/>
  <c r="O53" i="6" s="1"/>
  <c r="Q53" i="6" s="1"/>
  <c r="S53" i="6" s="1"/>
  <c r="U53" i="6" s="1"/>
  <c r="J53" i="6"/>
  <c r="I53" i="6"/>
  <c r="AC53" i="6" s="1"/>
  <c r="AE53" i="6" s="1"/>
  <c r="AG53" i="6" s="1"/>
  <c r="AI53" i="6" s="1"/>
  <c r="G53" i="6"/>
  <c r="I52" i="6"/>
  <c r="J52" i="6" s="1"/>
  <c r="K52" i="6" s="1"/>
  <c r="L52" i="6" s="1"/>
  <c r="V52" i="6" s="1"/>
  <c r="W52" i="6" s="1"/>
  <c r="X52" i="6" s="1"/>
  <c r="Y52" i="6" s="1"/>
  <c r="Z52" i="6" s="1"/>
  <c r="AA52" i="6" s="1"/>
  <c r="AB52" i="6" s="1"/>
  <c r="AC52" i="6" s="1"/>
  <c r="AI51" i="6"/>
  <c r="AE51" i="6"/>
  <c r="AB51" i="6"/>
  <c r="AA51" i="6"/>
  <c r="Z51" i="6"/>
  <c r="G51" i="6"/>
  <c r="Y51" i="6" s="1"/>
  <c r="AC51" i="6" s="1"/>
  <c r="AI50" i="6"/>
  <c r="AB50" i="6"/>
  <c r="AA50" i="6"/>
  <c r="W50" i="6"/>
  <c r="V50" i="6"/>
  <c r="J50" i="6"/>
  <c r="I50" i="6"/>
  <c r="L50" i="6" s="1"/>
  <c r="G50" i="6"/>
  <c r="X49" i="6"/>
  <c r="Y49" i="6" s="1"/>
  <c r="Z49" i="6" s="1"/>
  <c r="AA49" i="6" s="1"/>
  <c r="AB49" i="6" s="1"/>
  <c r="AC49" i="6" s="1"/>
  <c r="L49" i="6"/>
  <c r="V49" i="6" s="1"/>
  <c r="W49" i="6" s="1"/>
  <c r="I49" i="6"/>
  <c r="J49" i="6" s="1"/>
  <c r="K49" i="6" s="1"/>
  <c r="AI48" i="6"/>
  <c r="AE48" i="6"/>
  <c r="AC48" i="6"/>
  <c r="AB48" i="6"/>
  <c r="AA48" i="6"/>
  <c r="Z48" i="6"/>
  <c r="Y48" i="6"/>
  <c r="X48" i="6"/>
  <c r="G48" i="6"/>
  <c r="AJ45" i="6"/>
  <c r="AI45" i="6"/>
  <c r="T45" i="6"/>
  <c r="S45" i="6"/>
  <c r="R45" i="6"/>
  <c r="Q45" i="6"/>
  <c r="P45" i="6"/>
  <c r="O45" i="6"/>
  <c r="N45" i="6"/>
  <c r="M45" i="6"/>
  <c r="L45" i="6"/>
  <c r="K45" i="6"/>
  <c r="J45" i="6"/>
  <c r="I45" i="6"/>
  <c r="AB42" i="6"/>
  <c r="Y42" i="6"/>
  <c r="U42" i="6"/>
  <c r="T42" i="6"/>
  <c r="S42" i="6"/>
  <c r="R42" i="6"/>
  <c r="Q42" i="6"/>
  <c r="P42" i="6"/>
  <c r="O42" i="6"/>
  <c r="N42" i="6"/>
  <c r="M42" i="6"/>
  <c r="L42" i="6"/>
  <c r="I42" i="6"/>
  <c r="AJ40" i="6"/>
  <c r="AI40" i="6"/>
  <c r="AH40" i="6"/>
  <c r="AD40" i="6"/>
  <c r="AA40" i="6"/>
  <c r="Z40" i="6"/>
  <c r="Y40" i="6"/>
  <c r="AC39" i="6"/>
  <c r="AC40" i="6" s="1"/>
  <c r="AB39" i="6"/>
  <c r="AB40" i="6" s="1"/>
  <c r="AA39" i="6"/>
  <c r="X39" i="6"/>
  <c r="T39" i="6"/>
  <c r="S39" i="6"/>
  <c r="R39" i="6"/>
  <c r="Q39" i="6"/>
  <c r="P39" i="6"/>
  <c r="O39" i="6"/>
  <c r="N39" i="6"/>
  <c r="M39" i="6"/>
  <c r="G39" i="6"/>
  <c r="E39" i="6"/>
  <c r="AJ38" i="6"/>
  <c r="U38" i="6"/>
  <c r="U40" i="6" s="1"/>
  <c r="AC37" i="6"/>
  <c r="AB37" i="6"/>
  <c r="AA37" i="6"/>
  <c r="G37" i="6"/>
  <c r="E37" i="6"/>
  <c r="AC36" i="6"/>
  <c r="AB36" i="6"/>
  <c r="AA36" i="6"/>
  <c r="G36" i="6"/>
  <c r="E36" i="6"/>
  <c r="AC35" i="6"/>
  <c r="AB35" i="6"/>
  <c r="AA35" i="6"/>
  <c r="G35" i="6"/>
  <c r="E35" i="6"/>
  <c r="AC34" i="6"/>
  <c r="AB34" i="6"/>
  <c r="AA34" i="6"/>
  <c r="G34" i="6"/>
  <c r="E34" i="6"/>
  <c r="AC33" i="6"/>
  <c r="AB33" i="6"/>
  <c r="AA33" i="6"/>
  <c r="AA54" i="6" s="1"/>
  <c r="G33" i="6"/>
  <c r="E33" i="6"/>
  <c r="AC32" i="6"/>
  <c r="AB32" i="6"/>
  <c r="AA32" i="6"/>
  <c r="G32" i="6"/>
  <c r="E32" i="6"/>
  <c r="AC31" i="6"/>
  <c r="AB31" i="6"/>
  <c r="AA31" i="6"/>
  <c r="G31" i="6"/>
  <c r="E31" i="6"/>
  <c r="AC30" i="6"/>
  <c r="AB30" i="6"/>
  <c r="AA30" i="6"/>
  <c r="G30" i="6"/>
  <c r="E30" i="6"/>
  <c r="AC29" i="6"/>
  <c r="AB29" i="6"/>
  <c r="AA29" i="6"/>
  <c r="G29" i="6"/>
  <c r="E29" i="6"/>
  <c r="AC28" i="6"/>
  <c r="AB28" i="6"/>
  <c r="AA28" i="6"/>
  <c r="G28" i="6"/>
  <c r="E28" i="6"/>
  <c r="AJ25" i="6"/>
  <c r="AI25" i="6"/>
  <c r="AI23" i="6"/>
  <c r="AH23" i="6"/>
  <c r="AG23" i="6"/>
  <c r="AF23" i="6"/>
  <c r="AE23" i="6"/>
  <c r="AD23" i="6"/>
  <c r="U23" i="6"/>
  <c r="T23" i="6"/>
  <c r="S23" i="6"/>
  <c r="R23" i="6"/>
  <c r="Q23" i="6"/>
  <c r="P23" i="6"/>
  <c r="O23" i="6"/>
  <c r="N23" i="6"/>
  <c r="M23" i="6"/>
  <c r="AA21" i="6"/>
  <c r="Z21" i="6"/>
  <c r="Y21" i="6"/>
  <c r="X21" i="6"/>
  <c r="T20" i="6"/>
  <c r="S20" i="6"/>
  <c r="R20" i="6"/>
  <c r="Q20" i="6"/>
  <c r="P20" i="6"/>
  <c r="O20" i="6"/>
  <c r="N20" i="6"/>
  <c r="M20" i="6"/>
  <c r="G20" i="6"/>
  <c r="AJ19" i="6"/>
  <c r="AI19" i="6"/>
  <c r="U19" i="6"/>
  <c r="U21" i="6" s="1"/>
  <c r="AB18" i="6"/>
  <c r="G18" i="6"/>
  <c r="AC18" i="6" s="1"/>
  <c r="E18" i="6"/>
  <c r="G17" i="6"/>
  <c r="AB17" i="6" s="1"/>
  <c r="E17" i="6"/>
  <c r="G16" i="6"/>
  <c r="AC16" i="6" s="1"/>
  <c r="E16" i="6"/>
  <c r="AC15" i="6"/>
  <c r="G15" i="6"/>
  <c r="AB15" i="6" s="1"/>
  <c r="E15" i="6"/>
  <c r="AC14" i="6"/>
  <c r="AB14" i="6"/>
  <c r="G14" i="6"/>
  <c r="E14" i="6"/>
  <c r="AC13" i="6"/>
  <c r="G13" i="6"/>
  <c r="AB13" i="6" s="1"/>
  <c r="E13" i="6"/>
  <c r="AC12" i="6"/>
  <c r="G12" i="6"/>
  <c r="AB12" i="6" s="1"/>
  <c r="E12" i="6"/>
  <c r="AB11" i="6"/>
  <c r="G11" i="6"/>
  <c r="AC11" i="6" s="1"/>
  <c r="E11" i="6"/>
  <c r="G10" i="6"/>
  <c r="AC10" i="6" s="1"/>
  <c r="E10" i="6"/>
  <c r="AC9" i="6"/>
  <c r="AB9" i="6"/>
  <c r="G9" i="6"/>
  <c r="E9" i="6"/>
  <c r="AJ6" i="6"/>
  <c r="AI6" i="6"/>
  <c r="M6" i="6"/>
  <c r="L6" i="6"/>
  <c r="K6" i="6"/>
  <c r="J6" i="6"/>
  <c r="I6" i="6"/>
  <c r="C5" i="6"/>
  <c r="AF37" i="6" s="1"/>
  <c r="B5" i="6"/>
  <c r="AG2" i="6"/>
  <c r="AG45" i="6" s="1"/>
  <c r="AF2" i="6"/>
  <c r="AF14" i="6" s="1"/>
  <c r="AE2" i="6"/>
  <c r="F2" i="6"/>
  <c r="AL59" i="5"/>
  <c r="AH59" i="5"/>
  <c r="AD59" i="5"/>
  <c r="AA59" i="5"/>
  <c r="AE59" i="5" s="1"/>
  <c r="Z59" i="5"/>
  <c r="Y59" i="5"/>
  <c r="AC59" i="5" s="1"/>
  <c r="X59" i="5"/>
  <c r="V59" i="5"/>
  <c r="G59" i="5"/>
  <c r="AB59" i="5" s="1"/>
  <c r="AF59" i="5" s="1"/>
  <c r="AL58" i="5"/>
  <c r="AH58" i="5"/>
  <c r="Z58" i="5"/>
  <c r="AD58" i="5" s="1"/>
  <c r="V58" i="5"/>
  <c r="G58" i="5"/>
  <c r="AB58" i="5" s="1"/>
  <c r="AF58" i="5" s="1"/>
  <c r="AL57" i="5"/>
  <c r="AH57" i="5"/>
  <c r="AD57" i="5"/>
  <c r="Z57" i="5"/>
  <c r="V57" i="5"/>
  <c r="G57" i="5"/>
  <c r="Y57" i="5" s="1"/>
  <c r="AC57" i="5" s="1"/>
  <c r="AM54" i="5"/>
  <c r="AL54" i="5"/>
  <c r="T54" i="5"/>
  <c r="S54" i="5"/>
  <c r="R54" i="5"/>
  <c r="Q54" i="5"/>
  <c r="P54" i="5"/>
  <c r="O54" i="5"/>
  <c r="N54" i="5"/>
  <c r="M54" i="5"/>
  <c r="L54" i="5"/>
  <c r="K54" i="5"/>
  <c r="J54" i="5"/>
  <c r="I54" i="5"/>
  <c r="X50" i="5"/>
  <c r="AE50" i="5" s="1"/>
  <c r="T50" i="5"/>
  <c r="S50" i="5"/>
  <c r="R50" i="5"/>
  <c r="Q50" i="5"/>
  <c r="P50" i="5"/>
  <c r="O50" i="5"/>
  <c r="N50" i="5"/>
  <c r="M50" i="5"/>
  <c r="L50" i="5"/>
  <c r="K50" i="5"/>
  <c r="J50" i="5"/>
  <c r="AH50" i="5" s="1"/>
  <c r="I50" i="5"/>
  <c r="G50" i="5"/>
  <c r="AA50" i="5" s="1"/>
  <c r="E50" i="5"/>
  <c r="V50" i="5" s="1"/>
  <c r="AM49" i="5"/>
  <c r="AE48" i="5"/>
  <c r="AA48" i="5"/>
  <c r="Z48" i="5"/>
  <c r="G48" i="5"/>
  <c r="Y48" i="5" s="1"/>
  <c r="E48" i="5"/>
  <c r="V48" i="5" s="1"/>
  <c r="AF47" i="5"/>
  <c r="AE47" i="5"/>
  <c r="AD47" i="5"/>
  <c r="AC47" i="5"/>
  <c r="AB47" i="5"/>
  <c r="AA47" i="5"/>
  <c r="Z47" i="5"/>
  <c r="Y47" i="5"/>
  <c r="X47" i="5"/>
  <c r="G47" i="5"/>
  <c r="E47" i="5"/>
  <c r="V47" i="5" s="1"/>
  <c r="G46" i="5"/>
  <c r="Y46" i="5" s="1"/>
  <c r="E46" i="5"/>
  <c r="V46" i="5" s="1"/>
  <c r="AD45" i="5"/>
  <c r="AC45" i="5"/>
  <c r="AA45" i="5"/>
  <c r="Z45" i="5"/>
  <c r="Y45" i="5"/>
  <c r="X45" i="5"/>
  <c r="V45" i="5"/>
  <c r="G45" i="5"/>
  <c r="AB45" i="5" s="1"/>
  <c r="E45" i="5"/>
  <c r="AF44" i="5"/>
  <c r="AE44" i="5"/>
  <c r="AD44" i="5"/>
  <c r="AC44" i="5"/>
  <c r="AB44" i="5"/>
  <c r="AA44" i="5"/>
  <c r="G44" i="5"/>
  <c r="Z44" i="5" s="1"/>
  <c r="E44" i="5"/>
  <c r="V44" i="5" s="1"/>
  <c r="AF43" i="5"/>
  <c r="AB43" i="5"/>
  <c r="AA43" i="5"/>
  <c r="X43" i="5"/>
  <c r="V43" i="5"/>
  <c r="G43" i="5"/>
  <c r="Z43" i="5" s="1"/>
  <c r="E43" i="5"/>
  <c r="G42" i="5"/>
  <c r="AF42" i="5" s="1"/>
  <c r="E42" i="5"/>
  <c r="V42" i="5" s="1"/>
  <c r="AD41" i="5"/>
  <c r="Z41" i="5"/>
  <c r="Y41" i="5"/>
  <c r="V41" i="5"/>
  <c r="G41" i="5"/>
  <c r="X41" i="5" s="1"/>
  <c r="E41" i="5"/>
  <c r="AE40" i="5"/>
  <c r="AD40" i="5"/>
  <c r="AB40" i="5"/>
  <c r="AA40" i="5"/>
  <c r="Z40" i="5"/>
  <c r="Y40" i="5"/>
  <c r="X40" i="5"/>
  <c r="G40" i="5"/>
  <c r="AC40" i="5" s="1"/>
  <c r="E40" i="5"/>
  <c r="V40" i="5" s="1"/>
  <c r="AF39" i="5"/>
  <c r="AB39" i="5"/>
  <c r="X39" i="5"/>
  <c r="G39" i="5"/>
  <c r="AE39" i="5" s="1"/>
  <c r="E39" i="5"/>
  <c r="V39" i="5" s="1"/>
  <c r="AD36" i="5"/>
  <c r="AC36" i="5"/>
  <c r="AA36" i="5"/>
  <c r="Y36" i="5"/>
  <c r="X36" i="5"/>
  <c r="G36" i="5"/>
  <c r="AB36" i="5" s="1"/>
  <c r="AF35" i="5"/>
  <c r="AD35" i="5"/>
  <c r="AB35" i="5"/>
  <c r="X35" i="5"/>
  <c r="G35" i="5"/>
  <c r="AE35" i="5" s="1"/>
  <c r="AD34" i="5"/>
  <c r="AC34" i="5"/>
  <c r="AA34" i="5"/>
  <c r="Y34" i="5"/>
  <c r="X34" i="5"/>
  <c r="G34" i="5"/>
  <c r="AB34" i="5" s="1"/>
  <c r="G33" i="5"/>
  <c r="AF33" i="5" s="1"/>
  <c r="AM30" i="5"/>
  <c r="AL30" i="5"/>
  <c r="AF30" i="5"/>
  <c r="AE30" i="5"/>
  <c r="AD30" i="5"/>
  <c r="AC30" i="5"/>
  <c r="AB30" i="5"/>
  <c r="AA30" i="5"/>
  <c r="Z30" i="5"/>
  <c r="Y30" i="5"/>
  <c r="X30" i="5"/>
  <c r="W30" i="5"/>
  <c r="V30" i="5"/>
  <c r="T30" i="5"/>
  <c r="S30" i="5"/>
  <c r="R30" i="5"/>
  <c r="Q30" i="5"/>
  <c r="P30" i="5"/>
  <c r="O30" i="5"/>
  <c r="N30" i="5"/>
  <c r="M30" i="5"/>
  <c r="L30" i="5"/>
  <c r="K30" i="5"/>
  <c r="J30" i="5"/>
  <c r="I30" i="5"/>
  <c r="X26" i="5"/>
  <c r="W26" i="5"/>
  <c r="V26" i="5"/>
  <c r="T26" i="5"/>
  <c r="S26" i="5"/>
  <c r="R26" i="5"/>
  <c r="Q26" i="5"/>
  <c r="P26" i="5"/>
  <c r="O26" i="5"/>
  <c r="N26" i="5"/>
  <c r="M26" i="5"/>
  <c r="L26" i="5"/>
  <c r="K26" i="5"/>
  <c r="J26" i="5"/>
  <c r="I26" i="5"/>
  <c r="G26" i="5"/>
  <c r="AM25" i="5"/>
  <c r="AL25" i="5"/>
  <c r="AF25" i="5"/>
  <c r="AE25" i="5"/>
  <c r="Z24" i="5"/>
  <c r="V24" i="5"/>
  <c r="G24" i="5"/>
  <c r="Y24" i="5" s="1"/>
  <c r="E24" i="5"/>
  <c r="AF23" i="5"/>
  <c r="AE23" i="5"/>
  <c r="AD23" i="5"/>
  <c r="AC23" i="5"/>
  <c r="AB23" i="5"/>
  <c r="AA23" i="5"/>
  <c r="Z23" i="5"/>
  <c r="Y23" i="5"/>
  <c r="X23" i="5"/>
  <c r="G23" i="5"/>
  <c r="E23" i="5"/>
  <c r="V23" i="5" s="1"/>
  <c r="AF22" i="5"/>
  <c r="X22" i="5"/>
  <c r="G22" i="5"/>
  <c r="AE22" i="5" s="1"/>
  <c r="E22" i="5"/>
  <c r="V22" i="5" s="1"/>
  <c r="AC21" i="5"/>
  <c r="AB21" i="5"/>
  <c r="Z21" i="5"/>
  <c r="Y21" i="5"/>
  <c r="X21" i="5"/>
  <c r="V21" i="5"/>
  <c r="G21" i="5"/>
  <c r="AA21" i="5" s="1"/>
  <c r="E21" i="5"/>
  <c r="AE20" i="5"/>
  <c r="AD20" i="5"/>
  <c r="AC20" i="5"/>
  <c r="AA20" i="5"/>
  <c r="V20" i="5"/>
  <c r="G20" i="5"/>
  <c r="AF20" i="5" s="1"/>
  <c r="E20" i="5"/>
  <c r="AF19" i="5"/>
  <c r="AA19" i="5"/>
  <c r="Z19" i="5"/>
  <c r="X19" i="5"/>
  <c r="V19" i="5"/>
  <c r="G19" i="5"/>
  <c r="Y19" i="5" s="1"/>
  <c r="E19" i="5"/>
  <c r="AF18" i="5"/>
  <c r="AE18" i="5"/>
  <c r="AC18" i="5"/>
  <c r="AB18" i="5"/>
  <c r="AA18" i="5"/>
  <c r="Y18" i="5"/>
  <c r="G18" i="5"/>
  <c r="AD18" i="5" s="1"/>
  <c r="E18" i="5"/>
  <c r="V18" i="5" s="1"/>
  <c r="Y17" i="5"/>
  <c r="V17" i="5"/>
  <c r="G17" i="5"/>
  <c r="X17" i="5" s="1"/>
  <c r="E17" i="5"/>
  <c r="AF16" i="5"/>
  <c r="AD16" i="5"/>
  <c r="AC16" i="5"/>
  <c r="AA16" i="5"/>
  <c r="Z16" i="5"/>
  <c r="Y16" i="5"/>
  <c r="X16" i="5"/>
  <c r="G16" i="5"/>
  <c r="AB16" i="5" s="1"/>
  <c r="E16" i="5"/>
  <c r="V16" i="5" s="1"/>
  <c r="AF15" i="5"/>
  <c r="AE15" i="5"/>
  <c r="AD15" i="5"/>
  <c r="AB15" i="5"/>
  <c r="X15" i="5"/>
  <c r="G15" i="5"/>
  <c r="AC15" i="5" s="1"/>
  <c r="E15" i="5"/>
  <c r="V15" i="5" s="1"/>
  <c r="V25" i="5" s="1"/>
  <c r="V27" i="5" s="1"/>
  <c r="AF12" i="5"/>
  <c r="AA12" i="5"/>
  <c r="Z12" i="5"/>
  <c r="V12" i="5"/>
  <c r="G12" i="5"/>
  <c r="Y12" i="5" s="1"/>
  <c r="E12" i="5"/>
  <c r="AB11" i="5"/>
  <c r="AA11" i="5"/>
  <c r="G11" i="5"/>
  <c r="AC11" i="5" s="1"/>
  <c r="E11" i="5"/>
  <c r="V11" i="5" s="1"/>
  <c r="AF10" i="5"/>
  <c r="AE10" i="5"/>
  <c r="AD10" i="5"/>
  <c r="AC10" i="5"/>
  <c r="AB10" i="5"/>
  <c r="AA10" i="5"/>
  <c r="Y10" i="5"/>
  <c r="X10" i="5"/>
  <c r="G10" i="5"/>
  <c r="Z10" i="5" s="1"/>
  <c r="E10" i="5"/>
  <c r="V10" i="5" s="1"/>
  <c r="AF9" i="5"/>
  <c r="AB9" i="5"/>
  <c r="AA9" i="5"/>
  <c r="Z9" i="5"/>
  <c r="X9" i="5"/>
  <c r="V9" i="5"/>
  <c r="G9" i="5"/>
  <c r="Y9" i="5" s="1"/>
  <c r="E9" i="5"/>
  <c r="AM6" i="5"/>
  <c r="AL6" i="5"/>
  <c r="AF6" i="5"/>
  <c r="AE6" i="5"/>
  <c r="AD6" i="5"/>
  <c r="AC6" i="5"/>
  <c r="AB6" i="5"/>
  <c r="AA6" i="5"/>
  <c r="Z6" i="5"/>
  <c r="Y6" i="5"/>
  <c r="X6" i="5"/>
  <c r="W6" i="5"/>
  <c r="V6" i="5"/>
  <c r="T6" i="5"/>
  <c r="S6" i="5"/>
  <c r="R6" i="5"/>
  <c r="Q6" i="5"/>
  <c r="P6" i="5"/>
  <c r="O6" i="5"/>
  <c r="N6" i="5"/>
  <c r="M6" i="5"/>
  <c r="L6" i="5"/>
  <c r="K6" i="5"/>
  <c r="J6" i="5"/>
  <c r="I6" i="5"/>
  <c r="C5" i="5"/>
  <c r="AI26" i="5" s="1"/>
  <c r="B5" i="5"/>
  <c r="AJ2" i="5"/>
  <c r="AJ54" i="5" s="1"/>
  <c r="AI2" i="5"/>
  <c r="AI12" i="5" s="1"/>
  <c r="AJ12" i="5" s="1"/>
  <c r="AH2" i="5"/>
  <c r="F2" i="5"/>
  <c r="F3" i="5" s="1"/>
  <c r="AJ59" i="4"/>
  <c r="AF59" i="4"/>
  <c r="AC59" i="4"/>
  <c r="Z59" i="4"/>
  <c r="AD59" i="4" s="1"/>
  <c r="Y59" i="4"/>
  <c r="X59" i="4"/>
  <c r="AB59" i="4" s="1"/>
  <c r="V59" i="4"/>
  <c r="G59" i="4"/>
  <c r="W59" i="4" s="1"/>
  <c r="AA59" i="4" s="1"/>
  <c r="AJ58" i="4"/>
  <c r="AF58" i="4"/>
  <c r="AB58" i="4"/>
  <c r="Z58" i="4"/>
  <c r="AD58" i="4" s="1"/>
  <c r="X58" i="4"/>
  <c r="G58" i="4"/>
  <c r="Y58" i="4" s="1"/>
  <c r="AC58" i="4" s="1"/>
  <c r="AJ57" i="4"/>
  <c r="AF57" i="4"/>
  <c r="G57" i="4"/>
  <c r="AK54" i="4"/>
  <c r="AJ54" i="4"/>
  <c r="T54" i="4"/>
  <c r="S54" i="4"/>
  <c r="R54" i="4"/>
  <c r="Q54" i="4"/>
  <c r="P54" i="4"/>
  <c r="O54" i="4"/>
  <c r="N54" i="4"/>
  <c r="M54" i="4"/>
  <c r="L54" i="4"/>
  <c r="K54" i="4"/>
  <c r="J54" i="4"/>
  <c r="I54" i="4"/>
  <c r="AA50" i="4"/>
  <c r="Y50" i="4"/>
  <c r="X50" i="4"/>
  <c r="W50" i="4"/>
  <c r="V50" i="4"/>
  <c r="Z50" i="4" s="1"/>
  <c r="AD50" i="4" s="1"/>
  <c r="T50" i="4"/>
  <c r="S50" i="4"/>
  <c r="R50" i="4"/>
  <c r="Q50" i="4"/>
  <c r="P50" i="4"/>
  <c r="O50" i="4"/>
  <c r="N50" i="4"/>
  <c r="W39" i="6" s="1"/>
  <c r="M50" i="4"/>
  <c r="V39" i="6" s="1"/>
  <c r="L50" i="4"/>
  <c r="L39" i="6" s="1"/>
  <c r="K50" i="4"/>
  <c r="K39" i="6" s="1"/>
  <c r="J50" i="4"/>
  <c r="J39" i="6" s="1"/>
  <c r="I50" i="4"/>
  <c r="I39" i="6" s="1"/>
  <c r="G50" i="4"/>
  <c r="E50" i="4"/>
  <c r="AK49" i="4"/>
  <c r="Z48" i="4"/>
  <c r="V48" i="4"/>
  <c r="G48" i="4"/>
  <c r="Y48" i="4" s="1"/>
  <c r="E48" i="4"/>
  <c r="AC47" i="4"/>
  <c r="Z47" i="4"/>
  <c r="Y47" i="4"/>
  <c r="X47" i="4"/>
  <c r="V47" i="4"/>
  <c r="G47" i="4"/>
  <c r="AB47" i="4" s="1"/>
  <c r="E47" i="4"/>
  <c r="AC46" i="4"/>
  <c r="AB46" i="4"/>
  <c r="AA46" i="4"/>
  <c r="Y46" i="4"/>
  <c r="G46" i="4"/>
  <c r="AD46" i="4" s="1"/>
  <c r="E46" i="4"/>
  <c r="AD45" i="4"/>
  <c r="AB45" i="4"/>
  <c r="W45" i="4"/>
  <c r="G45" i="4"/>
  <c r="V45" i="4" s="1"/>
  <c r="E45" i="4"/>
  <c r="Z44" i="4"/>
  <c r="V44" i="4"/>
  <c r="G44" i="4"/>
  <c r="Y44" i="4" s="1"/>
  <c r="E44" i="4"/>
  <c r="AC43" i="4"/>
  <c r="Z43" i="4"/>
  <c r="Y43" i="4"/>
  <c r="X43" i="4"/>
  <c r="V43" i="4"/>
  <c r="G43" i="4"/>
  <c r="AB43" i="4" s="1"/>
  <c r="E43" i="4"/>
  <c r="AC42" i="4"/>
  <c r="AB42" i="4"/>
  <c r="AA42" i="4"/>
  <c r="Y42" i="4"/>
  <c r="G42" i="4"/>
  <c r="AD42" i="4" s="1"/>
  <c r="E42" i="4"/>
  <c r="AD41" i="4"/>
  <c r="AB41" i="4"/>
  <c r="W41" i="4"/>
  <c r="G41" i="4"/>
  <c r="V41" i="4" s="1"/>
  <c r="E41" i="4"/>
  <c r="Z40" i="4"/>
  <c r="V40" i="4"/>
  <c r="G40" i="4"/>
  <c r="Y40" i="4" s="1"/>
  <c r="E40" i="4"/>
  <c r="AC39" i="4"/>
  <c r="Z39" i="4"/>
  <c r="Y39" i="4"/>
  <c r="X39" i="4"/>
  <c r="V39" i="4"/>
  <c r="G39" i="4"/>
  <c r="AB39" i="4" s="1"/>
  <c r="E39" i="4"/>
  <c r="G36" i="4"/>
  <c r="AD36" i="4" s="1"/>
  <c r="E36" i="4"/>
  <c r="W35" i="4"/>
  <c r="G35" i="4"/>
  <c r="V35" i="4" s="1"/>
  <c r="E35" i="4"/>
  <c r="Z34" i="4"/>
  <c r="V34" i="4"/>
  <c r="G34" i="4"/>
  <c r="Y34" i="4" s="1"/>
  <c r="E34" i="4"/>
  <c r="AC33" i="4"/>
  <c r="Z33" i="4"/>
  <c r="Y33" i="4"/>
  <c r="G33" i="4"/>
  <c r="AB33" i="4" s="1"/>
  <c r="E33" i="4"/>
  <c r="AK30" i="4"/>
  <c r="AJ30" i="4"/>
  <c r="AB26" i="4"/>
  <c r="AA26" i="4"/>
  <c r="Z26" i="4"/>
  <c r="V26" i="4"/>
  <c r="T26" i="4"/>
  <c r="S26" i="4"/>
  <c r="R26" i="4"/>
  <c r="Q26" i="4"/>
  <c r="P26" i="4"/>
  <c r="O26" i="4"/>
  <c r="N26" i="4"/>
  <c r="W20" i="6" s="1"/>
  <c r="M26" i="4"/>
  <c r="V20" i="6" s="1"/>
  <c r="L26" i="4"/>
  <c r="L20" i="6" s="1"/>
  <c r="K26" i="4"/>
  <c r="K20" i="6" s="1"/>
  <c r="J26" i="4"/>
  <c r="J20" i="6" s="1"/>
  <c r="I26" i="4"/>
  <c r="I20" i="6" s="1"/>
  <c r="G26" i="4"/>
  <c r="AD26" i="4" s="1"/>
  <c r="AK25" i="4"/>
  <c r="AJ25" i="4"/>
  <c r="AD25" i="4"/>
  <c r="AC25" i="4"/>
  <c r="AB24" i="4"/>
  <c r="G24" i="4"/>
  <c r="AD24" i="4" s="1"/>
  <c r="E24" i="4"/>
  <c r="G23" i="4"/>
  <c r="X23" i="4" s="1"/>
  <c r="E23" i="4"/>
  <c r="AA22" i="4"/>
  <c r="X22" i="4"/>
  <c r="W22" i="4"/>
  <c r="V22" i="4"/>
  <c r="G22" i="4"/>
  <c r="Z22" i="4" s="1"/>
  <c r="E22" i="4"/>
  <c r="AC21" i="4"/>
  <c r="V21" i="4"/>
  <c r="G21" i="4"/>
  <c r="W21" i="4" s="1"/>
  <c r="E21" i="4"/>
  <c r="Z20" i="4"/>
  <c r="Y20" i="4"/>
  <c r="X20" i="4"/>
  <c r="G20" i="4"/>
  <c r="AA20" i="4" s="1"/>
  <c r="E20" i="4"/>
  <c r="AC19" i="4"/>
  <c r="AB19" i="4"/>
  <c r="AA19" i="4"/>
  <c r="W19" i="4"/>
  <c r="V19" i="4"/>
  <c r="G19" i="4"/>
  <c r="AD19" i="4" s="1"/>
  <c r="E19" i="4"/>
  <c r="AD18" i="4"/>
  <c r="Z18" i="4"/>
  <c r="Y18" i="4"/>
  <c r="G18" i="4"/>
  <c r="AC18" i="4" s="1"/>
  <c r="E18" i="4"/>
  <c r="AB17" i="4"/>
  <c r="V17" i="4"/>
  <c r="G17" i="4"/>
  <c r="X17" i="4" s="1"/>
  <c r="E17" i="4"/>
  <c r="AC16" i="4"/>
  <c r="Z16" i="4"/>
  <c r="Y16" i="4"/>
  <c r="X16" i="4"/>
  <c r="G16" i="4"/>
  <c r="AA16" i="4" s="1"/>
  <c r="E16" i="4"/>
  <c r="AC15" i="4"/>
  <c r="AB15" i="4"/>
  <c r="AA15" i="4"/>
  <c r="Y15" i="4"/>
  <c r="W15" i="4"/>
  <c r="V15" i="4"/>
  <c r="G15" i="4"/>
  <c r="AD15" i="4" s="1"/>
  <c r="E15" i="4"/>
  <c r="AC12" i="4"/>
  <c r="AB12" i="4"/>
  <c r="Z12" i="4"/>
  <c r="Y12" i="4"/>
  <c r="X12" i="4"/>
  <c r="W12" i="4"/>
  <c r="G12" i="4"/>
  <c r="AD12" i="4" s="1"/>
  <c r="E12" i="4"/>
  <c r="Z11" i="4"/>
  <c r="G11" i="4"/>
  <c r="V11" i="4" s="1"/>
  <c r="E11" i="4"/>
  <c r="AC10" i="4"/>
  <c r="V10" i="4"/>
  <c r="G10" i="4"/>
  <c r="X10" i="4" s="1"/>
  <c r="E10" i="4"/>
  <c r="Y9" i="4"/>
  <c r="X9" i="4"/>
  <c r="W9" i="4"/>
  <c r="G9" i="4"/>
  <c r="Z9" i="4" s="1"/>
  <c r="E9" i="4"/>
  <c r="AK6" i="4"/>
  <c r="AJ6" i="4"/>
  <c r="M6" i="4"/>
  <c r="L6" i="4"/>
  <c r="K6" i="4"/>
  <c r="J6" i="4"/>
  <c r="I6" i="4"/>
  <c r="C5" i="4"/>
  <c r="AG42" i="4" s="1"/>
  <c r="B5" i="4"/>
  <c r="AH2" i="4"/>
  <c r="AH6" i="4" s="1"/>
  <c r="AG2" i="4"/>
  <c r="AG6" i="4" s="1"/>
  <c r="AF2" i="4"/>
  <c r="AF6" i="4" s="1"/>
  <c r="F2" i="4"/>
  <c r="E26" i="4" s="1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C100" i="3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B21" i="3"/>
  <c r="BB6" i="3" s="1"/>
  <c r="BB8" i="12" s="1"/>
  <c r="AX21" i="3"/>
  <c r="AW21" i="3"/>
  <c r="AV21" i="3"/>
  <c r="AU21" i="3"/>
  <c r="AT21" i="3"/>
  <c r="AS21" i="3"/>
  <c r="AP21" i="3"/>
  <c r="AP6" i="3" s="1"/>
  <c r="AL21" i="3"/>
  <c r="AK21" i="3"/>
  <c r="AJ21" i="3"/>
  <c r="AG21" i="3"/>
  <c r="AF21" i="3"/>
  <c r="AE21" i="3"/>
  <c r="AD21" i="3"/>
  <c r="AC21" i="3"/>
  <c r="AB21" i="3"/>
  <c r="AB6" i="3" s="1"/>
  <c r="AA21" i="3"/>
  <c r="Z21" i="3"/>
  <c r="X21" i="3"/>
  <c r="X6" i="3" s="1"/>
  <c r="Q21" i="3"/>
  <c r="P21" i="3"/>
  <c r="P6" i="3" s="1"/>
  <c r="L21" i="3"/>
  <c r="L6" i="3" s="1"/>
  <c r="D21" i="3"/>
  <c r="D6" i="3" s="1"/>
  <c r="BB20" i="3"/>
  <c r="AZ20" i="3"/>
  <c r="AS20" i="3"/>
  <c r="AR20" i="3"/>
  <c r="AQ20" i="3"/>
  <c r="AQ5" i="3" s="1"/>
  <c r="AP20" i="3"/>
  <c r="AO20" i="3"/>
  <c r="AN20" i="3"/>
  <c r="AM20" i="3"/>
  <c r="AL20" i="3"/>
  <c r="AK20" i="3"/>
  <c r="AJ20" i="3"/>
  <c r="AG20" i="3"/>
  <c r="AF20" i="3"/>
  <c r="AC20" i="3"/>
  <c r="AC5" i="3" s="1"/>
  <c r="Z20" i="3"/>
  <c r="Y20" i="3"/>
  <c r="X20" i="3"/>
  <c r="W20" i="3"/>
  <c r="V20" i="3"/>
  <c r="U20" i="3"/>
  <c r="T20" i="3"/>
  <c r="S20" i="3"/>
  <c r="R20" i="3"/>
  <c r="Q20" i="3"/>
  <c r="Q5" i="3" s="1"/>
  <c r="P20" i="3"/>
  <c r="O20" i="3"/>
  <c r="N20" i="3"/>
  <c r="M20" i="3"/>
  <c r="E20" i="3"/>
  <c r="E5" i="3" s="1"/>
  <c r="BA18" i="3"/>
  <c r="BA21" i="3" s="1"/>
  <c r="BA6" i="3" s="1"/>
  <c r="AR18" i="3"/>
  <c r="AR21" i="3" s="1"/>
  <c r="AR6" i="3" s="1"/>
  <c r="AQ18" i="3"/>
  <c r="AQ21" i="3" s="1"/>
  <c r="AQ6" i="3" s="1"/>
  <c r="AP18" i="3"/>
  <c r="AO18" i="3"/>
  <c r="AO21" i="3" s="1"/>
  <c r="AO6" i="3" s="1"/>
  <c r="AN18" i="3"/>
  <c r="AN21" i="3" s="1"/>
  <c r="AN6" i="3" s="1"/>
  <c r="Y18" i="3"/>
  <c r="X18" i="3"/>
  <c r="W18" i="3"/>
  <c r="V18" i="3"/>
  <c r="U18" i="3"/>
  <c r="T18" i="3"/>
  <c r="P18" i="3"/>
  <c r="O18" i="3"/>
  <c r="O21" i="3" s="1"/>
  <c r="O6" i="3" s="1"/>
  <c r="K18" i="3"/>
  <c r="J18" i="3"/>
  <c r="I18" i="3"/>
  <c r="H21" i="3" s="1"/>
  <c r="H6" i="3" s="1"/>
  <c r="F18" i="3"/>
  <c r="F21" i="3" s="1"/>
  <c r="F6" i="3" s="1"/>
  <c r="F8" i="12" s="1"/>
  <c r="E18" i="3"/>
  <c r="E21" i="3" s="1"/>
  <c r="E6" i="3" s="1"/>
  <c r="D18" i="3"/>
  <c r="C18" i="3"/>
  <c r="C101" i="3" s="1"/>
  <c r="C102" i="3" s="1"/>
  <c r="AY17" i="3"/>
  <c r="AX17" i="3"/>
  <c r="AW17" i="3"/>
  <c r="AV17" i="3"/>
  <c r="AV20" i="3" s="1"/>
  <c r="AV5" i="3" s="1"/>
  <c r="AE17" i="3"/>
  <c r="AE20" i="3" s="1"/>
  <c r="AE5" i="3" s="1"/>
  <c r="AD17" i="3"/>
  <c r="AD20" i="3" s="1"/>
  <c r="AD5" i="3" s="1"/>
  <c r="AC17" i="3"/>
  <c r="AB20" i="3" s="1"/>
  <c r="AB5" i="3" s="1"/>
  <c r="M17" i="3"/>
  <c r="L17" i="3"/>
  <c r="K17" i="3"/>
  <c r="J17" i="3"/>
  <c r="I17" i="3"/>
  <c r="H17" i="3"/>
  <c r="F17" i="3"/>
  <c r="E17" i="3"/>
  <c r="D17" i="3"/>
  <c r="D100" i="3" s="1"/>
  <c r="AX6" i="3"/>
  <c r="AW6" i="3"/>
  <c r="AW8" i="12" s="1"/>
  <c r="AV6" i="3"/>
  <c r="AU6" i="3"/>
  <c r="AT6" i="3"/>
  <c r="AT8" i="12" s="1"/>
  <c r="AS6" i="3"/>
  <c r="AS8" i="12" s="1"/>
  <c r="AL6" i="3"/>
  <c r="AK6" i="3"/>
  <c r="AK8" i="12" s="1"/>
  <c r="AJ6" i="3"/>
  <c r="AJ8" i="12" s="1"/>
  <c r="AI6" i="3"/>
  <c r="AI8" i="12" s="1"/>
  <c r="AH6" i="3"/>
  <c r="AG6" i="3"/>
  <c r="AG8" i="12" s="1"/>
  <c r="AF6" i="3"/>
  <c r="AF8" i="12" s="1"/>
  <c r="AE6" i="3"/>
  <c r="AE8" i="12" s="1"/>
  <c r="AD6" i="3"/>
  <c r="AD8" i="12" s="1"/>
  <c r="AC6" i="3"/>
  <c r="AA6" i="3"/>
  <c r="AA8" i="12" s="1"/>
  <c r="Z6" i="3"/>
  <c r="Q6" i="3"/>
  <c r="Q8" i="12" s="1"/>
  <c r="BB5" i="3"/>
  <c r="BA5" i="3"/>
  <c r="BA7" i="12" s="1"/>
  <c r="AZ5" i="3"/>
  <c r="AZ7" i="12" s="1"/>
  <c r="AS5" i="3"/>
  <c r="AS7" i="12" s="1"/>
  <c r="AR5" i="3"/>
  <c r="AR7" i="12" s="1"/>
  <c r="AP5" i="3"/>
  <c r="AO5" i="3"/>
  <c r="AO7" i="12" s="1"/>
  <c r="AN5" i="3"/>
  <c r="AN7" i="12" s="1"/>
  <c r="AM5" i="3"/>
  <c r="AM7" i="12" s="1"/>
  <c r="AL5" i="3"/>
  <c r="AK5" i="3"/>
  <c r="AK7" i="12" s="1"/>
  <c r="AJ5" i="3"/>
  <c r="AJ7" i="12" s="1"/>
  <c r="AI5" i="3"/>
  <c r="AI7" i="12" s="1"/>
  <c r="AH5" i="3"/>
  <c r="AG5" i="3"/>
  <c r="AG7" i="12" s="1"/>
  <c r="AF5" i="3"/>
  <c r="AF7" i="12" s="1"/>
  <c r="Z5" i="3"/>
  <c r="Z7" i="12" s="1"/>
  <c r="Y5" i="3"/>
  <c r="X5" i="3"/>
  <c r="X7" i="12" s="1"/>
  <c r="W5" i="3"/>
  <c r="W7" i="12" s="1"/>
  <c r="V5" i="3"/>
  <c r="V7" i="12" s="1"/>
  <c r="U5" i="3"/>
  <c r="U7" i="12" s="1"/>
  <c r="T5" i="3"/>
  <c r="S5" i="3"/>
  <c r="S7" i="12" s="1"/>
  <c r="R5" i="3"/>
  <c r="P5" i="3"/>
  <c r="O5" i="3"/>
  <c r="O7" i="12" s="1"/>
  <c r="N5" i="3"/>
  <c r="N7" i="12" s="1"/>
  <c r="M5" i="3"/>
  <c r="M7" i="12" s="1"/>
  <c r="Z150" i="2"/>
  <c r="Y150" i="2"/>
  <c r="X150" i="2"/>
  <c r="P150" i="2"/>
  <c r="O150" i="2"/>
  <c r="N150" i="2"/>
  <c r="C150" i="2"/>
  <c r="AW149" i="2"/>
  <c r="AV149" i="2"/>
  <c r="Z149" i="2"/>
  <c r="Y149" i="2"/>
  <c r="X149" i="2"/>
  <c r="P149" i="2"/>
  <c r="O149" i="2"/>
  <c r="N149" i="2"/>
  <c r="C149" i="2"/>
  <c r="B149" i="2"/>
  <c r="AW148" i="2"/>
  <c r="AV148" i="2"/>
  <c r="Z148" i="2"/>
  <c r="Y148" i="2"/>
  <c r="X148" i="2"/>
  <c r="P148" i="2"/>
  <c r="O148" i="2"/>
  <c r="N148" i="2"/>
  <c r="C148" i="2"/>
  <c r="B148" i="2"/>
  <c r="AW147" i="2"/>
  <c r="AV147" i="2"/>
  <c r="Z147" i="2"/>
  <c r="Y147" i="2"/>
  <c r="X147" i="2"/>
  <c r="P147" i="2"/>
  <c r="O147" i="2"/>
  <c r="N147" i="2"/>
  <c r="C147" i="2"/>
  <c r="B147" i="2"/>
  <c r="AV146" i="2"/>
  <c r="AW146" i="2" s="1"/>
  <c r="Z146" i="2"/>
  <c r="Y146" i="2"/>
  <c r="X146" i="2"/>
  <c r="P146" i="2"/>
  <c r="O146" i="2"/>
  <c r="N146" i="2"/>
  <c r="C146" i="2"/>
  <c r="B146" i="2"/>
  <c r="AV145" i="2"/>
  <c r="AW145" i="2" s="1"/>
  <c r="Z145" i="2"/>
  <c r="Y145" i="2"/>
  <c r="X145" i="2"/>
  <c r="P145" i="2"/>
  <c r="O145" i="2"/>
  <c r="N145" i="2"/>
  <c r="C145" i="2"/>
  <c r="B145" i="2"/>
  <c r="AV144" i="2"/>
  <c r="AW144" i="2" s="1"/>
  <c r="Z144" i="2"/>
  <c r="Y144" i="2"/>
  <c r="X144" i="2"/>
  <c r="P144" i="2"/>
  <c r="O144" i="2"/>
  <c r="N144" i="2"/>
  <c r="C144" i="2"/>
  <c r="B144" i="2"/>
  <c r="AV143" i="2"/>
  <c r="AW143" i="2" s="1"/>
  <c r="Z143" i="2"/>
  <c r="Y143" i="2"/>
  <c r="X143" i="2"/>
  <c r="P143" i="2"/>
  <c r="O143" i="2"/>
  <c r="N143" i="2"/>
  <c r="C143" i="2"/>
  <c r="B143" i="2"/>
  <c r="AV142" i="2"/>
  <c r="AW142" i="2" s="1"/>
  <c r="Z142" i="2"/>
  <c r="Y142" i="2"/>
  <c r="X142" i="2"/>
  <c r="P142" i="2"/>
  <c r="O142" i="2"/>
  <c r="N142" i="2"/>
  <c r="C142" i="2"/>
  <c r="B142" i="2"/>
  <c r="AV141" i="2"/>
  <c r="AW141" i="2" s="1"/>
  <c r="Z141" i="2"/>
  <c r="Y141" i="2"/>
  <c r="X141" i="2"/>
  <c r="P141" i="2"/>
  <c r="O141" i="2"/>
  <c r="N141" i="2"/>
  <c r="C141" i="2"/>
  <c r="B141" i="2"/>
  <c r="AV140" i="2"/>
  <c r="AW140" i="2" s="1"/>
  <c r="Z140" i="2"/>
  <c r="Y140" i="2"/>
  <c r="X140" i="2"/>
  <c r="P140" i="2"/>
  <c r="O140" i="2"/>
  <c r="N140" i="2"/>
  <c r="C140" i="2"/>
  <c r="B140" i="2"/>
  <c r="Z139" i="2"/>
  <c r="Y139" i="2"/>
  <c r="X139" i="2"/>
  <c r="P139" i="2"/>
  <c r="O139" i="2"/>
  <c r="C139" i="2"/>
  <c r="B139" i="2"/>
  <c r="AW138" i="2"/>
  <c r="AV138" i="2"/>
  <c r="Z138" i="2"/>
  <c r="Y138" i="2"/>
  <c r="X138" i="2"/>
  <c r="P138" i="2"/>
  <c r="O138" i="2"/>
  <c r="B138" i="2"/>
  <c r="AW137" i="2"/>
  <c r="AV137" i="2"/>
  <c r="Z137" i="2"/>
  <c r="Y137" i="2"/>
  <c r="X137" i="2"/>
  <c r="P137" i="2"/>
  <c r="O137" i="2"/>
  <c r="N137" i="2"/>
  <c r="C137" i="2"/>
  <c r="B137" i="2"/>
  <c r="AW136" i="2"/>
  <c r="AV136" i="2"/>
  <c r="Z136" i="2"/>
  <c r="Y136" i="2"/>
  <c r="X136" i="2"/>
  <c r="P136" i="2"/>
  <c r="O136" i="2"/>
  <c r="N136" i="2"/>
  <c r="C136" i="2"/>
  <c r="B136" i="2"/>
  <c r="AW135" i="2"/>
  <c r="AV135" i="2"/>
  <c r="Z135" i="2"/>
  <c r="Y135" i="2"/>
  <c r="X135" i="2"/>
  <c r="P135" i="2"/>
  <c r="O135" i="2"/>
  <c r="N135" i="2"/>
  <c r="C135" i="2"/>
  <c r="B135" i="2"/>
  <c r="AW134" i="2"/>
  <c r="AV134" i="2"/>
  <c r="Z134" i="2"/>
  <c r="Y134" i="2"/>
  <c r="X134" i="2"/>
  <c r="P134" i="2"/>
  <c r="O134" i="2"/>
  <c r="N134" i="2"/>
  <c r="C134" i="2"/>
  <c r="B134" i="2"/>
  <c r="AW133" i="2"/>
  <c r="AV133" i="2"/>
  <c r="Z133" i="2"/>
  <c r="Y133" i="2"/>
  <c r="X133" i="2"/>
  <c r="P133" i="2"/>
  <c r="O133" i="2"/>
  <c r="N133" i="2"/>
  <c r="C133" i="2"/>
  <c r="B133" i="2"/>
  <c r="AW132" i="2"/>
  <c r="AV132" i="2"/>
  <c r="Z132" i="2"/>
  <c r="Y132" i="2"/>
  <c r="X132" i="2"/>
  <c r="P132" i="2"/>
  <c r="O132" i="2"/>
  <c r="N132" i="2"/>
  <c r="C132" i="2"/>
  <c r="B132" i="2"/>
  <c r="AW131" i="2"/>
  <c r="AV131" i="2"/>
  <c r="Z131" i="2"/>
  <c r="Y131" i="2"/>
  <c r="X131" i="2"/>
  <c r="P131" i="2"/>
  <c r="O131" i="2"/>
  <c r="N131" i="2"/>
  <c r="C131" i="2"/>
  <c r="B131" i="2"/>
  <c r="AW130" i="2"/>
  <c r="AV130" i="2"/>
  <c r="Z130" i="2"/>
  <c r="Y130" i="2"/>
  <c r="X130" i="2"/>
  <c r="P130" i="2"/>
  <c r="O130" i="2"/>
  <c r="N130" i="2"/>
  <c r="C130" i="2"/>
  <c r="B130" i="2"/>
  <c r="AW129" i="2"/>
  <c r="AV129" i="2"/>
  <c r="Z129" i="2"/>
  <c r="Y129" i="2"/>
  <c r="X129" i="2"/>
  <c r="P129" i="2"/>
  <c r="O129" i="2"/>
  <c r="N129" i="2"/>
  <c r="C129" i="2"/>
  <c r="B129" i="2"/>
  <c r="AW128" i="2"/>
  <c r="AV128" i="2"/>
  <c r="Z128" i="2"/>
  <c r="Y128" i="2"/>
  <c r="X128" i="2"/>
  <c r="P128" i="2"/>
  <c r="O128" i="2"/>
  <c r="N128" i="2"/>
  <c r="C128" i="2"/>
  <c r="B128" i="2"/>
  <c r="AW127" i="2"/>
  <c r="AV127" i="2"/>
  <c r="Z127" i="2"/>
  <c r="Y127" i="2"/>
  <c r="X127" i="2"/>
  <c r="P127" i="2"/>
  <c r="O127" i="2"/>
  <c r="N127" i="2"/>
  <c r="C127" i="2"/>
  <c r="B127" i="2"/>
  <c r="AW126" i="2"/>
  <c r="AV126" i="2"/>
  <c r="Z126" i="2"/>
  <c r="Y126" i="2"/>
  <c r="X126" i="2"/>
  <c r="P126" i="2"/>
  <c r="O126" i="2"/>
  <c r="N126" i="2"/>
  <c r="C126" i="2"/>
  <c r="B126" i="2"/>
  <c r="AW125" i="2"/>
  <c r="AV125" i="2"/>
  <c r="Z125" i="2"/>
  <c r="Y125" i="2"/>
  <c r="X125" i="2"/>
  <c r="P125" i="2"/>
  <c r="O125" i="2"/>
  <c r="N125" i="2"/>
  <c r="C125" i="2"/>
  <c r="B125" i="2"/>
  <c r="AW124" i="2"/>
  <c r="AV124" i="2"/>
  <c r="Z124" i="2"/>
  <c r="Y124" i="2"/>
  <c r="X124" i="2"/>
  <c r="P124" i="2"/>
  <c r="O124" i="2"/>
  <c r="N124" i="2"/>
  <c r="C124" i="2"/>
  <c r="B124" i="2"/>
  <c r="AW123" i="2"/>
  <c r="AV123" i="2"/>
  <c r="Z123" i="2"/>
  <c r="Y123" i="2"/>
  <c r="X123" i="2"/>
  <c r="P123" i="2"/>
  <c r="O123" i="2"/>
  <c r="N123" i="2"/>
  <c r="C123" i="2"/>
  <c r="B123" i="2"/>
  <c r="AW122" i="2"/>
  <c r="AV122" i="2"/>
  <c r="Z122" i="2"/>
  <c r="Y122" i="2"/>
  <c r="X122" i="2"/>
  <c r="P122" i="2"/>
  <c r="O122" i="2"/>
  <c r="N122" i="2"/>
  <c r="C122" i="2"/>
  <c r="B122" i="2"/>
  <c r="Z121" i="2"/>
  <c r="Y121" i="2"/>
  <c r="X121" i="2"/>
  <c r="P121" i="2"/>
  <c r="O121" i="2"/>
  <c r="N121" i="2"/>
  <c r="C121" i="2"/>
  <c r="B121" i="2"/>
  <c r="Z120" i="2"/>
  <c r="Y120" i="2"/>
  <c r="X120" i="2"/>
  <c r="P120" i="2"/>
  <c r="O120" i="2"/>
  <c r="N120" i="2"/>
  <c r="C120" i="2"/>
  <c r="B120" i="2"/>
  <c r="AW119" i="2"/>
  <c r="AV119" i="2"/>
  <c r="Z119" i="2"/>
  <c r="Y119" i="2"/>
  <c r="X119" i="2"/>
  <c r="P119" i="2"/>
  <c r="O119" i="2"/>
  <c r="N119" i="2"/>
  <c r="C119" i="2"/>
  <c r="B119" i="2"/>
  <c r="Z118" i="2"/>
  <c r="Y118" i="2"/>
  <c r="X118" i="2"/>
  <c r="P118" i="2"/>
  <c r="O118" i="2"/>
  <c r="N118" i="2"/>
  <c r="C118" i="2"/>
  <c r="B118" i="2"/>
  <c r="Z117" i="2"/>
  <c r="Y117" i="2"/>
  <c r="X117" i="2"/>
  <c r="P117" i="2"/>
  <c r="O117" i="2"/>
  <c r="N117" i="2"/>
  <c r="C117" i="2"/>
  <c r="B117" i="2"/>
  <c r="Z116" i="2"/>
  <c r="Y116" i="2"/>
  <c r="X116" i="2"/>
  <c r="P116" i="2"/>
  <c r="O116" i="2"/>
  <c r="N116" i="2"/>
  <c r="C116" i="2"/>
  <c r="B116" i="2"/>
  <c r="Z115" i="2"/>
  <c r="Y115" i="2"/>
  <c r="X115" i="2"/>
  <c r="P115" i="2"/>
  <c r="O115" i="2"/>
  <c r="N115" i="2"/>
  <c r="C115" i="2"/>
  <c r="B115" i="2"/>
  <c r="Z114" i="2"/>
  <c r="Y114" i="2"/>
  <c r="X114" i="2"/>
  <c r="P114" i="2"/>
  <c r="O114" i="2"/>
  <c r="N114" i="2"/>
  <c r="C114" i="2"/>
  <c r="B114" i="2"/>
  <c r="Z113" i="2"/>
  <c r="Y113" i="2"/>
  <c r="X113" i="2"/>
  <c r="P113" i="2"/>
  <c r="O113" i="2"/>
  <c r="N113" i="2"/>
  <c r="C113" i="2"/>
  <c r="B113" i="2"/>
  <c r="AW112" i="2"/>
  <c r="AV112" i="2"/>
  <c r="Z112" i="2"/>
  <c r="Y112" i="2"/>
  <c r="X112" i="2"/>
  <c r="P112" i="2"/>
  <c r="O112" i="2"/>
  <c r="N112" i="2"/>
  <c r="C112" i="2"/>
  <c r="B112" i="2"/>
  <c r="AW111" i="2"/>
  <c r="AV111" i="2"/>
  <c r="Z111" i="2"/>
  <c r="Y111" i="2"/>
  <c r="X111" i="2"/>
  <c r="P111" i="2"/>
  <c r="O111" i="2"/>
  <c r="N111" i="2"/>
  <c r="C111" i="2"/>
  <c r="B111" i="2"/>
  <c r="Z110" i="2"/>
  <c r="Y110" i="2"/>
  <c r="X110" i="2"/>
  <c r="P110" i="2"/>
  <c r="O110" i="2"/>
  <c r="N110" i="2"/>
  <c r="C110" i="2"/>
  <c r="B110" i="2"/>
  <c r="AW109" i="2"/>
  <c r="Z109" i="2"/>
  <c r="Y109" i="2"/>
  <c r="X109" i="2"/>
  <c r="P109" i="2"/>
  <c r="O109" i="2"/>
  <c r="N109" i="2"/>
  <c r="C109" i="2"/>
  <c r="B109" i="2"/>
  <c r="AW108" i="2"/>
  <c r="Z108" i="2"/>
  <c r="Y108" i="2"/>
  <c r="X108" i="2"/>
  <c r="P108" i="2"/>
  <c r="O108" i="2"/>
  <c r="N108" i="2"/>
  <c r="C108" i="2"/>
  <c r="B108" i="2"/>
  <c r="AW107" i="2"/>
  <c r="AV107" i="2"/>
  <c r="Z107" i="2"/>
  <c r="Y107" i="2"/>
  <c r="X107" i="2"/>
  <c r="P107" i="2"/>
  <c r="O107" i="2"/>
  <c r="N107" i="2"/>
  <c r="C107" i="2"/>
  <c r="B107" i="2"/>
  <c r="AW106" i="2"/>
  <c r="Z106" i="2"/>
  <c r="Y106" i="2"/>
  <c r="X106" i="2"/>
  <c r="P106" i="2"/>
  <c r="O106" i="2"/>
  <c r="N106" i="2"/>
  <c r="C106" i="2"/>
  <c r="B106" i="2"/>
  <c r="AW105" i="2"/>
  <c r="Z105" i="2"/>
  <c r="Y105" i="2"/>
  <c r="X105" i="2"/>
  <c r="P105" i="2"/>
  <c r="O105" i="2"/>
  <c r="N105" i="2"/>
  <c r="C105" i="2"/>
  <c r="B105" i="2"/>
  <c r="AW104" i="2"/>
  <c r="AV104" i="2"/>
  <c r="Z104" i="2"/>
  <c r="Y104" i="2"/>
  <c r="X104" i="2"/>
  <c r="P104" i="2"/>
  <c r="O104" i="2"/>
  <c r="N104" i="2"/>
  <c r="C104" i="2"/>
  <c r="B104" i="2"/>
  <c r="AW103" i="2"/>
  <c r="AV103" i="2"/>
  <c r="Z103" i="2"/>
  <c r="Y103" i="2"/>
  <c r="X103" i="2"/>
  <c r="P103" i="2"/>
  <c r="O103" i="2"/>
  <c r="N103" i="2"/>
  <c r="C103" i="2"/>
  <c r="B103" i="2"/>
  <c r="AW102" i="2"/>
  <c r="AV102" i="2"/>
  <c r="Z102" i="2"/>
  <c r="Y102" i="2"/>
  <c r="X102" i="2"/>
  <c r="P102" i="2"/>
  <c r="O102" i="2"/>
  <c r="N102" i="2"/>
  <c r="C102" i="2"/>
  <c r="B102" i="2"/>
  <c r="AV101" i="2"/>
  <c r="AW101" i="2" s="1"/>
  <c r="Z101" i="2"/>
  <c r="Y101" i="2"/>
  <c r="X101" i="2"/>
  <c r="P101" i="2"/>
  <c r="O101" i="2"/>
  <c r="N101" i="2"/>
  <c r="C101" i="2"/>
  <c r="B101" i="2"/>
  <c r="AW100" i="2"/>
  <c r="AV100" i="2"/>
  <c r="Z100" i="2"/>
  <c r="Y100" i="2"/>
  <c r="X100" i="2"/>
  <c r="P100" i="2"/>
  <c r="O100" i="2"/>
  <c r="N100" i="2"/>
  <c r="C100" i="2"/>
  <c r="B100" i="2"/>
  <c r="AW99" i="2"/>
  <c r="AV99" i="2"/>
  <c r="Z99" i="2"/>
  <c r="Y99" i="2"/>
  <c r="X99" i="2"/>
  <c r="P99" i="2"/>
  <c r="O99" i="2"/>
  <c r="N99" i="2"/>
  <c r="C99" i="2"/>
  <c r="B99" i="2"/>
  <c r="AW98" i="2"/>
  <c r="AV98" i="2"/>
  <c r="Z98" i="2"/>
  <c r="Y98" i="2"/>
  <c r="X98" i="2"/>
  <c r="P98" i="2"/>
  <c r="O98" i="2"/>
  <c r="N98" i="2"/>
  <c r="C98" i="2"/>
  <c r="B98" i="2"/>
  <c r="AV97" i="2"/>
  <c r="AW97" i="2" s="1"/>
  <c r="Z97" i="2"/>
  <c r="Y97" i="2"/>
  <c r="X97" i="2"/>
  <c r="P97" i="2"/>
  <c r="O97" i="2"/>
  <c r="N97" i="2"/>
  <c r="C97" i="2"/>
  <c r="B97" i="2"/>
  <c r="AW96" i="2"/>
  <c r="AV96" i="2"/>
  <c r="Z96" i="2"/>
  <c r="Y96" i="2"/>
  <c r="X96" i="2"/>
  <c r="P96" i="2"/>
  <c r="O96" i="2"/>
  <c r="N96" i="2"/>
  <c r="C96" i="2"/>
  <c r="B96" i="2"/>
  <c r="Z95" i="2"/>
  <c r="Y95" i="2"/>
  <c r="X95" i="2"/>
  <c r="P95" i="2"/>
  <c r="O95" i="2"/>
  <c r="N95" i="2"/>
  <c r="C95" i="2"/>
  <c r="B95" i="2"/>
  <c r="Z94" i="2"/>
  <c r="Y94" i="2"/>
  <c r="X94" i="2"/>
  <c r="P94" i="2"/>
  <c r="O94" i="2"/>
  <c r="N94" i="2"/>
  <c r="C94" i="2"/>
  <c r="B94" i="2"/>
  <c r="AV93" i="2"/>
  <c r="AW93" i="2" s="1"/>
  <c r="Z93" i="2"/>
  <c r="Y93" i="2"/>
  <c r="X93" i="2"/>
  <c r="P93" i="2"/>
  <c r="O93" i="2"/>
  <c r="N93" i="2"/>
  <c r="C93" i="2"/>
  <c r="B93" i="2"/>
  <c r="Z92" i="2"/>
  <c r="Y92" i="2"/>
  <c r="X92" i="2"/>
  <c r="P92" i="2"/>
  <c r="O92" i="2"/>
  <c r="N92" i="2"/>
  <c r="C92" i="2"/>
  <c r="B92" i="2"/>
  <c r="Z91" i="2"/>
  <c r="Y91" i="2"/>
  <c r="X91" i="2"/>
  <c r="P91" i="2"/>
  <c r="O91" i="2"/>
  <c r="N91" i="2"/>
  <c r="C91" i="2"/>
  <c r="B91" i="2"/>
  <c r="Z90" i="2"/>
  <c r="Y90" i="2"/>
  <c r="X90" i="2"/>
  <c r="P90" i="2"/>
  <c r="O90" i="2"/>
  <c r="N90" i="2"/>
  <c r="C90" i="2"/>
  <c r="B90" i="2"/>
  <c r="AW89" i="2"/>
  <c r="AV89" i="2"/>
  <c r="Z89" i="2"/>
  <c r="Y89" i="2"/>
  <c r="X89" i="2"/>
  <c r="P89" i="2"/>
  <c r="O89" i="2"/>
  <c r="N89" i="2"/>
  <c r="C89" i="2"/>
  <c r="B89" i="2"/>
  <c r="AW88" i="2"/>
  <c r="AV88" i="2"/>
  <c r="Z88" i="2"/>
  <c r="Y88" i="2"/>
  <c r="X88" i="2"/>
  <c r="P88" i="2"/>
  <c r="O88" i="2"/>
  <c r="N88" i="2"/>
  <c r="C88" i="2"/>
  <c r="B88" i="2"/>
  <c r="AW87" i="2"/>
  <c r="AV87" i="2"/>
  <c r="Z87" i="2"/>
  <c r="Y87" i="2"/>
  <c r="X87" i="2"/>
  <c r="P87" i="2"/>
  <c r="O87" i="2"/>
  <c r="N87" i="2"/>
  <c r="C87" i="2"/>
  <c r="B87" i="2"/>
  <c r="AW86" i="2"/>
  <c r="AV86" i="2"/>
  <c r="Z86" i="2"/>
  <c r="Y86" i="2"/>
  <c r="X86" i="2"/>
  <c r="P86" i="2"/>
  <c r="O86" i="2"/>
  <c r="N86" i="2"/>
  <c r="C86" i="2"/>
  <c r="B86" i="2"/>
  <c r="AW85" i="2"/>
  <c r="AV85" i="2"/>
  <c r="Z85" i="2"/>
  <c r="Y85" i="2"/>
  <c r="X85" i="2"/>
  <c r="P85" i="2"/>
  <c r="O85" i="2"/>
  <c r="N85" i="2"/>
  <c r="C85" i="2"/>
  <c r="B85" i="2"/>
  <c r="Z84" i="2"/>
  <c r="Y84" i="2"/>
  <c r="X84" i="2"/>
  <c r="P84" i="2"/>
  <c r="O84" i="2"/>
  <c r="C84" i="2"/>
  <c r="B84" i="2"/>
  <c r="Z83" i="2"/>
  <c r="Y83" i="2"/>
  <c r="X83" i="2"/>
  <c r="P83" i="2"/>
  <c r="O83" i="2"/>
  <c r="N83" i="2"/>
  <c r="C83" i="2"/>
  <c r="B83" i="2"/>
  <c r="AV82" i="2"/>
  <c r="AW82" i="2" s="1"/>
  <c r="Z82" i="2"/>
  <c r="Y82" i="2"/>
  <c r="X82" i="2"/>
  <c r="P82" i="2"/>
  <c r="O82" i="2"/>
  <c r="N82" i="2"/>
  <c r="C82" i="2"/>
  <c r="B82" i="2"/>
  <c r="Z81" i="2"/>
  <c r="Y81" i="2"/>
  <c r="X81" i="2"/>
  <c r="P81" i="2"/>
  <c r="O81" i="2"/>
  <c r="C81" i="2"/>
  <c r="B81" i="2"/>
  <c r="AW80" i="2"/>
  <c r="AV80" i="2"/>
  <c r="Z80" i="2"/>
  <c r="Y80" i="2"/>
  <c r="X80" i="2"/>
  <c r="P80" i="2"/>
  <c r="O80" i="2"/>
  <c r="N80" i="2"/>
  <c r="C80" i="2"/>
  <c r="B80" i="2"/>
  <c r="AW79" i="2"/>
  <c r="AV79" i="2"/>
  <c r="Z79" i="2"/>
  <c r="Y79" i="2"/>
  <c r="X79" i="2"/>
  <c r="P79" i="2"/>
  <c r="O79" i="2"/>
  <c r="N79" i="2"/>
  <c r="C79" i="2"/>
  <c r="B79" i="2"/>
  <c r="AW78" i="2"/>
  <c r="AV78" i="2"/>
  <c r="Z78" i="2"/>
  <c r="Y78" i="2"/>
  <c r="X78" i="2"/>
  <c r="P78" i="2"/>
  <c r="O78" i="2"/>
  <c r="N78" i="2"/>
  <c r="C78" i="2"/>
  <c r="B78" i="2"/>
  <c r="AW77" i="2"/>
  <c r="AV77" i="2"/>
  <c r="Z77" i="2"/>
  <c r="Y77" i="2"/>
  <c r="X77" i="2"/>
  <c r="P77" i="2"/>
  <c r="O77" i="2"/>
  <c r="N77" i="2"/>
  <c r="C77" i="2"/>
  <c r="B77" i="2"/>
  <c r="AW76" i="2"/>
  <c r="AV76" i="2"/>
  <c r="Z76" i="2"/>
  <c r="Y76" i="2"/>
  <c r="X76" i="2"/>
  <c r="P76" i="2"/>
  <c r="O76" i="2"/>
  <c r="N76" i="2"/>
  <c r="C76" i="2"/>
  <c r="B76" i="2"/>
  <c r="AW75" i="2"/>
  <c r="AV75" i="2"/>
  <c r="Z75" i="2"/>
  <c r="Y75" i="2"/>
  <c r="X75" i="2"/>
  <c r="P75" i="2"/>
  <c r="O75" i="2"/>
  <c r="N75" i="2"/>
  <c r="C75" i="2"/>
  <c r="B75" i="2"/>
  <c r="AV74" i="2"/>
  <c r="AW74" i="2" s="1"/>
  <c r="Z74" i="2"/>
  <c r="Y74" i="2"/>
  <c r="X74" i="2"/>
  <c r="P74" i="2"/>
  <c r="O74" i="2"/>
  <c r="N74" i="2"/>
  <c r="C74" i="2"/>
  <c r="B74" i="2"/>
  <c r="AW73" i="2"/>
  <c r="AV73" i="2"/>
  <c r="Z73" i="2"/>
  <c r="Y73" i="2"/>
  <c r="X73" i="2"/>
  <c r="P73" i="2"/>
  <c r="O73" i="2"/>
  <c r="N73" i="2"/>
  <c r="C73" i="2"/>
  <c r="B73" i="2"/>
  <c r="AW72" i="2"/>
  <c r="AV72" i="2"/>
  <c r="Z72" i="2"/>
  <c r="Y72" i="2"/>
  <c r="X72" i="2"/>
  <c r="P72" i="2"/>
  <c r="O72" i="2"/>
  <c r="N72" i="2"/>
  <c r="C72" i="2"/>
  <c r="B72" i="2"/>
  <c r="AW71" i="2"/>
  <c r="AV71" i="2"/>
  <c r="Z71" i="2"/>
  <c r="Y71" i="2"/>
  <c r="X71" i="2"/>
  <c r="P71" i="2"/>
  <c r="O71" i="2"/>
  <c r="N71" i="2"/>
  <c r="C71" i="2"/>
  <c r="B71" i="2"/>
  <c r="AW70" i="2"/>
  <c r="AV70" i="2"/>
  <c r="Z70" i="2"/>
  <c r="Y70" i="2"/>
  <c r="X70" i="2"/>
  <c r="P70" i="2"/>
  <c r="O70" i="2"/>
  <c r="N70" i="2"/>
  <c r="C70" i="2"/>
  <c r="B70" i="2"/>
  <c r="AW69" i="2"/>
  <c r="AV69" i="2"/>
  <c r="Z69" i="2"/>
  <c r="Y69" i="2"/>
  <c r="X69" i="2"/>
  <c r="P69" i="2"/>
  <c r="O69" i="2"/>
  <c r="N69" i="2"/>
  <c r="C69" i="2"/>
  <c r="B69" i="2"/>
  <c r="AV68" i="2"/>
  <c r="AW68" i="2" s="1"/>
  <c r="Z68" i="2"/>
  <c r="Y68" i="2"/>
  <c r="X68" i="2"/>
  <c r="P68" i="2"/>
  <c r="O68" i="2"/>
  <c r="N68" i="2"/>
  <c r="C68" i="2"/>
  <c r="B68" i="2"/>
  <c r="AV67" i="2"/>
  <c r="AW67" i="2" s="1"/>
  <c r="Z67" i="2"/>
  <c r="Y67" i="2"/>
  <c r="X67" i="2"/>
  <c r="P67" i="2"/>
  <c r="O67" i="2"/>
  <c r="N67" i="2"/>
  <c r="C67" i="2"/>
  <c r="B67" i="2"/>
  <c r="AW66" i="2"/>
  <c r="AV66" i="2"/>
  <c r="Z66" i="2"/>
  <c r="Y66" i="2"/>
  <c r="X66" i="2"/>
  <c r="P66" i="2"/>
  <c r="O66" i="2"/>
  <c r="N66" i="2"/>
  <c r="C66" i="2"/>
  <c r="B66" i="2"/>
  <c r="AV65" i="2"/>
  <c r="AW65" i="2" s="1"/>
  <c r="Z65" i="2"/>
  <c r="Y65" i="2"/>
  <c r="X65" i="2"/>
  <c r="P65" i="2"/>
  <c r="O65" i="2"/>
  <c r="N65" i="2"/>
  <c r="C65" i="2"/>
  <c r="B65" i="2"/>
  <c r="AW64" i="2"/>
  <c r="AV64" i="2"/>
  <c r="Z64" i="2"/>
  <c r="Y64" i="2"/>
  <c r="X64" i="2"/>
  <c r="P64" i="2"/>
  <c r="O64" i="2"/>
  <c r="N64" i="2"/>
  <c r="C64" i="2"/>
  <c r="B64" i="2"/>
  <c r="AW63" i="2"/>
  <c r="AV63" i="2"/>
  <c r="Z63" i="2"/>
  <c r="Y63" i="2"/>
  <c r="X63" i="2"/>
  <c r="P63" i="2"/>
  <c r="O63" i="2"/>
  <c r="N63" i="2"/>
  <c r="C63" i="2"/>
  <c r="B63" i="2"/>
  <c r="AV62" i="2"/>
  <c r="AW62" i="2" s="1"/>
  <c r="Z62" i="2"/>
  <c r="Y62" i="2"/>
  <c r="X62" i="2"/>
  <c r="P62" i="2"/>
  <c r="O62" i="2"/>
  <c r="N62" i="2"/>
  <c r="C62" i="2"/>
  <c r="B62" i="2"/>
  <c r="AV61" i="2"/>
  <c r="AW61" i="2" s="1"/>
  <c r="Z61" i="2"/>
  <c r="Y61" i="2"/>
  <c r="X61" i="2"/>
  <c r="P61" i="2"/>
  <c r="O61" i="2"/>
  <c r="N61" i="2"/>
  <c r="C61" i="2"/>
  <c r="B61" i="2"/>
  <c r="AW60" i="2"/>
  <c r="AV60" i="2"/>
  <c r="Z60" i="2"/>
  <c r="Y60" i="2"/>
  <c r="X60" i="2"/>
  <c r="P60" i="2"/>
  <c r="O60" i="2"/>
  <c r="N60" i="2"/>
  <c r="C60" i="2"/>
  <c r="B60" i="2"/>
  <c r="AW59" i="2"/>
  <c r="AV59" i="2"/>
  <c r="Z59" i="2"/>
  <c r="Y59" i="2"/>
  <c r="X59" i="2"/>
  <c r="P59" i="2"/>
  <c r="O59" i="2"/>
  <c r="N59" i="2"/>
  <c r="B59" i="2"/>
  <c r="AW58" i="2"/>
  <c r="AV58" i="2"/>
  <c r="Z58" i="2"/>
  <c r="Y58" i="2"/>
  <c r="X58" i="2"/>
  <c r="P58" i="2"/>
  <c r="O58" i="2"/>
  <c r="N58" i="2"/>
  <c r="B58" i="2"/>
  <c r="Z57" i="2"/>
  <c r="Y57" i="2"/>
  <c r="X57" i="2"/>
  <c r="P57" i="2"/>
  <c r="O57" i="2"/>
  <c r="N57" i="2"/>
  <c r="C57" i="2"/>
  <c r="B57" i="2"/>
  <c r="Z56" i="2"/>
  <c r="Y56" i="2"/>
  <c r="X56" i="2"/>
  <c r="P56" i="2"/>
  <c r="O56" i="2"/>
  <c r="N56" i="2"/>
  <c r="C56" i="2"/>
  <c r="B56" i="2"/>
  <c r="AW55" i="2"/>
  <c r="AV55" i="2"/>
  <c r="Z55" i="2"/>
  <c r="Y55" i="2"/>
  <c r="X55" i="2"/>
  <c r="P55" i="2"/>
  <c r="O55" i="2"/>
  <c r="N55" i="2"/>
  <c r="B55" i="2"/>
  <c r="AW54" i="2"/>
  <c r="AV54" i="2"/>
  <c r="Z54" i="2"/>
  <c r="Y54" i="2"/>
  <c r="X54" i="2"/>
  <c r="P54" i="2"/>
  <c r="O54" i="2"/>
  <c r="N54" i="2"/>
  <c r="B54" i="2"/>
  <c r="AV53" i="2"/>
  <c r="AW53" i="2" s="1"/>
  <c r="Z53" i="2"/>
  <c r="Y53" i="2"/>
  <c r="X53" i="2"/>
  <c r="P53" i="2"/>
  <c r="O53" i="2"/>
  <c r="N53" i="2"/>
  <c r="C53" i="2"/>
  <c r="B53" i="2"/>
  <c r="AW52" i="2"/>
  <c r="AV52" i="2"/>
  <c r="Z52" i="2"/>
  <c r="Y52" i="2"/>
  <c r="X52" i="2"/>
  <c r="P52" i="2"/>
  <c r="O52" i="2"/>
  <c r="B52" i="2"/>
  <c r="AW51" i="2"/>
  <c r="AV51" i="2"/>
  <c r="Z51" i="2"/>
  <c r="Y51" i="2"/>
  <c r="X51" i="2"/>
  <c r="P51" i="2"/>
  <c r="O51" i="2"/>
  <c r="N51" i="2"/>
  <c r="B51" i="2"/>
  <c r="AV50" i="2"/>
  <c r="AW50" i="2" s="1"/>
  <c r="Z50" i="2"/>
  <c r="Y50" i="2"/>
  <c r="X50" i="2"/>
  <c r="P50" i="2"/>
  <c r="O50" i="2"/>
  <c r="B50" i="2"/>
  <c r="AW49" i="2"/>
  <c r="AV49" i="2"/>
  <c r="Z49" i="2"/>
  <c r="Y49" i="2"/>
  <c r="X49" i="2"/>
  <c r="P49" i="2"/>
  <c r="O49" i="2"/>
  <c r="N49" i="2"/>
  <c r="B49" i="2"/>
  <c r="AW48" i="2"/>
  <c r="AV48" i="2"/>
  <c r="Z48" i="2"/>
  <c r="Y48" i="2"/>
  <c r="X48" i="2"/>
  <c r="P48" i="2"/>
  <c r="O48" i="2"/>
  <c r="B48" i="2"/>
  <c r="AW47" i="2"/>
  <c r="AV47" i="2"/>
  <c r="Z47" i="2"/>
  <c r="Y47" i="2"/>
  <c r="X47" i="2"/>
  <c r="P47" i="2"/>
  <c r="O47" i="2"/>
  <c r="N47" i="2"/>
  <c r="B47" i="2"/>
  <c r="AW46" i="2"/>
  <c r="AV46" i="2"/>
  <c r="Z46" i="2"/>
  <c r="Y46" i="2"/>
  <c r="X46" i="2"/>
  <c r="P46" i="2"/>
  <c r="O46" i="2"/>
  <c r="N46" i="2"/>
  <c r="B46" i="2"/>
  <c r="AW45" i="2"/>
  <c r="AV45" i="2"/>
  <c r="Z45" i="2"/>
  <c r="Y45" i="2"/>
  <c r="X45" i="2"/>
  <c r="P45" i="2"/>
  <c r="O45" i="2"/>
  <c r="N45" i="2"/>
  <c r="C45" i="2"/>
  <c r="B45" i="2"/>
  <c r="AV44" i="2"/>
  <c r="AW44" i="2" s="1"/>
  <c r="Z44" i="2"/>
  <c r="Y44" i="2"/>
  <c r="X44" i="2"/>
  <c r="P44" i="2"/>
  <c r="O44" i="2"/>
  <c r="N44" i="2"/>
  <c r="C44" i="2"/>
  <c r="B44" i="2"/>
  <c r="AW43" i="2"/>
  <c r="AV43" i="2"/>
  <c r="Z43" i="2"/>
  <c r="Y43" i="2"/>
  <c r="X43" i="2"/>
  <c r="P43" i="2"/>
  <c r="O43" i="2"/>
  <c r="N43" i="2"/>
  <c r="C43" i="2"/>
  <c r="B43" i="2"/>
  <c r="AW42" i="2"/>
  <c r="AV42" i="2"/>
  <c r="Z42" i="2"/>
  <c r="Y42" i="2"/>
  <c r="X42" i="2"/>
  <c r="P42" i="2"/>
  <c r="O42" i="2"/>
  <c r="N42" i="2"/>
  <c r="B42" i="2"/>
  <c r="AV41" i="2"/>
  <c r="AW41" i="2" s="1"/>
  <c r="Z41" i="2"/>
  <c r="Y41" i="2"/>
  <c r="X41" i="2"/>
  <c r="P41" i="2"/>
  <c r="O41" i="2"/>
  <c r="B41" i="2"/>
  <c r="AV40" i="2"/>
  <c r="AW40" i="2" s="1"/>
  <c r="Z40" i="2"/>
  <c r="Y40" i="2"/>
  <c r="X40" i="2"/>
  <c r="P40" i="2"/>
  <c r="O40" i="2"/>
  <c r="N40" i="2"/>
  <c r="B40" i="2"/>
  <c r="AV39" i="2"/>
  <c r="AW39" i="2" s="1"/>
  <c r="Z39" i="2"/>
  <c r="Y39" i="2"/>
  <c r="X39" i="2"/>
  <c r="P39" i="2"/>
  <c r="O39" i="2"/>
  <c r="N39" i="2"/>
  <c r="C39" i="2"/>
  <c r="B39" i="2"/>
  <c r="AW38" i="2"/>
  <c r="AV38" i="2"/>
  <c r="Z38" i="2"/>
  <c r="Y38" i="2"/>
  <c r="X38" i="2"/>
  <c r="P38" i="2"/>
  <c r="O38" i="2"/>
  <c r="N38" i="2"/>
  <c r="B38" i="2"/>
  <c r="AV37" i="2"/>
  <c r="AW37" i="2" s="1"/>
  <c r="Z37" i="2"/>
  <c r="Y37" i="2"/>
  <c r="X37" i="2"/>
  <c r="P37" i="2"/>
  <c r="O37" i="2"/>
  <c r="N37" i="2"/>
  <c r="B37" i="2"/>
  <c r="AW36" i="2"/>
  <c r="AV36" i="2"/>
  <c r="Z36" i="2"/>
  <c r="Y36" i="2"/>
  <c r="X36" i="2"/>
  <c r="P36" i="2"/>
  <c r="O36" i="2"/>
  <c r="B36" i="2"/>
  <c r="AW35" i="2"/>
  <c r="AV35" i="2"/>
  <c r="Z35" i="2"/>
  <c r="Y35" i="2"/>
  <c r="X35" i="2"/>
  <c r="P35" i="2"/>
  <c r="O35" i="2"/>
  <c r="N35" i="2"/>
  <c r="B35" i="2"/>
  <c r="AW34" i="2"/>
  <c r="AV34" i="2"/>
  <c r="Z34" i="2"/>
  <c r="Y34" i="2"/>
  <c r="X34" i="2"/>
  <c r="P34" i="2"/>
  <c r="O34" i="2"/>
  <c r="N34" i="2"/>
  <c r="B34" i="2"/>
  <c r="AV33" i="2"/>
  <c r="AW33" i="2" s="1"/>
  <c r="Z33" i="2"/>
  <c r="Y33" i="2"/>
  <c r="X33" i="2"/>
  <c r="P33" i="2"/>
  <c r="O33" i="2"/>
  <c r="B33" i="2"/>
  <c r="AW32" i="2"/>
  <c r="AV32" i="2"/>
  <c r="Z32" i="2"/>
  <c r="Y32" i="2"/>
  <c r="X32" i="2"/>
  <c r="P32" i="2"/>
  <c r="O32" i="2"/>
  <c r="B32" i="2"/>
  <c r="AW31" i="2"/>
  <c r="AV31" i="2"/>
  <c r="Z31" i="2"/>
  <c r="Y31" i="2"/>
  <c r="X31" i="2"/>
  <c r="P31" i="2"/>
  <c r="O31" i="2"/>
  <c r="N31" i="2"/>
  <c r="B31" i="2"/>
  <c r="AW30" i="2"/>
  <c r="AV30" i="2"/>
  <c r="Z30" i="2"/>
  <c r="Y30" i="2"/>
  <c r="X30" i="2"/>
  <c r="P30" i="2"/>
  <c r="O30" i="2"/>
  <c r="N30" i="2"/>
  <c r="C30" i="2"/>
  <c r="B30" i="2"/>
  <c r="AV29" i="2"/>
  <c r="AW29" i="2" s="1"/>
  <c r="Z29" i="2"/>
  <c r="Y29" i="2"/>
  <c r="X29" i="2"/>
  <c r="P29" i="2"/>
  <c r="O29" i="2"/>
  <c r="N29" i="2"/>
  <c r="B29" i="2"/>
  <c r="AW28" i="2"/>
  <c r="AV28" i="2"/>
  <c r="Z28" i="2"/>
  <c r="Y28" i="2"/>
  <c r="X28" i="2"/>
  <c r="P28" i="2"/>
  <c r="O28" i="2"/>
  <c r="N28" i="2"/>
  <c r="B28" i="2"/>
  <c r="AW27" i="2"/>
  <c r="AV27" i="2"/>
  <c r="Z27" i="2"/>
  <c r="Y27" i="2"/>
  <c r="X27" i="2"/>
  <c r="P27" i="2"/>
  <c r="O27" i="2"/>
  <c r="N27" i="2"/>
  <c r="B27" i="2"/>
  <c r="AV26" i="2"/>
  <c r="AW26" i="2" s="1"/>
  <c r="Z26" i="2"/>
  <c r="Y26" i="2"/>
  <c r="X26" i="2"/>
  <c r="P26" i="2"/>
  <c r="O26" i="2"/>
  <c r="B26" i="2"/>
  <c r="AW25" i="2"/>
  <c r="AV25" i="2"/>
  <c r="Z25" i="2"/>
  <c r="Y25" i="2"/>
  <c r="X25" i="2"/>
  <c r="P25" i="2"/>
  <c r="O25" i="2"/>
  <c r="N25" i="2"/>
  <c r="B25" i="2"/>
  <c r="AW24" i="2"/>
  <c r="AV24" i="2"/>
  <c r="Z24" i="2"/>
  <c r="Y24" i="2"/>
  <c r="X24" i="2"/>
  <c r="P24" i="2"/>
  <c r="O24" i="2"/>
  <c r="N24" i="2"/>
  <c r="B24" i="2"/>
  <c r="AW23" i="2"/>
  <c r="AV23" i="2"/>
  <c r="Z23" i="2"/>
  <c r="Y23" i="2"/>
  <c r="X23" i="2"/>
  <c r="P23" i="2"/>
  <c r="O23" i="2"/>
  <c r="N23" i="2"/>
  <c r="B23" i="2"/>
  <c r="AW22" i="2"/>
  <c r="AV22" i="2"/>
  <c r="Z22" i="2"/>
  <c r="Y22" i="2"/>
  <c r="X22" i="2"/>
  <c r="P22" i="2"/>
  <c r="O22" i="2"/>
  <c r="N22" i="2"/>
  <c r="C22" i="2"/>
  <c r="B22" i="2"/>
  <c r="AW21" i="2"/>
  <c r="AV21" i="2"/>
  <c r="Z21" i="2"/>
  <c r="Y21" i="2"/>
  <c r="X21" i="2"/>
  <c r="P21" i="2"/>
  <c r="O21" i="2"/>
  <c r="N21" i="2"/>
  <c r="B21" i="2"/>
  <c r="AW20" i="2"/>
  <c r="AV20" i="2"/>
  <c r="Z20" i="2"/>
  <c r="Y20" i="2"/>
  <c r="X20" i="2"/>
  <c r="P20" i="2"/>
  <c r="O20" i="2"/>
  <c r="N20" i="2"/>
  <c r="B20" i="2"/>
  <c r="AW19" i="2"/>
  <c r="AV19" i="2"/>
  <c r="Z19" i="2"/>
  <c r="Y19" i="2"/>
  <c r="X19" i="2"/>
  <c r="P19" i="2"/>
  <c r="O19" i="2"/>
  <c r="N19" i="2"/>
  <c r="C19" i="2"/>
  <c r="B19" i="2"/>
  <c r="AW18" i="2"/>
  <c r="AV18" i="2"/>
  <c r="Z18" i="2"/>
  <c r="Y18" i="2"/>
  <c r="X18" i="2"/>
  <c r="P18" i="2"/>
  <c r="O18" i="2"/>
  <c r="N18" i="2"/>
  <c r="B18" i="2"/>
  <c r="AW17" i="2"/>
  <c r="AV17" i="2"/>
  <c r="Z17" i="2"/>
  <c r="Y17" i="2"/>
  <c r="X17" i="2"/>
  <c r="P17" i="2"/>
  <c r="O17" i="2"/>
  <c r="N17" i="2"/>
  <c r="B17" i="2"/>
  <c r="AW16" i="2"/>
  <c r="AV16" i="2"/>
  <c r="Z16" i="2"/>
  <c r="Y16" i="2"/>
  <c r="X16" i="2"/>
  <c r="P16" i="2"/>
  <c r="O16" i="2"/>
  <c r="N16" i="2"/>
  <c r="B16" i="2"/>
  <c r="AW15" i="2"/>
  <c r="AV15" i="2"/>
  <c r="Z15" i="2"/>
  <c r="Y15" i="2"/>
  <c r="X15" i="2"/>
  <c r="P15" i="2"/>
  <c r="O15" i="2"/>
  <c r="N15" i="2"/>
  <c r="B15" i="2"/>
  <c r="AW14" i="2"/>
  <c r="AV14" i="2"/>
  <c r="Z14" i="2"/>
  <c r="Y14" i="2"/>
  <c r="X14" i="2"/>
  <c r="P14" i="2"/>
  <c r="O14" i="2"/>
  <c r="B14" i="2"/>
  <c r="AW13" i="2"/>
  <c r="AV13" i="2"/>
  <c r="Z13" i="2"/>
  <c r="Y13" i="2"/>
  <c r="X13" i="2"/>
  <c r="P13" i="2"/>
  <c r="O13" i="2"/>
  <c r="B13" i="2"/>
  <c r="AW12" i="2"/>
  <c r="AV12" i="2"/>
  <c r="Z12" i="2"/>
  <c r="Y12" i="2"/>
  <c r="X12" i="2"/>
  <c r="P12" i="2"/>
  <c r="O12" i="2"/>
  <c r="N12" i="2"/>
  <c r="B12" i="2"/>
  <c r="AV11" i="2"/>
  <c r="AW11" i="2" s="1"/>
  <c r="Z11" i="2"/>
  <c r="Y11" i="2"/>
  <c r="X11" i="2"/>
  <c r="P11" i="2"/>
  <c r="O11" i="2"/>
  <c r="B11" i="2"/>
  <c r="AV10" i="2"/>
  <c r="AW10" i="2" s="1"/>
  <c r="Z10" i="2"/>
  <c r="Y10" i="2"/>
  <c r="X10" i="2"/>
  <c r="P10" i="2"/>
  <c r="O10" i="2"/>
  <c r="B10" i="2"/>
  <c r="AV9" i="2"/>
  <c r="AW9" i="2" s="1"/>
  <c r="Z9" i="2"/>
  <c r="Y9" i="2"/>
  <c r="X9" i="2"/>
  <c r="P9" i="2"/>
  <c r="O9" i="2"/>
  <c r="B9" i="2"/>
  <c r="AW8" i="2"/>
  <c r="AV8" i="2"/>
  <c r="Z8" i="2"/>
  <c r="Y8" i="2"/>
  <c r="X8" i="2"/>
  <c r="P8" i="2"/>
  <c r="O8" i="2"/>
  <c r="N8" i="2"/>
  <c r="B8" i="2"/>
  <c r="AW7" i="2"/>
  <c r="AV7" i="2"/>
  <c r="Z7" i="2"/>
  <c r="Y7" i="2"/>
  <c r="X7" i="2"/>
  <c r="P7" i="2"/>
  <c r="O7" i="2"/>
  <c r="N7" i="2"/>
  <c r="B7" i="2"/>
  <c r="AW6" i="2"/>
  <c r="AV6" i="2"/>
  <c r="Z6" i="2"/>
  <c r="Y6" i="2"/>
  <c r="X6" i="2"/>
  <c r="P6" i="2"/>
  <c r="O6" i="2"/>
  <c r="B6" i="2"/>
  <c r="AW5" i="2"/>
  <c r="AV5" i="2"/>
  <c r="Z5" i="2"/>
  <c r="Y5" i="2"/>
  <c r="X5" i="2"/>
  <c r="P5" i="2"/>
  <c r="O5" i="2"/>
  <c r="N5" i="2"/>
  <c r="B5" i="2"/>
  <c r="AV4" i="2"/>
  <c r="AW4" i="2" s="1"/>
  <c r="Z4" i="2"/>
  <c r="Y4" i="2"/>
  <c r="X4" i="2"/>
  <c r="P4" i="2"/>
  <c r="O4" i="2"/>
  <c r="B4" i="2"/>
  <c r="AW3" i="2"/>
  <c r="AV3" i="2"/>
  <c r="Z3" i="2"/>
  <c r="Y3" i="2"/>
  <c r="X3" i="2"/>
  <c r="P3" i="2"/>
  <c r="O3" i="2"/>
  <c r="N3" i="2"/>
  <c r="B3" i="2"/>
  <c r="J4" i="13" l="1"/>
  <c r="I4" i="13" s="1"/>
  <c r="L15" i="13"/>
  <c r="K16" i="13"/>
  <c r="M29" i="13"/>
  <c r="L29" i="13"/>
  <c r="M34" i="13"/>
  <c r="G34" i="13"/>
  <c r="L55" i="13"/>
  <c r="M55" i="13"/>
  <c r="M132" i="13"/>
  <c r="L132" i="13"/>
  <c r="K132" i="13"/>
  <c r="J132" i="13"/>
  <c r="I132" i="13" s="1"/>
  <c r="G132" i="13"/>
  <c r="M152" i="13"/>
  <c r="L152" i="13"/>
  <c r="G152" i="13"/>
  <c r="J219" i="13"/>
  <c r="I219" i="13" s="1"/>
  <c r="M219" i="13"/>
  <c r="L219" i="13"/>
  <c r="K219" i="13"/>
  <c r="G219" i="13"/>
  <c r="M57" i="13"/>
  <c r="K57" i="13"/>
  <c r="M164" i="13"/>
  <c r="L164" i="13"/>
  <c r="G164" i="13"/>
  <c r="G169" i="13"/>
  <c r="K169" i="13"/>
  <c r="J169" i="13"/>
  <c r="I169" i="13" s="1"/>
  <c r="M224" i="13"/>
  <c r="K224" i="13"/>
  <c r="J224" i="13"/>
  <c r="I224" i="13" s="1"/>
  <c r="G224" i="13"/>
  <c r="AD35" i="4"/>
  <c r="AD11" i="5"/>
  <c r="AX27" i="7"/>
  <c r="AY27" i="7" s="1"/>
  <c r="AZ27" i="7" s="1"/>
  <c r="BA27" i="7" s="1"/>
  <c r="BB27" i="7" s="1"/>
  <c r="L4" i="13"/>
  <c r="K5" i="13"/>
  <c r="K24" i="13"/>
  <c r="G24" i="13"/>
  <c r="L28" i="13"/>
  <c r="K28" i="13"/>
  <c r="G29" i="13"/>
  <c r="J34" i="13"/>
  <c r="I34" i="13" s="1"/>
  <c r="K36" i="13"/>
  <c r="M36" i="13"/>
  <c r="L36" i="13"/>
  <c r="G36" i="13"/>
  <c r="M105" i="13"/>
  <c r="K105" i="13"/>
  <c r="G105" i="13"/>
  <c r="K311" i="13"/>
  <c r="M311" i="13"/>
  <c r="L311" i="13"/>
  <c r="AF2" i="3"/>
  <c r="AD9" i="4"/>
  <c r="V12" i="4"/>
  <c r="X33" i="4"/>
  <c r="AE11" i="5"/>
  <c r="AG4" i="15"/>
  <c r="AG8" i="15"/>
  <c r="AG9" i="15"/>
  <c r="M4" i="13"/>
  <c r="L5" i="13"/>
  <c r="G10" i="13"/>
  <c r="J29" i="13"/>
  <c r="I29" i="13" s="1"/>
  <c r="AF11" i="5"/>
  <c r="M5" i="13"/>
  <c r="J10" i="13"/>
  <c r="I10" i="13" s="1"/>
  <c r="K29" i="13"/>
  <c r="M385" i="13"/>
  <c r="K385" i="13"/>
  <c r="Y36" i="4"/>
  <c r="M45" i="13"/>
  <c r="K45" i="13"/>
  <c r="L47" i="13"/>
  <c r="M47" i="13"/>
  <c r="M100" i="13"/>
  <c r="L100" i="13"/>
  <c r="J191" i="13"/>
  <c r="I191" i="13" s="1"/>
  <c r="M191" i="13"/>
  <c r="L191" i="13"/>
  <c r="K191" i="13"/>
  <c r="J516" i="13"/>
  <c r="I516" i="13" s="1"/>
  <c r="M516" i="13"/>
  <c r="K516" i="13"/>
  <c r="AA36" i="4"/>
  <c r="AY28" i="7"/>
  <c r="AZ28" i="7" s="1"/>
  <c r="BA28" i="7" s="1"/>
  <c r="BB28" i="7" s="1"/>
  <c r="M33" i="13"/>
  <c r="K33" i="13"/>
  <c r="L92" i="13"/>
  <c r="K92" i="13"/>
  <c r="G133" i="13"/>
  <c r="L133" i="13"/>
  <c r="K133" i="13"/>
  <c r="J133" i="13"/>
  <c r="I133" i="13" s="1"/>
  <c r="W10" i="4"/>
  <c r="AB36" i="4"/>
  <c r="M168" i="13"/>
  <c r="L168" i="13"/>
  <c r="K168" i="13"/>
  <c r="J168" i="13"/>
  <c r="I168" i="13" s="1"/>
  <c r="G168" i="13"/>
  <c r="L199" i="13"/>
  <c r="M199" i="13"/>
  <c r="J199" i="13"/>
  <c r="I199" i="13" s="1"/>
  <c r="G199" i="13"/>
  <c r="M282" i="13"/>
  <c r="J282" i="13"/>
  <c r="I282" i="13" s="1"/>
  <c r="G282" i="13"/>
  <c r="M315" i="13"/>
  <c r="L315" i="13"/>
  <c r="K315" i="13"/>
  <c r="J315" i="13"/>
  <c r="I315" i="13" s="1"/>
  <c r="G315" i="13"/>
  <c r="AB10" i="4"/>
  <c r="AA12" i="4"/>
  <c r="AC36" i="4"/>
  <c r="X12" i="5"/>
  <c r="L12" i="13"/>
  <c r="G17" i="13"/>
  <c r="G317" i="13"/>
  <c r="K317" i="13"/>
  <c r="J317" i="13"/>
  <c r="I317" i="13" s="1"/>
  <c r="M505" i="13"/>
  <c r="K505" i="13"/>
  <c r="G16" i="13"/>
  <c r="L20" i="13"/>
  <c r="M23" i="13"/>
  <c r="M35" i="13"/>
  <c r="L127" i="13"/>
  <c r="M127" i="13"/>
  <c r="J127" i="13"/>
  <c r="I127" i="13" s="1"/>
  <c r="G127" i="13"/>
  <c r="L380" i="13"/>
  <c r="G380" i="13"/>
  <c r="X11" i="5"/>
  <c r="AX26" i="7"/>
  <c r="AY26" i="7" s="1"/>
  <c r="AZ26" i="7" s="1"/>
  <c r="BA26" i="7" s="1"/>
  <c r="BB26" i="7" s="1"/>
  <c r="F1" i="13"/>
  <c r="J15" i="13"/>
  <c r="I15" i="13" s="1"/>
  <c r="K60" i="13"/>
  <c r="M60" i="13"/>
  <c r="L60" i="13"/>
  <c r="G60" i="13"/>
  <c r="J119" i="13"/>
  <c r="I119" i="13" s="1"/>
  <c r="M119" i="13"/>
  <c r="L119" i="13"/>
  <c r="K119" i="13"/>
  <c r="M296" i="13"/>
  <c r="G296" i="13"/>
  <c r="M415" i="13"/>
  <c r="G415" i="13"/>
  <c r="Z11" i="5"/>
  <c r="AB12" i="5"/>
  <c r="Z34" i="5"/>
  <c r="Z36" i="5"/>
  <c r="K15" i="13"/>
  <c r="J16" i="13"/>
  <c r="I16" i="13" s="1"/>
  <c r="L17" i="13"/>
  <c r="M44" i="13"/>
  <c r="L44" i="13"/>
  <c r="M46" i="13"/>
  <c r="G46" i="13"/>
  <c r="J46" i="13"/>
  <c r="I46" i="13" s="1"/>
  <c r="K48" i="13"/>
  <c r="M48" i="13"/>
  <c r="L48" i="13"/>
  <c r="G48" i="13"/>
  <c r="M99" i="13"/>
  <c r="L99" i="13"/>
  <c r="K99" i="13"/>
  <c r="J99" i="13"/>
  <c r="I99" i="13" s="1"/>
  <c r="G99" i="13"/>
  <c r="J87" i="13"/>
  <c r="I87" i="13" s="1"/>
  <c r="M129" i="13"/>
  <c r="J146" i="13"/>
  <c r="I146" i="13" s="1"/>
  <c r="M147" i="13"/>
  <c r="L159" i="13"/>
  <c r="J170" i="13"/>
  <c r="I170" i="13" s="1"/>
  <c r="M177" i="13"/>
  <c r="J204" i="13"/>
  <c r="I204" i="13" s="1"/>
  <c r="K205" i="13"/>
  <c r="L212" i="13"/>
  <c r="J217" i="13"/>
  <c r="I217" i="13" s="1"/>
  <c r="K231" i="13"/>
  <c r="K232" i="13"/>
  <c r="J253" i="13"/>
  <c r="I253" i="13" s="1"/>
  <c r="K259" i="13"/>
  <c r="K265" i="13"/>
  <c r="J271" i="13"/>
  <c r="I271" i="13" s="1"/>
  <c r="L278" i="13"/>
  <c r="G284" i="13"/>
  <c r="L290" i="13"/>
  <c r="L291" i="13"/>
  <c r="L292" i="13"/>
  <c r="G303" i="13"/>
  <c r="J305" i="13"/>
  <c r="I305" i="13" s="1"/>
  <c r="K312" i="13"/>
  <c r="K319" i="13"/>
  <c r="J328" i="13"/>
  <c r="I328" i="13" s="1"/>
  <c r="K331" i="13"/>
  <c r="K394" i="13"/>
  <c r="L405" i="13"/>
  <c r="K489" i="13"/>
  <c r="G500" i="13"/>
  <c r="K517" i="13"/>
  <c r="G529" i="13"/>
  <c r="L87" i="13"/>
  <c r="L204" i="13"/>
  <c r="K283" i="13"/>
  <c r="L73" i="13"/>
  <c r="L86" i="13"/>
  <c r="M87" i="13"/>
  <c r="J108" i="13"/>
  <c r="I108" i="13" s="1"/>
  <c r="K109" i="13"/>
  <c r="L116" i="13"/>
  <c r="J120" i="13"/>
  <c r="I120" i="13" s="1"/>
  <c r="K121" i="13"/>
  <c r="L128" i="13"/>
  <c r="J144" i="13"/>
  <c r="I144" i="13" s="1"/>
  <c r="K145" i="13"/>
  <c r="L176" i="13"/>
  <c r="J180" i="13"/>
  <c r="I180" i="13" s="1"/>
  <c r="K181" i="13"/>
  <c r="L192" i="13"/>
  <c r="L203" i="13"/>
  <c r="M204" i="13"/>
  <c r="J211" i="13"/>
  <c r="I211" i="13" s="1"/>
  <c r="J270" i="13"/>
  <c r="I270" i="13" s="1"/>
  <c r="L283" i="13"/>
  <c r="M553" i="13"/>
  <c r="K69" i="13"/>
  <c r="G72" i="13"/>
  <c r="M73" i="13"/>
  <c r="M86" i="13"/>
  <c r="K108" i="13"/>
  <c r="L109" i="13"/>
  <c r="K120" i="13"/>
  <c r="L121" i="13"/>
  <c r="J139" i="13"/>
  <c r="I139" i="13" s="1"/>
  <c r="K143" i="13"/>
  <c r="K144" i="13"/>
  <c r="L145" i="13"/>
  <c r="G151" i="13"/>
  <c r="G156" i="13"/>
  <c r="J157" i="13"/>
  <c r="I157" i="13" s="1"/>
  <c r="G175" i="13"/>
  <c r="K180" i="13"/>
  <c r="G187" i="13"/>
  <c r="J202" i="13"/>
  <c r="I202" i="13" s="1"/>
  <c r="M203" i="13"/>
  <c r="M211" i="13"/>
  <c r="K220" i="13"/>
  <c r="J223" i="13"/>
  <c r="I223" i="13" s="1"/>
  <c r="G235" i="13"/>
  <c r="L252" i="13"/>
  <c r="G255" i="13"/>
  <c r="G256" i="13"/>
  <c r="L264" i="13"/>
  <c r="G276" i="13"/>
  <c r="M283" i="13"/>
  <c r="G288" i="13"/>
  <c r="J295" i="13"/>
  <c r="I295" i="13" s="1"/>
  <c r="J301" i="13"/>
  <c r="I301" i="13" s="1"/>
  <c r="L302" i="13"/>
  <c r="L303" i="13"/>
  <c r="L304" i="13"/>
  <c r="G316" i="13"/>
  <c r="G330" i="13"/>
  <c r="K350" i="13"/>
  <c r="G400" i="13"/>
  <c r="G507" i="13"/>
  <c r="L72" i="13"/>
  <c r="M109" i="13"/>
  <c r="M139" i="13"/>
  <c r="L143" i="13"/>
  <c r="J156" i="13"/>
  <c r="I156" i="13" s="1"/>
  <c r="K157" i="13"/>
  <c r="G163" i="13"/>
  <c r="J175" i="13"/>
  <c r="I175" i="13" s="1"/>
  <c r="K179" i="13"/>
  <c r="J187" i="13"/>
  <c r="I187" i="13" s="1"/>
  <c r="J190" i="13"/>
  <c r="I190" i="13" s="1"/>
  <c r="L202" i="13"/>
  <c r="G207" i="13"/>
  <c r="K223" i="13"/>
  <c r="J229" i="13"/>
  <c r="I229" i="13" s="1"/>
  <c r="J235" i="13"/>
  <c r="I235" i="13" s="1"/>
  <c r="J241" i="13"/>
  <c r="I241" i="13" s="1"/>
  <c r="J256" i="13"/>
  <c r="I256" i="13" s="1"/>
  <c r="J257" i="13"/>
  <c r="I257" i="13" s="1"/>
  <c r="L263" i="13"/>
  <c r="G268" i="13"/>
  <c r="K276" i="13"/>
  <c r="K288" i="13"/>
  <c r="G294" i="13"/>
  <c r="K295" i="13"/>
  <c r="K301" i="13"/>
  <c r="M302" i="13"/>
  <c r="J316" i="13"/>
  <c r="I316" i="13" s="1"/>
  <c r="J330" i="13"/>
  <c r="I330" i="13" s="1"/>
  <c r="M428" i="13"/>
  <c r="G463" i="13"/>
  <c r="G471" i="13"/>
  <c r="M499" i="13"/>
  <c r="K502" i="13"/>
  <c r="G513" i="13"/>
  <c r="J539" i="13"/>
  <c r="I539" i="13" s="1"/>
  <c r="G552" i="13"/>
  <c r="M552" i="13"/>
  <c r="L56" i="13"/>
  <c r="G65" i="13"/>
  <c r="G71" i="13"/>
  <c r="G136" i="13"/>
  <c r="M151" i="13"/>
  <c r="L156" i="13"/>
  <c r="M190" i="13"/>
  <c r="J207" i="13"/>
  <c r="I207" i="13" s="1"/>
  <c r="M229" i="13"/>
  <c r="L235" i="13"/>
  <c r="M241" i="13"/>
  <c r="L255" i="13"/>
  <c r="L256" i="13"/>
  <c r="K268" i="13"/>
  <c r="K269" i="13"/>
  <c r="J294" i="13"/>
  <c r="I294" i="13" s="1"/>
  <c r="L314" i="13"/>
  <c r="L316" i="13"/>
  <c r="K441" i="13"/>
  <c r="L468" i="13"/>
  <c r="J477" i="13"/>
  <c r="I477" i="13" s="1"/>
  <c r="J65" i="13"/>
  <c r="I65" i="13" s="1"/>
  <c r="L68" i="13"/>
  <c r="M71" i="13"/>
  <c r="J77" i="13"/>
  <c r="I77" i="13" s="1"/>
  <c r="G83" i="13"/>
  <c r="J91" i="13"/>
  <c r="I91" i="13" s="1"/>
  <c r="K123" i="13"/>
  <c r="L130" i="13"/>
  <c r="G148" i="13"/>
  <c r="J154" i="13"/>
  <c r="I154" i="13" s="1"/>
  <c r="G159" i="13"/>
  <c r="J166" i="13"/>
  <c r="I166" i="13" s="1"/>
  <c r="G172" i="13"/>
  <c r="L178" i="13"/>
  <c r="G184" i="13"/>
  <c r="K201" i="13"/>
  <c r="G206" i="13"/>
  <c r="K207" i="13"/>
  <c r="G228" i="13"/>
  <c r="M255" i="13"/>
  <c r="G279" i="13"/>
  <c r="G291" i="13"/>
  <c r="G306" i="13"/>
  <c r="J307" i="13"/>
  <c r="I307" i="13" s="1"/>
  <c r="M314" i="13"/>
  <c r="L338" i="13"/>
  <c r="M347" i="13"/>
  <c r="K384" i="13"/>
  <c r="G423" i="13"/>
  <c r="K456" i="13"/>
  <c r="G485" i="13"/>
  <c r="G520" i="13"/>
  <c r="M547" i="13"/>
  <c r="AG2" i="15"/>
  <c r="M83" i="13"/>
  <c r="L154" i="13"/>
  <c r="L166" i="13"/>
  <c r="J50" i="13"/>
  <c r="I50" i="13" s="1"/>
  <c r="J58" i="13"/>
  <c r="I58" i="13" s="1"/>
  <c r="J62" i="13"/>
  <c r="I62" i="13" s="1"/>
  <c r="L65" i="13"/>
  <c r="L77" i="13"/>
  <c r="J96" i="13"/>
  <c r="I96" i="13" s="1"/>
  <c r="K97" i="13"/>
  <c r="L101" i="13"/>
  <c r="K111" i="13"/>
  <c r="K147" i="13"/>
  <c r="M154" i="13"/>
  <c r="J159" i="13"/>
  <c r="I159" i="13" s="1"/>
  <c r="M166" i="13"/>
  <c r="M189" i="13"/>
  <c r="J206" i="13"/>
  <c r="I206" i="13" s="1"/>
  <c r="L279" i="13"/>
  <c r="J291" i="13"/>
  <c r="I291" i="13" s="1"/>
  <c r="J292" i="13"/>
  <c r="I292" i="13" s="1"/>
  <c r="J306" i="13"/>
  <c r="I306" i="13" s="1"/>
  <c r="L307" i="13"/>
  <c r="G320" i="13"/>
  <c r="M360" i="13"/>
  <c r="G381" i="13"/>
  <c r="J440" i="13"/>
  <c r="I440" i="13" s="1"/>
  <c r="M465" i="13"/>
  <c r="J470" i="13"/>
  <c r="I470" i="13" s="1"/>
  <c r="L496" i="13"/>
  <c r="L532" i="13"/>
  <c r="J551" i="13"/>
  <c r="I551" i="13" s="1"/>
  <c r="G558" i="13"/>
  <c r="J70" i="13"/>
  <c r="I70" i="13" s="1"/>
  <c r="J74" i="13"/>
  <c r="I74" i="13" s="1"/>
  <c r="J88" i="13"/>
  <c r="I88" i="13" s="1"/>
  <c r="L97" i="13"/>
  <c r="K129" i="13"/>
  <c r="M141" i="13"/>
  <c r="K177" i="13"/>
  <c r="J194" i="13"/>
  <c r="I194" i="13" s="1"/>
  <c r="J205" i="13"/>
  <c r="I205" i="13" s="1"/>
  <c r="M233" i="13"/>
  <c r="K243" i="13"/>
  <c r="J265" i="13"/>
  <c r="I265" i="13" s="1"/>
  <c r="M266" i="13"/>
  <c r="J278" i="13"/>
  <c r="I278" i="13" s="1"/>
  <c r="M279" i="13"/>
  <c r="J290" i="13"/>
  <c r="I290" i="13" s="1"/>
  <c r="M299" i="13"/>
  <c r="G318" i="13"/>
  <c r="L364" i="13"/>
  <c r="L381" i="13"/>
  <c r="G392" i="13"/>
  <c r="K405" i="13"/>
  <c r="G447" i="13"/>
  <c r="L467" i="13"/>
  <c r="G489" i="13"/>
  <c r="J517" i="13"/>
  <c r="I517" i="13" s="1"/>
  <c r="J339" i="13"/>
  <c r="I339" i="13" s="1"/>
  <c r="G364" i="13"/>
  <c r="J371" i="13"/>
  <c r="I371" i="13" s="1"/>
  <c r="L404" i="13"/>
  <c r="J410" i="13"/>
  <c r="I410" i="13" s="1"/>
  <c r="K427" i="13"/>
  <c r="G430" i="13"/>
  <c r="G433" i="13"/>
  <c r="J467" i="13"/>
  <c r="I467" i="13" s="1"/>
  <c r="G477" i="13"/>
  <c r="K501" i="13"/>
  <c r="M517" i="13"/>
  <c r="L527" i="13"/>
  <c r="J538" i="13"/>
  <c r="I538" i="13" s="1"/>
  <c r="K552" i="13"/>
  <c r="M555" i="13"/>
  <c r="L323" i="13"/>
  <c r="L331" i="13"/>
  <c r="J338" i="13"/>
  <c r="I338" i="13" s="1"/>
  <c r="K358" i="13"/>
  <c r="M371" i="13"/>
  <c r="L376" i="13"/>
  <c r="J381" i="13"/>
  <c r="I381" i="13" s="1"/>
  <c r="L384" i="13"/>
  <c r="L430" i="13"/>
  <c r="K551" i="13"/>
  <c r="AH6" i="15"/>
  <c r="K338" i="13"/>
  <c r="J348" i="13"/>
  <c r="I348" i="13" s="1"/>
  <c r="J361" i="13"/>
  <c r="I361" i="13" s="1"/>
  <c r="K370" i="13"/>
  <c r="K396" i="13"/>
  <c r="G399" i="13"/>
  <c r="G406" i="13"/>
  <c r="G424" i="13"/>
  <c r="M430" i="13"/>
  <c r="L443" i="13"/>
  <c r="G448" i="13"/>
  <c r="K490" i="13"/>
  <c r="G524" i="13"/>
  <c r="L544" i="13"/>
  <c r="L551" i="13"/>
  <c r="AA2" i="15"/>
  <c r="I12" i="8"/>
  <c r="L348" i="13"/>
  <c r="K361" i="13"/>
  <c r="M370" i="13"/>
  <c r="L396" i="13"/>
  <c r="J406" i="13"/>
  <c r="I406" i="13" s="1"/>
  <c r="J409" i="13"/>
  <c r="I409" i="13" s="1"/>
  <c r="G421" i="13"/>
  <c r="G439" i="13"/>
  <c r="M443" i="13"/>
  <c r="G466" i="13"/>
  <c r="G472" i="13"/>
  <c r="G492" i="13"/>
  <c r="J526" i="13"/>
  <c r="I526" i="13" s="1"/>
  <c r="K537" i="13"/>
  <c r="G540" i="13"/>
  <c r="G541" i="13"/>
  <c r="M348" i="13"/>
  <c r="G373" i="13"/>
  <c r="M380" i="13"/>
  <c r="J386" i="13"/>
  <c r="I386" i="13" s="1"/>
  <c r="M396" i="13"/>
  <c r="K406" i="13"/>
  <c r="J421" i="13"/>
  <c r="I421" i="13" s="1"/>
  <c r="M429" i="13"/>
  <c r="J439" i="13"/>
  <c r="I439" i="13" s="1"/>
  <c r="G452" i="13"/>
  <c r="J458" i="13"/>
  <c r="I458" i="13" s="1"/>
  <c r="M466" i="13"/>
  <c r="J469" i="13"/>
  <c r="I469" i="13" s="1"/>
  <c r="J487" i="13"/>
  <c r="I487" i="13" s="1"/>
  <c r="K492" i="13"/>
  <c r="L503" i="13"/>
  <c r="L515" i="13"/>
  <c r="L537" i="13"/>
  <c r="J540" i="13"/>
  <c r="I540" i="13" s="1"/>
  <c r="J541" i="13"/>
  <c r="I541" i="13" s="1"/>
  <c r="K360" i="13"/>
  <c r="G375" i="13"/>
  <c r="K386" i="13"/>
  <c r="L406" i="13"/>
  <c r="J442" i="13"/>
  <c r="I442" i="13" s="1"/>
  <c r="J452" i="13"/>
  <c r="I452" i="13" s="1"/>
  <c r="L455" i="13"/>
  <c r="K469" i="13"/>
  <c r="L492" i="13"/>
  <c r="J532" i="13"/>
  <c r="I532" i="13" s="1"/>
  <c r="K540" i="13"/>
  <c r="K541" i="13"/>
  <c r="K337" i="13"/>
  <c r="K442" i="13"/>
  <c r="K452" i="13"/>
  <c r="L540" i="13"/>
  <c r="L541" i="13"/>
  <c r="G556" i="13"/>
  <c r="J350" i="13"/>
  <c r="I350" i="13" s="1"/>
  <c r="K408" i="13"/>
  <c r="L452" i="13"/>
  <c r="L465" i="13"/>
  <c r="K329" i="13"/>
  <c r="G332" i="13"/>
  <c r="G344" i="13"/>
  <c r="G385" i="13"/>
  <c r="L408" i="13"/>
  <c r="G420" i="13"/>
  <c r="J428" i="13"/>
  <c r="I428" i="13" s="1"/>
  <c r="I3" i="10"/>
  <c r="G352" i="13"/>
  <c r="M359" i="13"/>
  <c r="G371" i="13"/>
  <c r="J427" i="13"/>
  <c r="I427" i="13" s="1"/>
  <c r="L431" i="13"/>
  <c r="M441" i="13"/>
  <c r="G444" i="13"/>
  <c r="J454" i="13"/>
  <c r="I454" i="13" s="1"/>
  <c r="M464" i="13"/>
  <c r="J501" i="13"/>
  <c r="I501" i="13" s="1"/>
  <c r="L517" i="13"/>
  <c r="J522" i="13"/>
  <c r="I522" i="13" s="1"/>
  <c r="J527" i="13"/>
  <c r="I527" i="13" s="1"/>
  <c r="M528" i="13"/>
  <c r="J552" i="13"/>
  <c r="I552" i="13" s="1"/>
  <c r="G555" i="13"/>
  <c r="AY3" i="3"/>
  <c r="J331" i="13"/>
  <c r="I331" i="13" s="1"/>
  <c r="J332" i="13"/>
  <c r="I332" i="13" s="1"/>
  <c r="M337" i="13"/>
  <c r="J347" i="13"/>
  <c r="I347" i="13" s="1"/>
  <c r="K348" i="13"/>
  <c r="K349" i="13"/>
  <c r="L359" i="13"/>
  <c r="G405" i="13"/>
  <c r="M407" i="13"/>
  <c r="L428" i="13"/>
  <c r="L441" i="13"/>
  <c r="L442" i="13"/>
  <c r="J455" i="13"/>
  <c r="I455" i="13" s="1"/>
  <c r="G459" i="13"/>
  <c r="G469" i="13"/>
  <c r="J490" i="13"/>
  <c r="I490" i="13" s="1"/>
  <c r="M492" i="13"/>
  <c r="G501" i="13"/>
  <c r="J502" i="13"/>
  <c r="I502" i="13" s="1"/>
  <c r="M503" i="13"/>
  <c r="L504" i="13"/>
  <c r="L505" i="13"/>
  <c r="J510" i="13"/>
  <c r="I510" i="13" s="1"/>
  <c r="M515" i="13"/>
  <c r="L516" i="13"/>
  <c r="G532" i="13"/>
  <c r="M535" i="13"/>
  <c r="G544" i="13"/>
  <c r="G553" i="13"/>
  <c r="AI20" i="5"/>
  <c r="O12" i="8"/>
  <c r="H10" i="15"/>
  <c r="R52" i="3"/>
  <c r="F3" i="4"/>
  <c r="F15" i="4" s="1"/>
  <c r="M331" i="13"/>
  <c r="K346" i="13"/>
  <c r="M358" i="13"/>
  <c r="G363" i="13"/>
  <c r="G374" i="13"/>
  <c r="K380" i="13"/>
  <c r="J385" i="13"/>
  <c r="I385" i="13" s="1"/>
  <c r="G393" i="13"/>
  <c r="G397" i="13"/>
  <c r="J398" i="13"/>
  <c r="I398" i="13" s="1"/>
  <c r="J404" i="13"/>
  <c r="I404" i="13" s="1"/>
  <c r="M405" i="13"/>
  <c r="J420" i="13"/>
  <c r="I420" i="13" s="1"/>
  <c r="K421" i="13"/>
  <c r="M424" i="13"/>
  <c r="J433" i="13"/>
  <c r="I433" i="13" s="1"/>
  <c r="K439" i="13"/>
  <c r="M440" i="13"/>
  <c r="G451" i="13"/>
  <c r="G453" i="13"/>
  <c r="K454" i="13"/>
  <c r="K468" i="13"/>
  <c r="K477" i="13"/>
  <c r="G488" i="13"/>
  <c r="L489" i="13"/>
  <c r="L500" i="13"/>
  <c r="K513" i="13"/>
  <c r="M519" i="13"/>
  <c r="G525" i="13"/>
  <c r="M526" i="13"/>
  <c r="G531" i="13"/>
  <c r="M538" i="13"/>
  <c r="G543" i="13"/>
  <c r="J546" i="13"/>
  <c r="I546" i="13" s="1"/>
  <c r="J550" i="13"/>
  <c r="I550" i="13" s="1"/>
  <c r="M551" i="13"/>
  <c r="L556" i="13"/>
  <c r="U2" i="15"/>
  <c r="E12" i="8"/>
  <c r="G327" i="13"/>
  <c r="G345" i="13"/>
  <c r="G356" i="13"/>
  <c r="G357" i="13"/>
  <c r="G362" i="13"/>
  <c r="G368" i="13"/>
  <c r="G369" i="13"/>
  <c r="L393" i="13"/>
  <c r="J397" i="13"/>
  <c r="I397" i="13" s="1"/>
  <c r="J403" i="13"/>
  <c r="I403" i="13" s="1"/>
  <c r="G418" i="13"/>
  <c r="J419" i="13"/>
  <c r="I419" i="13" s="1"/>
  <c r="K420" i="13"/>
  <c r="G432" i="13"/>
  <c r="G436" i="13"/>
  <c r="M439" i="13"/>
  <c r="J446" i="13"/>
  <c r="I446" i="13" s="1"/>
  <c r="J451" i="13"/>
  <c r="I451" i="13" s="1"/>
  <c r="K453" i="13"/>
  <c r="L454" i="13"/>
  <c r="L477" i="13"/>
  <c r="G480" i="13"/>
  <c r="G481" i="13"/>
  <c r="G484" i="13"/>
  <c r="L488" i="13"/>
  <c r="M489" i="13"/>
  <c r="G512" i="13"/>
  <c r="L513" i="13"/>
  <c r="K525" i="13"/>
  <c r="M531" i="13"/>
  <c r="J534" i="13"/>
  <c r="I534" i="13" s="1"/>
  <c r="M543" i="13"/>
  <c r="G549" i="13"/>
  <c r="M550" i="13"/>
  <c r="G328" i="13"/>
  <c r="J329" i="13"/>
  <c r="I329" i="13" s="1"/>
  <c r="J345" i="13"/>
  <c r="I345" i="13" s="1"/>
  <c r="J357" i="13"/>
  <c r="I357" i="13" s="1"/>
  <c r="J369" i="13"/>
  <c r="I369" i="13" s="1"/>
  <c r="J374" i="13"/>
  <c r="I374" i="13" s="1"/>
  <c r="K397" i="13"/>
  <c r="K403" i="13"/>
  <c r="M404" i="13"/>
  <c r="J418" i="13"/>
  <c r="I418" i="13" s="1"/>
  <c r="L419" i="13"/>
  <c r="L420" i="13"/>
  <c r="K432" i="13"/>
  <c r="M433" i="13"/>
  <c r="M436" i="13"/>
  <c r="K451" i="13"/>
  <c r="L453" i="13"/>
  <c r="J480" i="13"/>
  <c r="I480" i="13" s="1"/>
  <c r="J481" i="13"/>
  <c r="I481" i="13" s="1"/>
  <c r="L484" i="13"/>
  <c r="M488" i="13"/>
  <c r="L512" i="13"/>
  <c r="L525" i="13"/>
  <c r="K549" i="13"/>
  <c r="AI6" i="15"/>
  <c r="AI6" i="5"/>
  <c r="J327" i="13"/>
  <c r="I327" i="13" s="1"/>
  <c r="L345" i="13"/>
  <c r="J356" i="13"/>
  <c r="I356" i="13" s="1"/>
  <c r="L357" i="13"/>
  <c r="J362" i="13"/>
  <c r="I362" i="13" s="1"/>
  <c r="J368" i="13"/>
  <c r="I368" i="13" s="1"/>
  <c r="L369" i="13"/>
  <c r="K374" i="13"/>
  <c r="G383" i="13"/>
  <c r="L397" i="13"/>
  <c r="M403" i="13"/>
  <c r="K418" i="13"/>
  <c r="M419" i="13"/>
  <c r="L432" i="13"/>
  <c r="M451" i="13"/>
  <c r="M453" i="13"/>
  <c r="K480" i="13"/>
  <c r="K481" i="13"/>
  <c r="M484" i="13"/>
  <c r="M512" i="13"/>
  <c r="M525" i="13"/>
  <c r="L549" i="13"/>
  <c r="O2" i="7"/>
  <c r="J326" i="13"/>
  <c r="I326" i="13" s="1"/>
  <c r="K327" i="13"/>
  <c r="G338" i="13"/>
  <c r="K344" i="13"/>
  <c r="M345" i="13"/>
  <c r="G350" i="13"/>
  <c r="K356" i="13"/>
  <c r="M357" i="13"/>
  <c r="G361" i="13"/>
  <c r="K362" i="13"/>
  <c r="K368" i="13"/>
  <c r="J373" i="13"/>
  <c r="I373" i="13" s="1"/>
  <c r="J383" i="13"/>
  <c r="I383" i="13" s="1"/>
  <c r="G387" i="13"/>
  <c r="M392" i="13"/>
  <c r="M400" i="13"/>
  <c r="G408" i="13"/>
  <c r="G409" i="13"/>
  <c r="J415" i="13"/>
  <c r="I415" i="13" s="1"/>
  <c r="K417" i="13"/>
  <c r="L418" i="13"/>
  <c r="J445" i="13"/>
  <c r="I445" i="13" s="1"/>
  <c r="M448" i="13"/>
  <c r="G457" i="13"/>
  <c r="G460" i="13"/>
  <c r="K463" i="13"/>
  <c r="J464" i="13"/>
  <c r="I464" i="13" s="1"/>
  <c r="J466" i="13"/>
  <c r="I466" i="13" s="1"/>
  <c r="M467" i="13"/>
  <c r="G479" i="13"/>
  <c r="L480" i="13"/>
  <c r="L481" i="13"/>
  <c r="L524" i="13"/>
  <c r="G548" i="13"/>
  <c r="M549" i="13"/>
  <c r="W3" i="15"/>
  <c r="AG9" i="4"/>
  <c r="AH9" i="4" s="1"/>
  <c r="AI8" i="15"/>
  <c r="J325" i="13"/>
  <c r="I325" i="13" s="1"/>
  <c r="L326" i="13"/>
  <c r="L327" i="13"/>
  <c r="M344" i="13"/>
  <c r="L355" i="13"/>
  <c r="M356" i="13"/>
  <c r="L367" i="13"/>
  <c r="M368" i="13"/>
  <c r="K372" i="13"/>
  <c r="K373" i="13"/>
  <c r="L383" i="13"/>
  <c r="J395" i="13"/>
  <c r="I395" i="13" s="1"/>
  <c r="G412" i="13"/>
  <c r="K415" i="13"/>
  <c r="J416" i="13"/>
  <c r="I416" i="13" s="1"/>
  <c r="L417" i="13"/>
  <c r="G429" i="13"/>
  <c r="J444" i="13"/>
  <c r="I444" i="13" s="1"/>
  <c r="K445" i="13"/>
  <c r="J457" i="13"/>
  <c r="I457" i="13" s="1"/>
  <c r="M460" i="13"/>
  <c r="L463" i="13"/>
  <c r="K464" i="13"/>
  <c r="J465" i="13"/>
  <c r="I465" i="13" s="1"/>
  <c r="K466" i="13"/>
  <c r="M479" i="13"/>
  <c r="G483" i="13"/>
  <c r="G493" i="13"/>
  <c r="G504" i="13"/>
  <c r="M511" i="13"/>
  <c r="G516" i="13"/>
  <c r="M524" i="13"/>
  <c r="G536" i="13"/>
  <c r="L548" i="13"/>
  <c r="G560" i="13"/>
  <c r="AK2" i="15"/>
  <c r="W6" i="15"/>
  <c r="E3" i="10"/>
  <c r="K325" i="13"/>
  <c r="M326" i="13"/>
  <c r="L372" i="13"/>
  <c r="M383" i="13"/>
  <c r="L395" i="13"/>
  <c r="J408" i="13"/>
  <c r="I408" i="13" s="1"/>
  <c r="K409" i="13"/>
  <c r="M412" i="13"/>
  <c r="L415" i="13"/>
  <c r="K416" i="13"/>
  <c r="M417" i="13"/>
  <c r="K429" i="13"/>
  <c r="M431" i="13"/>
  <c r="G435" i="13"/>
  <c r="J443" i="13"/>
  <c r="I443" i="13" s="1"/>
  <c r="K444" i="13"/>
  <c r="G456" i="13"/>
  <c r="K457" i="13"/>
  <c r="J491" i="13"/>
  <c r="I491" i="13" s="1"/>
  <c r="J493" i="13"/>
  <c r="I493" i="13" s="1"/>
  <c r="M496" i="13"/>
  <c r="G505" i="13"/>
  <c r="G508" i="13"/>
  <c r="L536" i="13"/>
  <c r="M548" i="13"/>
  <c r="AF51" i="6"/>
  <c r="M325" i="13"/>
  <c r="J337" i="13"/>
  <c r="I337" i="13" s="1"/>
  <c r="M372" i="13"/>
  <c r="K382" i="13"/>
  <c r="M395" i="13"/>
  <c r="J407" i="13"/>
  <c r="I407" i="13" s="1"/>
  <c r="L429" i="13"/>
  <c r="L444" i="13"/>
  <c r="L491" i="13"/>
  <c r="K493" i="13"/>
  <c r="J503" i="13"/>
  <c r="I503" i="13" s="1"/>
  <c r="J505" i="13"/>
  <c r="I505" i="13" s="1"/>
  <c r="L508" i="13"/>
  <c r="J515" i="13"/>
  <c r="I515" i="13" s="1"/>
  <c r="M536" i="13"/>
  <c r="Z3" i="15"/>
  <c r="M491" i="13"/>
  <c r="AI2" i="15"/>
  <c r="AG6" i="15"/>
  <c r="AD7" i="12"/>
  <c r="D2" i="3"/>
  <c r="P2" i="3"/>
  <c r="AQ8" i="12"/>
  <c r="AD37" i="3"/>
  <c r="AT48" i="3"/>
  <c r="AH51" i="3"/>
  <c r="E2" i="3"/>
  <c r="Q2" i="3"/>
  <c r="J4" i="3"/>
  <c r="AL8" i="12"/>
  <c r="AE7" i="12"/>
  <c r="O8" i="12"/>
  <c r="AR8" i="12"/>
  <c r="X8" i="12"/>
  <c r="AP8" i="12"/>
  <c r="L13" i="7"/>
  <c r="AP37" i="3"/>
  <c r="F49" i="3"/>
  <c r="AT51" i="3"/>
  <c r="Q18" i="6"/>
  <c r="O17" i="6"/>
  <c r="P18" i="6"/>
  <c r="N17" i="6"/>
  <c r="T14" i="6"/>
  <c r="R13" i="6"/>
  <c r="M18" i="6"/>
  <c r="S15" i="6"/>
  <c r="S17" i="6"/>
  <c r="P16" i="6"/>
  <c r="R14" i="6"/>
  <c r="O13" i="6"/>
  <c r="M12" i="6"/>
  <c r="S9" i="6"/>
  <c r="O16" i="6"/>
  <c r="Q14" i="6"/>
  <c r="N13" i="6"/>
  <c r="T10" i="6"/>
  <c r="R9" i="6"/>
  <c r="T18" i="6"/>
  <c r="N16" i="6"/>
  <c r="P14" i="6"/>
  <c r="M13" i="6"/>
  <c r="S10" i="6"/>
  <c r="Q9" i="6"/>
  <c r="S18" i="6"/>
  <c r="M16" i="6"/>
  <c r="T15" i="6"/>
  <c r="O14" i="6"/>
  <c r="T11" i="6"/>
  <c r="R10" i="6"/>
  <c r="P9" i="6"/>
  <c r="R18" i="6"/>
  <c r="R15" i="6"/>
  <c r="N14" i="6"/>
  <c r="S11" i="6"/>
  <c r="Q10" i="6"/>
  <c r="O9" i="6"/>
  <c r="O18" i="6"/>
  <c r="T17" i="6"/>
  <c r="Q15" i="6"/>
  <c r="M14" i="6"/>
  <c r="T12" i="6"/>
  <c r="R11" i="6"/>
  <c r="P10" i="6"/>
  <c r="N9" i="6"/>
  <c r="N18" i="6"/>
  <c r="R17" i="6"/>
  <c r="P15" i="6"/>
  <c r="S12" i="6"/>
  <c r="Q11" i="6"/>
  <c r="O10" i="6"/>
  <c r="M9" i="6"/>
  <c r="Q17" i="6"/>
  <c r="O15" i="6"/>
  <c r="R12" i="6"/>
  <c r="P11" i="6"/>
  <c r="N10" i="6"/>
  <c r="P17" i="6"/>
  <c r="T16" i="6"/>
  <c r="N15" i="6"/>
  <c r="T13" i="6"/>
  <c r="Q12" i="6"/>
  <c r="O11" i="6"/>
  <c r="M10" i="6"/>
  <c r="M17" i="6"/>
  <c r="S16" i="6"/>
  <c r="M15" i="6"/>
  <c r="S13" i="6"/>
  <c r="P12" i="6"/>
  <c r="N11" i="6"/>
  <c r="R16" i="6"/>
  <c r="Q13" i="6"/>
  <c r="O12" i="6"/>
  <c r="M11" i="6"/>
  <c r="Q16" i="6"/>
  <c r="S14" i="6"/>
  <c r="P13" i="6"/>
  <c r="N12" i="6"/>
  <c r="T9" i="6"/>
  <c r="L24" i="5"/>
  <c r="Q23" i="5"/>
  <c r="J22" i="5"/>
  <c r="O21" i="5"/>
  <c r="T20" i="5"/>
  <c r="M19" i="5"/>
  <c r="R18" i="5"/>
  <c r="K17" i="5"/>
  <c r="P16" i="5"/>
  <c r="I15" i="5"/>
  <c r="S24" i="4"/>
  <c r="J23" i="4"/>
  <c r="J17" i="6" s="1"/>
  <c r="M22" i="4"/>
  <c r="V16" i="6" s="1"/>
  <c r="K24" i="5"/>
  <c r="P23" i="5"/>
  <c r="I22" i="5"/>
  <c r="N21" i="5"/>
  <c r="S20" i="5"/>
  <c r="L19" i="5"/>
  <c r="Q18" i="5"/>
  <c r="J17" i="5"/>
  <c r="O16" i="5"/>
  <c r="T15" i="5"/>
  <c r="R24" i="4"/>
  <c r="I23" i="4"/>
  <c r="I17" i="6" s="1"/>
  <c r="L22" i="4"/>
  <c r="L16" i="6" s="1"/>
  <c r="J24" i="5"/>
  <c r="O23" i="5"/>
  <c r="T22" i="5"/>
  <c r="M21" i="5"/>
  <c r="R20" i="5"/>
  <c r="K19" i="5"/>
  <c r="P18" i="5"/>
  <c r="I17" i="5"/>
  <c r="N16" i="5"/>
  <c r="S15" i="5"/>
  <c r="I24" i="5"/>
  <c r="N23" i="5"/>
  <c r="S22" i="5"/>
  <c r="L21" i="5"/>
  <c r="Q20" i="5"/>
  <c r="J19" i="5"/>
  <c r="O18" i="5"/>
  <c r="AH17" i="5"/>
  <c r="T17" i="5"/>
  <c r="M16" i="5"/>
  <c r="R15" i="5"/>
  <c r="T24" i="5"/>
  <c r="M23" i="5"/>
  <c r="R22" i="5"/>
  <c r="K21" i="5"/>
  <c r="P20" i="5"/>
  <c r="I19" i="5"/>
  <c r="N18" i="5"/>
  <c r="S17" i="5"/>
  <c r="L16" i="5"/>
  <c r="Q15" i="5"/>
  <c r="S24" i="5"/>
  <c r="L23" i="5"/>
  <c r="Q22" i="5"/>
  <c r="J21" i="5"/>
  <c r="O20" i="5"/>
  <c r="T19" i="5"/>
  <c r="M18" i="5"/>
  <c r="R17" i="5"/>
  <c r="K16" i="5"/>
  <c r="P15" i="5"/>
  <c r="N24" i="4"/>
  <c r="W18" i="6" s="1"/>
  <c r="Q23" i="4"/>
  <c r="T22" i="4"/>
  <c r="R24" i="5"/>
  <c r="K23" i="5"/>
  <c r="P22" i="5"/>
  <c r="I21" i="5"/>
  <c r="N20" i="5"/>
  <c r="S19" i="5"/>
  <c r="L18" i="5"/>
  <c r="Q17" i="5"/>
  <c r="J16" i="5"/>
  <c r="O15" i="5"/>
  <c r="M24" i="4"/>
  <c r="V18" i="6" s="1"/>
  <c r="P23" i="4"/>
  <c r="S22" i="4"/>
  <c r="Q24" i="5"/>
  <c r="J23" i="5"/>
  <c r="O22" i="5"/>
  <c r="T21" i="5"/>
  <c r="M20" i="5"/>
  <c r="R19" i="5"/>
  <c r="K18" i="5"/>
  <c r="P17" i="5"/>
  <c r="I16" i="5"/>
  <c r="N15" i="5"/>
  <c r="L24" i="4"/>
  <c r="L18" i="6" s="1"/>
  <c r="O23" i="4"/>
  <c r="R22" i="4"/>
  <c r="P24" i="5"/>
  <c r="I23" i="5"/>
  <c r="N22" i="5"/>
  <c r="S21" i="5"/>
  <c r="L20" i="5"/>
  <c r="Q19" i="5"/>
  <c r="J18" i="5"/>
  <c r="O17" i="5"/>
  <c r="T16" i="5"/>
  <c r="M15" i="5"/>
  <c r="K24" i="4"/>
  <c r="K18" i="6" s="1"/>
  <c r="N23" i="4"/>
  <c r="W17" i="6" s="1"/>
  <c r="Q22" i="4"/>
  <c r="O24" i="5"/>
  <c r="T23" i="5"/>
  <c r="M22" i="5"/>
  <c r="R21" i="5"/>
  <c r="K20" i="5"/>
  <c r="P19" i="5"/>
  <c r="I18" i="5"/>
  <c r="N17" i="5"/>
  <c r="S16" i="5"/>
  <c r="L15" i="5"/>
  <c r="J24" i="4"/>
  <c r="J18" i="6" s="1"/>
  <c r="M23" i="4"/>
  <c r="V17" i="6" s="1"/>
  <c r="P22" i="4"/>
  <c r="N24" i="5"/>
  <c r="S23" i="5"/>
  <c r="L22" i="5"/>
  <c r="Q21" i="5"/>
  <c r="J20" i="5"/>
  <c r="O19" i="5"/>
  <c r="T18" i="5"/>
  <c r="M17" i="5"/>
  <c r="R16" i="5"/>
  <c r="K15" i="5"/>
  <c r="I24" i="4"/>
  <c r="I18" i="6" s="1"/>
  <c r="L23" i="4"/>
  <c r="L17" i="6" s="1"/>
  <c r="O22" i="4"/>
  <c r="L17" i="5"/>
  <c r="T23" i="4"/>
  <c r="K22" i="4"/>
  <c r="K16" i="6" s="1"/>
  <c r="K21" i="4"/>
  <c r="K15" i="6" s="1"/>
  <c r="N20" i="4"/>
  <c r="W14" i="6" s="1"/>
  <c r="Q19" i="4"/>
  <c r="T18" i="4"/>
  <c r="K17" i="4"/>
  <c r="K11" i="6" s="1"/>
  <c r="N16" i="4"/>
  <c r="W10" i="6" s="1"/>
  <c r="Q15" i="4"/>
  <c r="I20" i="5"/>
  <c r="S23" i="4"/>
  <c r="J22" i="4"/>
  <c r="J16" i="6" s="1"/>
  <c r="J21" i="4"/>
  <c r="J15" i="6" s="1"/>
  <c r="M20" i="4"/>
  <c r="V14" i="6" s="1"/>
  <c r="P19" i="4"/>
  <c r="S18" i="4"/>
  <c r="J17" i="4"/>
  <c r="J11" i="6" s="1"/>
  <c r="M16" i="4"/>
  <c r="V10" i="6" s="1"/>
  <c r="P15" i="4"/>
  <c r="M24" i="5"/>
  <c r="R23" i="5"/>
  <c r="T24" i="4"/>
  <c r="R23" i="4"/>
  <c r="I22" i="4"/>
  <c r="I16" i="6" s="1"/>
  <c r="I21" i="4"/>
  <c r="I15" i="6" s="1"/>
  <c r="L20" i="4"/>
  <c r="L14" i="6" s="1"/>
  <c r="O19" i="4"/>
  <c r="R18" i="4"/>
  <c r="I17" i="4"/>
  <c r="I11" i="6" s="1"/>
  <c r="L16" i="4"/>
  <c r="L10" i="6" s="1"/>
  <c r="O15" i="4"/>
  <c r="Q24" i="4"/>
  <c r="K23" i="4"/>
  <c r="K17" i="6" s="1"/>
  <c r="T21" i="4"/>
  <c r="K20" i="4"/>
  <c r="K14" i="6" s="1"/>
  <c r="N19" i="4"/>
  <c r="W13" i="6" s="1"/>
  <c r="Q18" i="4"/>
  <c r="T17" i="4"/>
  <c r="K16" i="4"/>
  <c r="K10" i="6" s="1"/>
  <c r="N15" i="4"/>
  <c r="P21" i="5"/>
  <c r="P24" i="4"/>
  <c r="S21" i="4"/>
  <c r="J20" i="4"/>
  <c r="J14" i="6" s="1"/>
  <c r="M19" i="4"/>
  <c r="V13" i="6" s="1"/>
  <c r="P18" i="4"/>
  <c r="S17" i="4"/>
  <c r="J16" i="4"/>
  <c r="J10" i="6" s="1"/>
  <c r="M15" i="4"/>
  <c r="O24" i="4"/>
  <c r="R21" i="4"/>
  <c r="I20" i="4"/>
  <c r="I14" i="6" s="1"/>
  <c r="L19" i="4"/>
  <c r="L13" i="6" s="1"/>
  <c r="O18" i="4"/>
  <c r="R17" i="4"/>
  <c r="I16" i="4"/>
  <c r="I10" i="6" s="1"/>
  <c r="L15" i="4"/>
  <c r="S18" i="5"/>
  <c r="Q21" i="4"/>
  <c r="T20" i="4"/>
  <c r="K19" i="4"/>
  <c r="K13" i="6" s="1"/>
  <c r="N18" i="4"/>
  <c r="W12" i="6" s="1"/>
  <c r="Q17" i="4"/>
  <c r="T16" i="4"/>
  <c r="K15" i="4"/>
  <c r="K22" i="5"/>
  <c r="P21" i="4"/>
  <c r="S20" i="4"/>
  <c r="J19" i="4"/>
  <c r="J13" i="6" s="1"/>
  <c r="M18" i="4"/>
  <c r="V12" i="6" s="1"/>
  <c r="P17" i="4"/>
  <c r="S16" i="4"/>
  <c r="J15" i="4"/>
  <c r="F18" i="5"/>
  <c r="W18" i="5" s="1"/>
  <c r="J15" i="5"/>
  <c r="O21" i="4"/>
  <c r="R20" i="4"/>
  <c r="I19" i="4"/>
  <c r="I13" i="6" s="1"/>
  <c r="L18" i="4"/>
  <c r="L12" i="6" s="1"/>
  <c r="O17" i="4"/>
  <c r="AF16" i="4"/>
  <c r="R16" i="4"/>
  <c r="I15" i="4"/>
  <c r="N19" i="5"/>
  <c r="N21" i="4"/>
  <c r="W15" i="6" s="1"/>
  <c r="Q20" i="4"/>
  <c r="T19" i="4"/>
  <c r="K18" i="4"/>
  <c r="K12" i="6" s="1"/>
  <c r="N17" i="4"/>
  <c r="W11" i="6" s="1"/>
  <c r="Q16" i="4"/>
  <c r="T15" i="4"/>
  <c r="Q16" i="5"/>
  <c r="M21" i="4"/>
  <c r="V15" i="6" s="1"/>
  <c r="P20" i="4"/>
  <c r="S19" i="4"/>
  <c r="J18" i="4"/>
  <c r="J12" i="6" s="1"/>
  <c r="M17" i="4"/>
  <c r="V11" i="6" s="1"/>
  <c r="P16" i="4"/>
  <c r="S15" i="4"/>
  <c r="N22" i="4"/>
  <c r="W16" i="6" s="1"/>
  <c r="L21" i="4"/>
  <c r="L15" i="6" s="1"/>
  <c r="O20" i="4"/>
  <c r="R19" i="4"/>
  <c r="I18" i="4"/>
  <c r="I12" i="6" s="1"/>
  <c r="L17" i="4"/>
  <c r="L11" i="6" s="1"/>
  <c r="O16" i="4"/>
  <c r="R15" i="4"/>
  <c r="F2" i="3"/>
  <c r="R2" i="3"/>
  <c r="V4" i="3"/>
  <c r="Z8" i="12"/>
  <c r="AV7" i="12"/>
  <c r="BA8" i="12"/>
  <c r="BB37" i="3"/>
  <c r="R49" i="3"/>
  <c r="F52" i="3"/>
  <c r="M78" i="7"/>
  <c r="M77" i="7"/>
  <c r="M76" i="7"/>
  <c r="M75" i="7"/>
  <c r="M74" i="7"/>
  <c r="M73" i="7"/>
  <c r="M72" i="7"/>
  <c r="M71" i="7"/>
  <c r="M70" i="7"/>
  <c r="M69" i="7"/>
  <c r="L78" i="7"/>
  <c r="L77" i="7"/>
  <c r="L76" i="7"/>
  <c r="L75" i="7"/>
  <c r="L74" i="7"/>
  <c r="L73" i="7"/>
  <c r="L72" i="7"/>
  <c r="L71" i="7"/>
  <c r="L70" i="7"/>
  <c r="L69" i="7"/>
  <c r="K78" i="7"/>
  <c r="K77" i="7"/>
  <c r="K76" i="7"/>
  <c r="K75" i="7"/>
  <c r="K74" i="7"/>
  <c r="K73" i="7"/>
  <c r="K72" i="7"/>
  <c r="K71" i="7"/>
  <c r="K70" i="7"/>
  <c r="K69" i="7"/>
  <c r="J78" i="7"/>
  <c r="J77" i="7"/>
  <c r="J76" i="7"/>
  <c r="J75" i="7"/>
  <c r="J74" i="7"/>
  <c r="J73" i="7"/>
  <c r="J72" i="7"/>
  <c r="J71" i="7"/>
  <c r="J70" i="7"/>
  <c r="J69" i="7"/>
  <c r="I78" i="7"/>
  <c r="I77" i="7"/>
  <c r="I76" i="7"/>
  <c r="I75" i="7"/>
  <c r="I74" i="7"/>
  <c r="I73" i="7"/>
  <c r="I72" i="7"/>
  <c r="I71" i="7"/>
  <c r="I70" i="7"/>
  <c r="I69" i="7"/>
  <c r="H78" i="7"/>
  <c r="H77" i="7"/>
  <c r="H76" i="7"/>
  <c r="H75" i="7"/>
  <c r="H74" i="7"/>
  <c r="H73" i="7"/>
  <c r="H72" i="7"/>
  <c r="H71" i="7"/>
  <c r="H70" i="7"/>
  <c r="H69" i="7"/>
  <c r="G78" i="7"/>
  <c r="G77" i="7"/>
  <c r="G76" i="7"/>
  <c r="G75" i="7"/>
  <c r="G74" i="7"/>
  <c r="G73" i="7"/>
  <c r="G72" i="7"/>
  <c r="G71" i="7"/>
  <c r="G70" i="7"/>
  <c r="G69" i="7"/>
  <c r="F78" i="7"/>
  <c r="F77" i="7"/>
  <c r="F76" i="7"/>
  <c r="F75" i="7"/>
  <c r="F74" i="7"/>
  <c r="F73" i="7"/>
  <c r="F72" i="7"/>
  <c r="F71" i="7"/>
  <c r="F70" i="7"/>
  <c r="F69" i="7"/>
  <c r="E78" i="7"/>
  <c r="E77" i="7"/>
  <c r="E76" i="7"/>
  <c r="E75" i="7"/>
  <c r="E74" i="7"/>
  <c r="E73" i="7"/>
  <c r="E72" i="7"/>
  <c r="E71" i="7"/>
  <c r="E70" i="7"/>
  <c r="E69" i="7"/>
  <c r="D78" i="7"/>
  <c r="D77" i="7"/>
  <c r="D76" i="7"/>
  <c r="D75" i="7"/>
  <c r="D74" i="7"/>
  <c r="D73" i="7"/>
  <c r="D72" i="7"/>
  <c r="D71" i="7"/>
  <c r="D70" i="7"/>
  <c r="D69" i="7"/>
  <c r="C78" i="7"/>
  <c r="C88" i="7" s="1"/>
  <c r="C77" i="7"/>
  <c r="C87" i="7" s="1"/>
  <c r="C76" i="7"/>
  <c r="C86" i="7" s="1"/>
  <c r="C75" i="7"/>
  <c r="C85" i="7" s="1"/>
  <c r="C74" i="7"/>
  <c r="C84" i="7" s="1"/>
  <c r="C73" i="7"/>
  <c r="C83" i="7" s="1"/>
  <c r="D83" i="7" s="1"/>
  <c r="C72" i="7"/>
  <c r="C82" i="7" s="1"/>
  <c r="D82" i="7" s="1"/>
  <c r="C71" i="7"/>
  <c r="C81" i="7" s="1"/>
  <c r="C70" i="7"/>
  <c r="C80" i="7" s="1"/>
  <c r="C69" i="7"/>
  <c r="C79" i="7" s="1"/>
  <c r="N78" i="7"/>
  <c r="N77" i="7"/>
  <c r="N76" i="7"/>
  <c r="N75" i="7"/>
  <c r="N74" i="7"/>
  <c r="N73" i="7"/>
  <c r="N72" i="7"/>
  <c r="N71" i="7"/>
  <c r="N70" i="7"/>
  <c r="N69" i="7"/>
  <c r="C3" i="7"/>
  <c r="N3" i="7"/>
  <c r="N2" i="10" s="1"/>
  <c r="M3" i="7"/>
  <c r="M2" i="10" s="1"/>
  <c r="L3" i="7"/>
  <c r="L2" i="10" s="1"/>
  <c r="K3" i="7"/>
  <c r="K2" i="10" s="1"/>
  <c r="J3" i="7"/>
  <c r="J2" i="10" s="1"/>
  <c r="I3" i="7"/>
  <c r="I2" i="10" s="1"/>
  <c r="H3" i="7"/>
  <c r="H2" i="10" s="1"/>
  <c r="G3" i="7"/>
  <c r="G2" i="10" s="1"/>
  <c r="F3" i="7"/>
  <c r="F2" i="10" s="1"/>
  <c r="E3" i="7"/>
  <c r="E2" i="10" s="1"/>
  <c r="D3" i="7"/>
  <c r="D2" i="10" s="1"/>
  <c r="G2" i="3"/>
  <c r="T2" i="3"/>
  <c r="AH4" i="3"/>
  <c r="E7" i="12"/>
  <c r="N38" i="3"/>
  <c r="AD49" i="3"/>
  <c r="AX36" i="7"/>
  <c r="AU35" i="7"/>
  <c r="BA33" i="7"/>
  <c r="AW36" i="7"/>
  <c r="AT35" i="7"/>
  <c r="AT39" i="7" s="1"/>
  <c r="AU39" i="7" s="1"/>
  <c r="AZ33" i="7"/>
  <c r="AV36" i="7"/>
  <c r="BB34" i="7"/>
  <c r="AY33" i="7"/>
  <c r="AU36" i="7"/>
  <c r="BA34" i="7"/>
  <c r="AX33" i="7"/>
  <c r="AT36" i="7"/>
  <c r="AT40" i="7" s="1"/>
  <c r="AU40" i="7" s="1"/>
  <c r="AZ34" i="7"/>
  <c r="AW33" i="7"/>
  <c r="BB35" i="7"/>
  <c r="AY34" i="7"/>
  <c r="AV33" i="7"/>
  <c r="BA35" i="7"/>
  <c r="AX34" i="7"/>
  <c r="AU33" i="7"/>
  <c r="AZ35" i="7"/>
  <c r="AW34" i="7"/>
  <c r="AT33" i="7"/>
  <c r="AT37" i="7" s="1"/>
  <c r="AU37" i="7" s="1"/>
  <c r="BB36" i="7"/>
  <c r="AY35" i="7"/>
  <c r="AV34" i="7"/>
  <c r="BA36" i="7"/>
  <c r="AX35" i="7"/>
  <c r="AU34" i="7"/>
  <c r="AZ36" i="7"/>
  <c r="AW35" i="7"/>
  <c r="AT34" i="7"/>
  <c r="AT38" i="7" s="1"/>
  <c r="AY36" i="7"/>
  <c r="AV35" i="7"/>
  <c r="BB33" i="7"/>
  <c r="AU56" i="3"/>
  <c r="AI56" i="3"/>
  <c r="AW56" i="3"/>
  <c r="AJ56" i="3"/>
  <c r="W56" i="3"/>
  <c r="K56" i="3"/>
  <c r="AY55" i="3"/>
  <c r="AM55" i="3"/>
  <c r="AA55" i="3"/>
  <c r="O55" i="3"/>
  <c r="C55" i="3"/>
  <c r="C65" i="3" s="1"/>
  <c r="AQ54" i="3"/>
  <c r="AE54" i="3"/>
  <c r="S54" i="3"/>
  <c r="G54" i="3"/>
  <c r="AU53" i="3"/>
  <c r="AI53" i="3"/>
  <c r="W53" i="3"/>
  <c r="K53" i="3"/>
  <c r="AY52" i="3"/>
  <c r="AM52" i="3"/>
  <c r="AA52" i="3"/>
  <c r="O52" i="3"/>
  <c r="C52" i="3"/>
  <c r="C62" i="3" s="1"/>
  <c r="AQ51" i="3"/>
  <c r="AE51" i="3"/>
  <c r="S51" i="3"/>
  <c r="G51" i="3"/>
  <c r="AU50" i="3"/>
  <c r="AI50" i="3"/>
  <c r="W50" i="3"/>
  <c r="K50" i="3"/>
  <c r="AY49" i="3"/>
  <c r="AM49" i="3"/>
  <c r="AA49" i="3"/>
  <c r="O49" i="3"/>
  <c r="C49" i="3"/>
  <c r="C59" i="3" s="1"/>
  <c r="AQ48" i="3"/>
  <c r="AE48" i="3"/>
  <c r="S48" i="3"/>
  <c r="G48" i="3"/>
  <c r="AU47" i="3"/>
  <c r="AI47" i="3"/>
  <c r="W47" i="3"/>
  <c r="K47" i="3"/>
  <c r="AQ39" i="3"/>
  <c r="AE39" i="3"/>
  <c r="S39" i="3"/>
  <c r="G39" i="3"/>
  <c r="AU38" i="3"/>
  <c r="AI38" i="3"/>
  <c r="W38" i="3"/>
  <c r="K38" i="3"/>
  <c r="AY37" i="3"/>
  <c r="AM37" i="3"/>
  <c r="AA37" i="3"/>
  <c r="O37" i="3"/>
  <c r="C37" i="3"/>
  <c r="C41" i="3" s="1"/>
  <c r="AQ36" i="3"/>
  <c r="AE36" i="3"/>
  <c r="S36" i="3"/>
  <c r="G36" i="3"/>
  <c r="AQ4" i="3"/>
  <c r="AE4" i="3"/>
  <c r="S4" i="3"/>
  <c r="G4" i="3"/>
  <c r="AV56" i="3"/>
  <c r="AH56" i="3"/>
  <c r="V56" i="3"/>
  <c r="J56" i="3"/>
  <c r="AX55" i="3"/>
  <c r="AL55" i="3"/>
  <c r="Z55" i="3"/>
  <c r="N55" i="3"/>
  <c r="BB54" i="3"/>
  <c r="AP54" i="3"/>
  <c r="AD54" i="3"/>
  <c r="R54" i="3"/>
  <c r="F54" i="3"/>
  <c r="AT53" i="3"/>
  <c r="AH53" i="3"/>
  <c r="V53" i="3"/>
  <c r="J53" i="3"/>
  <c r="AX52" i="3"/>
  <c r="AL52" i="3"/>
  <c r="Z52" i="3"/>
  <c r="N52" i="3"/>
  <c r="BB51" i="3"/>
  <c r="AP51" i="3"/>
  <c r="AD51" i="3"/>
  <c r="R51" i="3"/>
  <c r="F51" i="3"/>
  <c r="AT50" i="3"/>
  <c r="AH50" i="3"/>
  <c r="V50" i="3"/>
  <c r="J50" i="3"/>
  <c r="AX49" i="3"/>
  <c r="AL49" i="3"/>
  <c r="Z49" i="3"/>
  <c r="N49" i="3"/>
  <c r="BB48" i="3"/>
  <c r="AP48" i="3"/>
  <c r="AD48" i="3"/>
  <c r="R48" i="3"/>
  <c r="F48" i="3"/>
  <c r="AT47" i="3"/>
  <c r="AH47" i="3"/>
  <c r="V47" i="3"/>
  <c r="J47" i="3"/>
  <c r="BB39" i="3"/>
  <c r="AP39" i="3"/>
  <c r="AD39" i="3"/>
  <c r="R39" i="3"/>
  <c r="F39" i="3"/>
  <c r="AT38" i="3"/>
  <c r="AH38" i="3"/>
  <c r="V38" i="3"/>
  <c r="J38" i="3"/>
  <c r="AX37" i="3"/>
  <c r="AL37" i="3"/>
  <c r="Z37" i="3"/>
  <c r="N37" i="3"/>
  <c r="BB36" i="3"/>
  <c r="AP36" i="3"/>
  <c r="AD36" i="3"/>
  <c r="R36" i="3"/>
  <c r="F36" i="3"/>
  <c r="BB4" i="3"/>
  <c r="AP4" i="3"/>
  <c r="AD4" i="3"/>
  <c r="R4" i="3"/>
  <c r="F4" i="3"/>
  <c r="AT56" i="3"/>
  <c r="AG56" i="3"/>
  <c r="U56" i="3"/>
  <c r="I56" i="3"/>
  <c r="AW55" i="3"/>
  <c r="AK55" i="3"/>
  <c r="Y55" i="3"/>
  <c r="M55" i="3"/>
  <c r="BA54" i="3"/>
  <c r="AO54" i="3"/>
  <c r="AC54" i="3"/>
  <c r="Q54" i="3"/>
  <c r="E54" i="3"/>
  <c r="AS53" i="3"/>
  <c r="AG53" i="3"/>
  <c r="U53" i="3"/>
  <c r="I53" i="3"/>
  <c r="AW52" i="3"/>
  <c r="AK52" i="3"/>
  <c r="Y52" i="3"/>
  <c r="M52" i="3"/>
  <c r="BA51" i="3"/>
  <c r="AO51" i="3"/>
  <c r="AC51" i="3"/>
  <c r="Q51" i="3"/>
  <c r="E51" i="3"/>
  <c r="AS50" i="3"/>
  <c r="AG50" i="3"/>
  <c r="U50" i="3"/>
  <c r="I50" i="3"/>
  <c r="AW49" i="3"/>
  <c r="AK49" i="3"/>
  <c r="Y49" i="3"/>
  <c r="M49" i="3"/>
  <c r="BA48" i="3"/>
  <c r="AO48" i="3"/>
  <c r="AC48" i="3"/>
  <c r="Q48" i="3"/>
  <c r="E48" i="3"/>
  <c r="AS47" i="3"/>
  <c r="AG47" i="3"/>
  <c r="U47" i="3"/>
  <c r="I47" i="3"/>
  <c r="BA39" i="3"/>
  <c r="AO39" i="3"/>
  <c r="AC39" i="3"/>
  <c r="Q39" i="3"/>
  <c r="E39" i="3"/>
  <c r="AS38" i="3"/>
  <c r="AG38" i="3"/>
  <c r="U38" i="3"/>
  <c r="I38" i="3"/>
  <c r="AW37" i="3"/>
  <c r="AK37" i="3"/>
  <c r="Y37" i="3"/>
  <c r="M37" i="3"/>
  <c r="BA36" i="3"/>
  <c r="AO36" i="3"/>
  <c r="AC36" i="3"/>
  <c r="Q36" i="3"/>
  <c r="E36" i="3"/>
  <c r="BA4" i="3"/>
  <c r="AO4" i="3"/>
  <c r="AC4" i="3"/>
  <c r="Q4" i="3"/>
  <c r="E4" i="3"/>
  <c r="AS56" i="3"/>
  <c r="AF56" i="3"/>
  <c r="T56" i="3"/>
  <c r="H56" i="3"/>
  <c r="AV55" i="3"/>
  <c r="AJ55" i="3"/>
  <c r="X55" i="3"/>
  <c r="L55" i="3"/>
  <c r="AZ54" i="3"/>
  <c r="AN54" i="3"/>
  <c r="AB54" i="3"/>
  <c r="P54" i="3"/>
  <c r="D54" i="3"/>
  <c r="AR53" i="3"/>
  <c r="AF53" i="3"/>
  <c r="T53" i="3"/>
  <c r="H53" i="3"/>
  <c r="AV52" i="3"/>
  <c r="AJ52" i="3"/>
  <c r="X52" i="3"/>
  <c r="L52" i="3"/>
  <c r="AZ51" i="3"/>
  <c r="AN51" i="3"/>
  <c r="AB51" i="3"/>
  <c r="P51" i="3"/>
  <c r="D51" i="3"/>
  <c r="AR50" i="3"/>
  <c r="AF50" i="3"/>
  <c r="T50" i="3"/>
  <c r="H50" i="3"/>
  <c r="AV49" i="3"/>
  <c r="AJ49" i="3"/>
  <c r="X49" i="3"/>
  <c r="L49" i="3"/>
  <c r="AZ48" i="3"/>
  <c r="AN48" i="3"/>
  <c r="AB48" i="3"/>
  <c r="P48" i="3"/>
  <c r="D48" i="3"/>
  <c r="AR47" i="3"/>
  <c r="AF47" i="3"/>
  <c r="T47" i="3"/>
  <c r="H47" i="3"/>
  <c r="AZ39" i="3"/>
  <c r="AN39" i="3"/>
  <c r="AB39" i="3"/>
  <c r="P39" i="3"/>
  <c r="D39" i="3"/>
  <c r="AR38" i="3"/>
  <c r="AF38" i="3"/>
  <c r="T38" i="3"/>
  <c r="H38" i="3"/>
  <c r="AV37" i="3"/>
  <c r="AJ37" i="3"/>
  <c r="X37" i="3"/>
  <c r="L37" i="3"/>
  <c r="AZ36" i="3"/>
  <c r="AN36" i="3"/>
  <c r="AB36" i="3"/>
  <c r="P36" i="3"/>
  <c r="D36" i="3"/>
  <c r="AZ4" i="3"/>
  <c r="AN4" i="3"/>
  <c r="AB4" i="3"/>
  <c r="P4" i="3"/>
  <c r="D4" i="3"/>
  <c r="AR56" i="3"/>
  <c r="AE56" i="3"/>
  <c r="S56" i="3"/>
  <c r="G56" i="3"/>
  <c r="AU55" i="3"/>
  <c r="AI55" i="3"/>
  <c r="W55" i="3"/>
  <c r="K55" i="3"/>
  <c r="AY54" i="3"/>
  <c r="AM54" i="3"/>
  <c r="AA54" i="3"/>
  <c r="O54" i="3"/>
  <c r="C54" i="3"/>
  <c r="C64" i="3" s="1"/>
  <c r="AQ53" i="3"/>
  <c r="AE53" i="3"/>
  <c r="S53" i="3"/>
  <c r="G53" i="3"/>
  <c r="AU52" i="3"/>
  <c r="AI52" i="3"/>
  <c r="W52" i="3"/>
  <c r="K52" i="3"/>
  <c r="AY51" i="3"/>
  <c r="AM51" i="3"/>
  <c r="AA51" i="3"/>
  <c r="O51" i="3"/>
  <c r="C51" i="3"/>
  <c r="C61" i="3" s="1"/>
  <c r="AQ50" i="3"/>
  <c r="AE50" i="3"/>
  <c r="S50" i="3"/>
  <c r="G50" i="3"/>
  <c r="AU49" i="3"/>
  <c r="AI49" i="3"/>
  <c r="W49" i="3"/>
  <c r="K49" i="3"/>
  <c r="AY48" i="3"/>
  <c r="AM48" i="3"/>
  <c r="AA48" i="3"/>
  <c r="O48" i="3"/>
  <c r="C48" i="3"/>
  <c r="C58" i="3" s="1"/>
  <c r="D58" i="3" s="1"/>
  <c r="E58" i="3" s="1"/>
  <c r="F58" i="3" s="1"/>
  <c r="AQ47" i="3"/>
  <c r="AE47" i="3"/>
  <c r="S47" i="3"/>
  <c r="G47" i="3"/>
  <c r="AY39" i="3"/>
  <c r="AM39" i="3"/>
  <c r="AA39" i="3"/>
  <c r="O39" i="3"/>
  <c r="C39" i="3"/>
  <c r="C43" i="3" s="1"/>
  <c r="AQ38" i="3"/>
  <c r="AE38" i="3"/>
  <c r="S38" i="3"/>
  <c r="G38" i="3"/>
  <c r="AU37" i="3"/>
  <c r="AI37" i="3"/>
  <c r="W37" i="3"/>
  <c r="K37" i="3"/>
  <c r="AY36" i="3"/>
  <c r="AM36" i="3"/>
  <c r="AA36" i="3"/>
  <c r="O36" i="3"/>
  <c r="C36" i="3"/>
  <c r="C40" i="3" s="1"/>
  <c r="AY4" i="3"/>
  <c r="AM4" i="3"/>
  <c r="AA4" i="3"/>
  <c r="O4" i="3"/>
  <c r="C4" i="3"/>
  <c r="AQ56" i="3"/>
  <c r="AD56" i="3"/>
  <c r="R56" i="3"/>
  <c r="F56" i="3"/>
  <c r="AT55" i="3"/>
  <c r="AH55" i="3"/>
  <c r="V55" i="3"/>
  <c r="J55" i="3"/>
  <c r="AX54" i="3"/>
  <c r="AL54" i="3"/>
  <c r="Z54" i="3"/>
  <c r="N54" i="3"/>
  <c r="BB53" i="3"/>
  <c r="AP53" i="3"/>
  <c r="AD53" i="3"/>
  <c r="R53" i="3"/>
  <c r="F53" i="3"/>
  <c r="AT52" i="3"/>
  <c r="AH52" i="3"/>
  <c r="V52" i="3"/>
  <c r="J52" i="3"/>
  <c r="AX51" i="3"/>
  <c r="AL51" i="3"/>
  <c r="Z51" i="3"/>
  <c r="N51" i="3"/>
  <c r="BB50" i="3"/>
  <c r="AP50" i="3"/>
  <c r="AD50" i="3"/>
  <c r="R50" i="3"/>
  <c r="F50" i="3"/>
  <c r="AT49" i="3"/>
  <c r="AH49" i="3"/>
  <c r="V49" i="3"/>
  <c r="J49" i="3"/>
  <c r="AX48" i="3"/>
  <c r="AL48" i="3"/>
  <c r="Z48" i="3"/>
  <c r="N48" i="3"/>
  <c r="BB47" i="3"/>
  <c r="AP47" i="3"/>
  <c r="AD47" i="3"/>
  <c r="R47" i="3"/>
  <c r="F47" i="3"/>
  <c r="AX39" i="3"/>
  <c r="AL39" i="3"/>
  <c r="Z39" i="3"/>
  <c r="N39" i="3"/>
  <c r="BB38" i="3"/>
  <c r="AP38" i="3"/>
  <c r="AD38" i="3"/>
  <c r="R38" i="3"/>
  <c r="F38" i="3"/>
  <c r="AT37" i="3"/>
  <c r="AH37" i="3"/>
  <c r="V37" i="3"/>
  <c r="J37" i="3"/>
  <c r="AX36" i="3"/>
  <c r="AL36" i="3"/>
  <c r="Z36" i="3"/>
  <c r="N36" i="3"/>
  <c r="AX4" i="3"/>
  <c r="AL4" i="3"/>
  <c r="Z4" i="3"/>
  <c r="N4" i="3"/>
  <c r="AP56" i="3"/>
  <c r="AC56" i="3"/>
  <c r="Q56" i="3"/>
  <c r="E56" i="3"/>
  <c r="AS55" i="3"/>
  <c r="AG55" i="3"/>
  <c r="U55" i="3"/>
  <c r="I55" i="3"/>
  <c r="AW54" i="3"/>
  <c r="AK54" i="3"/>
  <c r="Y54" i="3"/>
  <c r="M54" i="3"/>
  <c r="BA53" i="3"/>
  <c r="AO53" i="3"/>
  <c r="AC53" i="3"/>
  <c r="Q53" i="3"/>
  <c r="E53" i="3"/>
  <c r="AS52" i="3"/>
  <c r="AG52" i="3"/>
  <c r="U52" i="3"/>
  <c r="I52" i="3"/>
  <c r="AW51" i="3"/>
  <c r="AK51" i="3"/>
  <c r="Y51" i="3"/>
  <c r="M51" i="3"/>
  <c r="BA50" i="3"/>
  <c r="AO50" i="3"/>
  <c r="AC50" i="3"/>
  <c r="Q50" i="3"/>
  <c r="E50" i="3"/>
  <c r="AS49" i="3"/>
  <c r="AG49" i="3"/>
  <c r="U49" i="3"/>
  <c r="I49" i="3"/>
  <c r="AW48" i="3"/>
  <c r="AK48" i="3"/>
  <c r="Y48" i="3"/>
  <c r="M48" i="3"/>
  <c r="BA47" i="3"/>
  <c r="AO47" i="3"/>
  <c r="AC47" i="3"/>
  <c r="Q47" i="3"/>
  <c r="E47" i="3"/>
  <c r="AW39" i="3"/>
  <c r="AK39" i="3"/>
  <c r="Y39" i="3"/>
  <c r="M39" i="3"/>
  <c r="BA38" i="3"/>
  <c r="AO38" i="3"/>
  <c r="AC38" i="3"/>
  <c r="Q38" i="3"/>
  <c r="E38" i="3"/>
  <c r="AS37" i="3"/>
  <c r="AG37" i="3"/>
  <c r="U37" i="3"/>
  <c r="I37" i="3"/>
  <c r="AW36" i="3"/>
  <c r="AK36" i="3"/>
  <c r="Y36" i="3"/>
  <c r="M36" i="3"/>
  <c r="AW4" i="3"/>
  <c r="AK4" i="3"/>
  <c r="Y4" i="3"/>
  <c r="M4" i="3"/>
  <c r="BB56" i="3"/>
  <c r="AO56" i="3"/>
  <c r="AB56" i="3"/>
  <c r="P56" i="3"/>
  <c r="D56" i="3"/>
  <c r="AR55" i="3"/>
  <c r="AF55" i="3"/>
  <c r="T55" i="3"/>
  <c r="H55" i="3"/>
  <c r="AV54" i="3"/>
  <c r="AJ54" i="3"/>
  <c r="X54" i="3"/>
  <c r="L54" i="3"/>
  <c r="AZ53" i="3"/>
  <c r="AN53" i="3"/>
  <c r="AB53" i="3"/>
  <c r="P53" i="3"/>
  <c r="D53" i="3"/>
  <c r="AR52" i="3"/>
  <c r="AF52" i="3"/>
  <c r="T52" i="3"/>
  <c r="H52" i="3"/>
  <c r="AV51" i="3"/>
  <c r="AJ51" i="3"/>
  <c r="X51" i="3"/>
  <c r="L51" i="3"/>
  <c r="AZ50" i="3"/>
  <c r="AN50" i="3"/>
  <c r="AB50" i="3"/>
  <c r="P50" i="3"/>
  <c r="D50" i="3"/>
  <c r="AR49" i="3"/>
  <c r="AF49" i="3"/>
  <c r="T49" i="3"/>
  <c r="H49" i="3"/>
  <c r="AV48" i="3"/>
  <c r="AJ48" i="3"/>
  <c r="X48" i="3"/>
  <c r="L48" i="3"/>
  <c r="AZ47" i="3"/>
  <c r="AN47" i="3"/>
  <c r="AB47" i="3"/>
  <c r="P47" i="3"/>
  <c r="D47" i="3"/>
  <c r="AV39" i="3"/>
  <c r="AJ39" i="3"/>
  <c r="X39" i="3"/>
  <c r="L39" i="3"/>
  <c r="AZ38" i="3"/>
  <c r="AN38" i="3"/>
  <c r="AB38" i="3"/>
  <c r="P38" i="3"/>
  <c r="D38" i="3"/>
  <c r="AR37" i="3"/>
  <c r="AF37" i="3"/>
  <c r="T37" i="3"/>
  <c r="H37" i="3"/>
  <c r="AV36" i="3"/>
  <c r="AJ36" i="3"/>
  <c r="X36" i="3"/>
  <c r="L36" i="3"/>
  <c r="AV4" i="3"/>
  <c r="AJ4" i="3"/>
  <c r="X4" i="3"/>
  <c r="L4" i="3"/>
  <c r="BA56" i="3"/>
  <c r="AN56" i="3"/>
  <c r="AA56" i="3"/>
  <c r="O56" i="3"/>
  <c r="C56" i="3"/>
  <c r="C66" i="3" s="1"/>
  <c r="AQ55" i="3"/>
  <c r="AE55" i="3"/>
  <c r="S55" i="3"/>
  <c r="G55" i="3"/>
  <c r="AU54" i="3"/>
  <c r="AI54" i="3"/>
  <c r="W54" i="3"/>
  <c r="K54" i="3"/>
  <c r="AY53" i="3"/>
  <c r="AM53" i="3"/>
  <c r="AA53" i="3"/>
  <c r="O53" i="3"/>
  <c r="C53" i="3"/>
  <c r="C63" i="3" s="1"/>
  <c r="AQ52" i="3"/>
  <c r="AE52" i="3"/>
  <c r="S52" i="3"/>
  <c r="G52" i="3"/>
  <c r="AU51" i="3"/>
  <c r="AI51" i="3"/>
  <c r="W51" i="3"/>
  <c r="K51" i="3"/>
  <c r="AY50" i="3"/>
  <c r="AM50" i="3"/>
  <c r="AA50" i="3"/>
  <c r="O50" i="3"/>
  <c r="C50" i="3"/>
  <c r="C60" i="3" s="1"/>
  <c r="AQ49" i="3"/>
  <c r="AE49" i="3"/>
  <c r="S49" i="3"/>
  <c r="G49" i="3"/>
  <c r="AU48" i="3"/>
  <c r="AI48" i="3"/>
  <c r="W48" i="3"/>
  <c r="K48" i="3"/>
  <c r="AY47" i="3"/>
  <c r="AM47" i="3"/>
  <c r="AA47" i="3"/>
  <c r="O47" i="3"/>
  <c r="C47" i="3"/>
  <c r="C57" i="3" s="1"/>
  <c r="D57" i="3" s="1"/>
  <c r="AU39" i="3"/>
  <c r="AI39" i="3"/>
  <c r="W39" i="3"/>
  <c r="K39" i="3"/>
  <c r="AY38" i="3"/>
  <c r="AM38" i="3"/>
  <c r="AA38" i="3"/>
  <c r="O38" i="3"/>
  <c r="C38" i="3"/>
  <c r="C42" i="3" s="1"/>
  <c r="AQ37" i="3"/>
  <c r="AE37" i="3"/>
  <c r="S37" i="3"/>
  <c r="G37" i="3"/>
  <c r="AU36" i="3"/>
  <c r="AI36" i="3"/>
  <c r="W36" i="3"/>
  <c r="K36" i="3"/>
  <c r="AU4" i="3"/>
  <c r="AI4" i="3"/>
  <c r="W4" i="3"/>
  <c r="K4" i="3"/>
  <c r="AZ56" i="3"/>
  <c r="AM56" i="3"/>
  <c r="Z56" i="3"/>
  <c r="N56" i="3"/>
  <c r="BB55" i="3"/>
  <c r="AP55" i="3"/>
  <c r="AD55" i="3"/>
  <c r="R55" i="3"/>
  <c r="F55" i="3"/>
  <c r="AT54" i="3"/>
  <c r="AH54" i="3"/>
  <c r="V54" i="3"/>
  <c r="J54" i="3"/>
  <c r="AX53" i="3"/>
  <c r="AL53" i="3"/>
  <c r="Z53" i="3"/>
  <c r="N53" i="3"/>
  <c r="BB52" i="3"/>
  <c r="AY56" i="3"/>
  <c r="AL56" i="3"/>
  <c r="Y56" i="3"/>
  <c r="M56" i="3"/>
  <c r="BA55" i="3"/>
  <c r="AO55" i="3"/>
  <c r="AC55" i="3"/>
  <c r="Q55" i="3"/>
  <c r="E55" i="3"/>
  <c r="AS54" i="3"/>
  <c r="AG54" i="3"/>
  <c r="U54" i="3"/>
  <c r="I54" i="3"/>
  <c r="AW53" i="3"/>
  <c r="AK53" i="3"/>
  <c r="Y53" i="3"/>
  <c r="M53" i="3"/>
  <c r="BA52" i="3"/>
  <c r="AO52" i="3"/>
  <c r="AC52" i="3"/>
  <c r="Q52" i="3"/>
  <c r="E52" i="3"/>
  <c r="AS51" i="3"/>
  <c r="AG51" i="3"/>
  <c r="U51" i="3"/>
  <c r="I51" i="3"/>
  <c r="AW50" i="3"/>
  <c r="AK50" i="3"/>
  <c r="Y50" i="3"/>
  <c r="M50" i="3"/>
  <c r="BA49" i="3"/>
  <c r="AO49" i="3"/>
  <c r="AC49" i="3"/>
  <c r="Q49" i="3"/>
  <c r="E49" i="3"/>
  <c r="AS48" i="3"/>
  <c r="AG48" i="3"/>
  <c r="U48" i="3"/>
  <c r="I48" i="3"/>
  <c r="AW47" i="3"/>
  <c r="AK47" i="3"/>
  <c r="Y47" i="3"/>
  <c r="M47" i="3"/>
  <c r="AS39" i="3"/>
  <c r="AG39" i="3"/>
  <c r="U39" i="3"/>
  <c r="I39" i="3"/>
  <c r="AW38" i="3"/>
  <c r="AK38" i="3"/>
  <c r="Y38" i="3"/>
  <c r="M38" i="3"/>
  <c r="BA37" i="3"/>
  <c r="AO37" i="3"/>
  <c r="AC37" i="3"/>
  <c r="Q37" i="3"/>
  <c r="E37" i="3"/>
  <c r="AS36" i="3"/>
  <c r="AG36" i="3"/>
  <c r="U36" i="3"/>
  <c r="I36" i="3"/>
  <c r="AS4" i="3"/>
  <c r="AG4" i="3"/>
  <c r="U4" i="3"/>
  <c r="I4" i="3"/>
  <c r="AX56" i="3"/>
  <c r="AK56" i="3"/>
  <c r="X56" i="3"/>
  <c r="L56" i="3"/>
  <c r="AZ55" i="3"/>
  <c r="AN55" i="3"/>
  <c r="AB55" i="3"/>
  <c r="P55" i="3"/>
  <c r="D55" i="3"/>
  <c r="AR54" i="3"/>
  <c r="AF54" i="3"/>
  <c r="T54" i="3"/>
  <c r="H54" i="3"/>
  <c r="AV53" i="3"/>
  <c r="AJ53" i="3"/>
  <c r="X53" i="3"/>
  <c r="L53" i="3"/>
  <c r="AZ52" i="3"/>
  <c r="AN52" i="3"/>
  <c r="AB52" i="3"/>
  <c r="P52" i="3"/>
  <c r="D52" i="3"/>
  <c r="AR51" i="3"/>
  <c r="AF51" i="3"/>
  <c r="T51" i="3"/>
  <c r="H51" i="3"/>
  <c r="AV50" i="3"/>
  <c r="AJ50" i="3"/>
  <c r="X50" i="3"/>
  <c r="L50" i="3"/>
  <c r="AZ49" i="3"/>
  <c r="AN49" i="3"/>
  <c r="AB49" i="3"/>
  <c r="P49" i="3"/>
  <c r="D49" i="3"/>
  <c r="AR48" i="3"/>
  <c r="AF48" i="3"/>
  <c r="T48" i="3"/>
  <c r="H48" i="3"/>
  <c r="AV47" i="3"/>
  <c r="AJ47" i="3"/>
  <c r="X47" i="3"/>
  <c r="L47" i="3"/>
  <c r="AR39" i="3"/>
  <c r="AF39" i="3"/>
  <c r="T39" i="3"/>
  <c r="H39" i="3"/>
  <c r="AV38" i="3"/>
  <c r="AJ38" i="3"/>
  <c r="X38" i="3"/>
  <c r="L38" i="3"/>
  <c r="AZ37" i="3"/>
  <c r="AN37" i="3"/>
  <c r="AB37" i="3"/>
  <c r="P37" i="3"/>
  <c r="D37" i="3"/>
  <c r="AR36" i="3"/>
  <c r="AF36" i="3"/>
  <c r="T36" i="3"/>
  <c r="H36" i="3"/>
  <c r="AR4" i="3"/>
  <c r="AF4" i="3"/>
  <c r="T4" i="3"/>
  <c r="H4" i="3"/>
  <c r="H2" i="3"/>
  <c r="AB2" i="3"/>
  <c r="AT4" i="3"/>
  <c r="AQ7" i="12"/>
  <c r="AB8" i="12"/>
  <c r="Z38" i="3"/>
  <c r="AP49" i="3"/>
  <c r="AD52" i="3"/>
  <c r="I2" i="3"/>
  <c r="H20" i="3"/>
  <c r="H5" i="3" s="1"/>
  <c r="G20" i="3"/>
  <c r="G5" i="3" s="1"/>
  <c r="AY20" i="3"/>
  <c r="AY5" i="3" s="1"/>
  <c r="AY9" i="3" s="1"/>
  <c r="V21" i="3"/>
  <c r="V6" i="3" s="1"/>
  <c r="AL38" i="3"/>
  <c r="N47" i="3"/>
  <c r="BB49" i="3"/>
  <c r="AP52" i="3"/>
  <c r="AS79" i="3"/>
  <c r="AG79" i="3"/>
  <c r="BB79" i="3"/>
  <c r="AZ79" i="3"/>
  <c r="AN79" i="3"/>
  <c r="AW79" i="3"/>
  <c r="AI79" i="3"/>
  <c r="V79" i="3"/>
  <c r="J79" i="3"/>
  <c r="AX78" i="3"/>
  <c r="AL78" i="3"/>
  <c r="Z78" i="3"/>
  <c r="N78" i="3"/>
  <c r="BB77" i="3"/>
  <c r="AP77" i="3"/>
  <c r="AD77" i="3"/>
  <c r="R77" i="3"/>
  <c r="F77" i="3"/>
  <c r="AT76" i="3"/>
  <c r="AH76" i="3"/>
  <c r="V76" i="3"/>
  <c r="J76" i="3"/>
  <c r="AX75" i="3"/>
  <c r="AL75" i="3"/>
  <c r="Z75" i="3"/>
  <c r="N75" i="3"/>
  <c r="BB74" i="3"/>
  <c r="AP74" i="3"/>
  <c r="AD74" i="3"/>
  <c r="R74" i="3"/>
  <c r="F74" i="3"/>
  <c r="AT73" i="3"/>
  <c r="AH73" i="3"/>
  <c r="V73" i="3"/>
  <c r="J73" i="3"/>
  <c r="AX72" i="3"/>
  <c r="AL72" i="3"/>
  <c r="Z72" i="3"/>
  <c r="N72" i="3"/>
  <c r="BB71" i="3"/>
  <c r="AP71" i="3"/>
  <c r="AD71" i="3"/>
  <c r="R71" i="3"/>
  <c r="F71" i="3"/>
  <c r="AT70" i="3"/>
  <c r="AH70" i="3"/>
  <c r="V70" i="3"/>
  <c r="J70" i="3"/>
  <c r="AV79" i="3"/>
  <c r="AH79" i="3"/>
  <c r="U79" i="3"/>
  <c r="I79" i="3"/>
  <c r="AW78" i="3"/>
  <c r="AK78" i="3"/>
  <c r="Y78" i="3"/>
  <c r="M78" i="3"/>
  <c r="BA77" i="3"/>
  <c r="AO77" i="3"/>
  <c r="AC77" i="3"/>
  <c r="Q77" i="3"/>
  <c r="E77" i="3"/>
  <c r="AS76" i="3"/>
  <c r="AG76" i="3"/>
  <c r="U76" i="3"/>
  <c r="I76" i="3"/>
  <c r="AW75" i="3"/>
  <c r="AK75" i="3"/>
  <c r="Y75" i="3"/>
  <c r="M75" i="3"/>
  <c r="BA74" i="3"/>
  <c r="AO74" i="3"/>
  <c r="AC74" i="3"/>
  <c r="Q74" i="3"/>
  <c r="E74" i="3"/>
  <c r="AS73" i="3"/>
  <c r="AG73" i="3"/>
  <c r="U73" i="3"/>
  <c r="I73" i="3"/>
  <c r="AW72" i="3"/>
  <c r="AK72" i="3"/>
  <c r="Y72" i="3"/>
  <c r="M72" i="3"/>
  <c r="BA71" i="3"/>
  <c r="AO71" i="3"/>
  <c r="AC71" i="3"/>
  <c r="Q71" i="3"/>
  <c r="E71" i="3"/>
  <c r="AS70" i="3"/>
  <c r="AG70" i="3"/>
  <c r="U70" i="3"/>
  <c r="I70" i="3"/>
  <c r="AU79" i="3"/>
  <c r="AF79" i="3"/>
  <c r="T79" i="3"/>
  <c r="H79" i="3"/>
  <c r="AV78" i="3"/>
  <c r="AJ78" i="3"/>
  <c r="X78" i="3"/>
  <c r="L78" i="3"/>
  <c r="AZ77" i="3"/>
  <c r="AN77" i="3"/>
  <c r="AB77" i="3"/>
  <c r="P77" i="3"/>
  <c r="D77" i="3"/>
  <c r="AR76" i="3"/>
  <c r="AF76" i="3"/>
  <c r="T76" i="3"/>
  <c r="H76" i="3"/>
  <c r="AV75" i="3"/>
  <c r="AJ75" i="3"/>
  <c r="X75" i="3"/>
  <c r="L75" i="3"/>
  <c r="AZ74" i="3"/>
  <c r="AN74" i="3"/>
  <c r="AB74" i="3"/>
  <c r="P74" i="3"/>
  <c r="D74" i="3"/>
  <c r="AR73" i="3"/>
  <c r="AF73" i="3"/>
  <c r="T73" i="3"/>
  <c r="H73" i="3"/>
  <c r="AV72" i="3"/>
  <c r="AJ72" i="3"/>
  <c r="X72" i="3"/>
  <c r="L72" i="3"/>
  <c r="AZ71" i="3"/>
  <c r="AN71" i="3"/>
  <c r="AB71" i="3"/>
  <c r="P71" i="3"/>
  <c r="D71" i="3"/>
  <c r="AR70" i="3"/>
  <c r="AF70" i="3"/>
  <c r="T70" i="3"/>
  <c r="H70" i="3"/>
  <c r="AT79" i="3"/>
  <c r="AE79" i="3"/>
  <c r="S79" i="3"/>
  <c r="G79" i="3"/>
  <c r="AU78" i="3"/>
  <c r="AI78" i="3"/>
  <c r="W78" i="3"/>
  <c r="K78" i="3"/>
  <c r="AY77" i="3"/>
  <c r="AM77" i="3"/>
  <c r="AA77" i="3"/>
  <c r="O77" i="3"/>
  <c r="C77" i="3"/>
  <c r="C87" i="3" s="1"/>
  <c r="D87" i="3" s="1"/>
  <c r="E87" i="3" s="1"/>
  <c r="F87" i="3" s="1"/>
  <c r="AQ76" i="3"/>
  <c r="AE76" i="3"/>
  <c r="S76" i="3"/>
  <c r="G76" i="3"/>
  <c r="AU75" i="3"/>
  <c r="AI75" i="3"/>
  <c r="W75" i="3"/>
  <c r="K75" i="3"/>
  <c r="AY74" i="3"/>
  <c r="AM74" i="3"/>
  <c r="AA74" i="3"/>
  <c r="O74" i="3"/>
  <c r="C74" i="3"/>
  <c r="C84" i="3" s="1"/>
  <c r="D84" i="3" s="1"/>
  <c r="E84" i="3" s="1"/>
  <c r="F84" i="3" s="1"/>
  <c r="AQ73" i="3"/>
  <c r="AE73" i="3"/>
  <c r="S73" i="3"/>
  <c r="G73" i="3"/>
  <c r="AU72" i="3"/>
  <c r="AI72" i="3"/>
  <c r="W72" i="3"/>
  <c r="K72" i="3"/>
  <c r="AY71" i="3"/>
  <c r="AM71" i="3"/>
  <c r="AA71" i="3"/>
  <c r="O71" i="3"/>
  <c r="C71" i="3"/>
  <c r="C81" i="3" s="1"/>
  <c r="AQ70" i="3"/>
  <c r="AE70" i="3"/>
  <c r="S70" i="3"/>
  <c r="G70" i="3"/>
  <c r="AR79" i="3"/>
  <c r="AD79" i="3"/>
  <c r="R79" i="3"/>
  <c r="F79" i="3"/>
  <c r="AT78" i="3"/>
  <c r="AH78" i="3"/>
  <c r="V78" i="3"/>
  <c r="J78" i="3"/>
  <c r="AX77" i="3"/>
  <c r="AL77" i="3"/>
  <c r="Z77" i="3"/>
  <c r="N77" i="3"/>
  <c r="BB76" i="3"/>
  <c r="AP76" i="3"/>
  <c r="AD76" i="3"/>
  <c r="R76" i="3"/>
  <c r="F76" i="3"/>
  <c r="AT75" i="3"/>
  <c r="AH75" i="3"/>
  <c r="V75" i="3"/>
  <c r="J75" i="3"/>
  <c r="AX74" i="3"/>
  <c r="AL74" i="3"/>
  <c r="Z74" i="3"/>
  <c r="N74" i="3"/>
  <c r="BB73" i="3"/>
  <c r="AP73" i="3"/>
  <c r="AD73" i="3"/>
  <c r="R73" i="3"/>
  <c r="F73" i="3"/>
  <c r="AT72" i="3"/>
  <c r="AH72" i="3"/>
  <c r="V72" i="3"/>
  <c r="J72" i="3"/>
  <c r="AX71" i="3"/>
  <c r="AL71" i="3"/>
  <c r="Z71" i="3"/>
  <c r="N71" i="3"/>
  <c r="BB70" i="3"/>
  <c r="AP70" i="3"/>
  <c r="AQ79" i="3"/>
  <c r="AC79" i="3"/>
  <c r="Q79" i="3"/>
  <c r="E79" i="3"/>
  <c r="AS78" i="3"/>
  <c r="AG78" i="3"/>
  <c r="U78" i="3"/>
  <c r="I78" i="3"/>
  <c r="AW77" i="3"/>
  <c r="AK77" i="3"/>
  <c r="Y77" i="3"/>
  <c r="M77" i="3"/>
  <c r="BA76" i="3"/>
  <c r="AO76" i="3"/>
  <c r="AC76" i="3"/>
  <c r="Q76" i="3"/>
  <c r="E76" i="3"/>
  <c r="AS75" i="3"/>
  <c r="AG75" i="3"/>
  <c r="U75" i="3"/>
  <c r="I75" i="3"/>
  <c r="AW74" i="3"/>
  <c r="AK74" i="3"/>
  <c r="Y74" i="3"/>
  <c r="M74" i="3"/>
  <c r="BA73" i="3"/>
  <c r="AO73" i="3"/>
  <c r="AC73" i="3"/>
  <c r="Q73" i="3"/>
  <c r="E73" i="3"/>
  <c r="AS72" i="3"/>
  <c r="AG72" i="3"/>
  <c r="U72" i="3"/>
  <c r="I72" i="3"/>
  <c r="AW71" i="3"/>
  <c r="AK71" i="3"/>
  <c r="Y71" i="3"/>
  <c r="M71" i="3"/>
  <c r="BA70" i="3"/>
  <c r="AO70" i="3"/>
  <c r="AC70" i="3"/>
  <c r="Q70" i="3"/>
  <c r="E70" i="3"/>
  <c r="AP79" i="3"/>
  <c r="AB79" i="3"/>
  <c r="P79" i="3"/>
  <c r="D79" i="3"/>
  <c r="AR78" i="3"/>
  <c r="AF78" i="3"/>
  <c r="T78" i="3"/>
  <c r="H78" i="3"/>
  <c r="AV77" i="3"/>
  <c r="AJ77" i="3"/>
  <c r="X77" i="3"/>
  <c r="L77" i="3"/>
  <c r="AZ76" i="3"/>
  <c r="AN76" i="3"/>
  <c r="AB76" i="3"/>
  <c r="P76" i="3"/>
  <c r="D76" i="3"/>
  <c r="AR75" i="3"/>
  <c r="AF75" i="3"/>
  <c r="T75" i="3"/>
  <c r="H75" i="3"/>
  <c r="AV74" i="3"/>
  <c r="AJ74" i="3"/>
  <c r="X74" i="3"/>
  <c r="L74" i="3"/>
  <c r="AZ73" i="3"/>
  <c r="AN73" i="3"/>
  <c r="AB73" i="3"/>
  <c r="P73" i="3"/>
  <c r="D73" i="3"/>
  <c r="AR72" i="3"/>
  <c r="AF72" i="3"/>
  <c r="T72" i="3"/>
  <c r="H72" i="3"/>
  <c r="AV71" i="3"/>
  <c r="AJ71" i="3"/>
  <c r="X71" i="3"/>
  <c r="L71" i="3"/>
  <c r="AZ70" i="3"/>
  <c r="AN70" i="3"/>
  <c r="AB70" i="3"/>
  <c r="P70" i="3"/>
  <c r="D70" i="3"/>
  <c r="AO79" i="3"/>
  <c r="AA79" i="3"/>
  <c r="O79" i="3"/>
  <c r="C79" i="3"/>
  <c r="C89" i="3" s="1"/>
  <c r="AQ78" i="3"/>
  <c r="AE78" i="3"/>
  <c r="S78" i="3"/>
  <c r="G78" i="3"/>
  <c r="AU77" i="3"/>
  <c r="AI77" i="3"/>
  <c r="W77" i="3"/>
  <c r="K77" i="3"/>
  <c r="AY76" i="3"/>
  <c r="AM76" i="3"/>
  <c r="AA76" i="3"/>
  <c r="O76" i="3"/>
  <c r="C76" i="3"/>
  <c r="C86" i="3" s="1"/>
  <c r="D86" i="3" s="1"/>
  <c r="E86" i="3" s="1"/>
  <c r="F86" i="3" s="1"/>
  <c r="G86" i="3" s="1"/>
  <c r="H86" i="3" s="1"/>
  <c r="AQ75" i="3"/>
  <c r="AE75" i="3"/>
  <c r="S75" i="3"/>
  <c r="G75" i="3"/>
  <c r="AU74" i="3"/>
  <c r="AI74" i="3"/>
  <c r="W74" i="3"/>
  <c r="K74" i="3"/>
  <c r="AY73" i="3"/>
  <c r="AM73" i="3"/>
  <c r="AA73" i="3"/>
  <c r="O73" i="3"/>
  <c r="C73" i="3"/>
  <c r="C83" i="3" s="1"/>
  <c r="AQ72" i="3"/>
  <c r="AE72" i="3"/>
  <c r="S72" i="3"/>
  <c r="G72" i="3"/>
  <c r="AU71" i="3"/>
  <c r="AI71" i="3"/>
  <c r="W71" i="3"/>
  <c r="K71" i="3"/>
  <c r="AY70" i="3"/>
  <c r="AM70" i="3"/>
  <c r="AA70" i="3"/>
  <c r="O70" i="3"/>
  <c r="C70" i="3"/>
  <c r="C80" i="3" s="1"/>
  <c r="AM79" i="3"/>
  <c r="Z79" i="3"/>
  <c r="N79" i="3"/>
  <c r="BB78" i="3"/>
  <c r="AP78" i="3"/>
  <c r="AD78" i="3"/>
  <c r="R78" i="3"/>
  <c r="F78" i="3"/>
  <c r="AT77" i="3"/>
  <c r="AH77" i="3"/>
  <c r="V77" i="3"/>
  <c r="J77" i="3"/>
  <c r="AX76" i="3"/>
  <c r="AL76" i="3"/>
  <c r="Z76" i="3"/>
  <c r="N76" i="3"/>
  <c r="BB75" i="3"/>
  <c r="AP75" i="3"/>
  <c r="AD75" i="3"/>
  <c r="R75" i="3"/>
  <c r="F75" i="3"/>
  <c r="AT74" i="3"/>
  <c r="AH74" i="3"/>
  <c r="V74" i="3"/>
  <c r="J74" i="3"/>
  <c r="AX73" i="3"/>
  <c r="AL73" i="3"/>
  <c r="Z73" i="3"/>
  <c r="N73" i="3"/>
  <c r="BB72" i="3"/>
  <c r="AP72" i="3"/>
  <c r="AD72" i="3"/>
  <c r="R72" i="3"/>
  <c r="F72" i="3"/>
  <c r="AT71" i="3"/>
  <c r="AH71" i="3"/>
  <c r="V71" i="3"/>
  <c r="J71" i="3"/>
  <c r="AX70" i="3"/>
  <c r="AL70" i="3"/>
  <c r="Z70" i="3"/>
  <c r="N70" i="3"/>
  <c r="BA79" i="3"/>
  <c r="AL79" i="3"/>
  <c r="Y79" i="3"/>
  <c r="M79" i="3"/>
  <c r="BA78" i="3"/>
  <c r="AO78" i="3"/>
  <c r="AC78" i="3"/>
  <c r="Q78" i="3"/>
  <c r="E78" i="3"/>
  <c r="AS77" i="3"/>
  <c r="AG77" i="3"/>
  <c r="U77" i="3"/>
  <c r="I77" i="3"/>
  <c r="AW76" i="3"/>
  <c r="AK76" i="3"/>
  <c r="Y76" i="3"/>
  <c r="M76" i="3"/>
  <c r="BA75" i="3"/>
  <c r="AO75" i="3"/>
  <c r="AC75" i="3"/>
  <c r="Q75" i="3"/>
  <c r="E75" i="3"/>
  <c r="AS74" i="3"/>
  <c r="AG74" i="3"/>
  <c r="U74" i="3"/>
  <c r="I74" i="3"/>
  <c r="AW73" i="3"/>
  <c r="AK73" i="3"/>
  <c r="Y73" i="3"/>
  <c r="M73" i="3"/>
  <c r="BA72" i="3"/>
  <c r="AO72" i="3"/>
  <c r="AC72" i="3"/>
  <c r="Q72" i="3"/>
  <c r="E72" i="3"/>
  <c r="AS71" i="3"/>
  <c r="AG71" i="3"/>
  <c r="U71" i="3"/>
  <c r="I71" i="3"/>
  <c r="AW70" i="3"/>
  <c r="AK70" i="3"/>
  <c r="Y70" i="3"/>
  <c r="M70" i="3"/>
  <c r="AY79" i="3"/>
  <c r="AK79" i="3"/>
  <c r="X79" i="3"/>
  <c r="L79" i="3"/>
  <c r="AZ78" i="3"/>
  <c r="AN78" i="3"/>
  <c r="AB78" i="3"/>
  <c r="P78" i="3"/>
  <c r="D78" i="3"/>
  <c r="AR77" i="3"/>
  <c r="AF77" i="3"/>
  <c r="T77" i="3"/>
  <c r="H77" i="3"/>
  <c r="AV76" i="3"/>
  <c r="AJ76" i="3"/>
  <c r="X76" i="3"/>
  <c r="L76" i="3"/>
  <c r="AZ75" i="3"/>
  <c r="AN75" i="3"/>
  <c r="AB75" i="3"/>
  <c r="P75" i="3"/>
  <c r="D75" i="3"/>
  <c r="AR74" i="3"/>
  <c r="AF74" i="3"/>
  <c r="T74" i="3"/>
  <c r="H74" i="3"/>
  <c r="AV73" i="3"/>
  <c r="AJ73" i="3"/>
  <c r="X73" i="3"/>
  <c r="L73" i="3"/>
  <c r="AZ72" i="3"/>
  <c r="AN72" i="3"/>
  <c r="AB72" i="3"/>
  <c r="P72" i="3"/>
  <c r="D72" i="3"/>
  <c r="AR71" i="3"/>
  <c r="AF71" i="3"/>
  <c r="T71" i="3"/>
  <c r="H71" i="3"/>
  <c r="AV70" i="3"/>
  <c r="AJ70" i="3"/>
  <c r="X70" i="3"/>
  <c r="L70" i="3"/>
  <c r="AX79" i="3"/>
  <c r="AJ79" i="3"/>
  <c r="W79" i="3"/>
  <c r="K79" i="3"/>
  <c r="AY78" i="3"/>
  <c r="AM78" i="3"/>
  <c r="AA78" i="3"/>
  <c r="O78" i="3"/>
  <c r="C78" i="3"/>
  <c r="C88" i="3" s="1"/>
  <c r="D88" i="3" s="1"/>
  <c r="E88" i="3" s="1"/>
  <c r="F88" i="3" s="1"/>
  <c r="G88" i="3" s="1"/>
  <c r="AQ77" i="3"/>
  <c r="AE77" i="3"/>
  <c r="S77" i="3"/>
  <c r="G77" i="3"/>
  <c r="AU76" i="3"/>
  <c r="AI76" i="3"/>
  <c r="W76" i="3"/>
  <c r="K76" i="3"/>
  <c r="AY75" i="3"/>
  <c r="AM75" i="3"/>
  <c r="AA75" i="3"/>
  <c r="O75" i="3"/>
  <c r="C75" i="3"/>
  <c r="C85" i="3" s="1"/>
  <c r="D85" i="3" s="1"/>
  <c r="E85" i="3" s="1"/>
  <c r="F85" i="3" s="1"/>
  <c r="G85" i="3" s="1"/>
  <c r="W73" i="3"/>
  <c r="AI70" i="3"/>
  <c r="AV3" i="3"/>
  <c r="AJ3" i="3"/>
  <c r="X3" i="3"/>
  <c r="L3" i="3"/>
  <c r="K73" i="3"/>
  <c r="AD70" i="3"/>
  <c r="AU3" i="3"/>
  <c r="AI3" i="3"/>
  <c r="W3" i="3"/>
  <c r="K3" i="3"/>
  <c r="AY72" i="3"/>
  <c r="W70" i="3"/>
  <c r="AT3" i="3"/>
  <c r="AH3" i="3"/>
  <c r="V3" i="3"/>
  <c r="J3" i="3"/>
  <c r="AM72" i="3"/>
  <c r="R70" i="3"/>
  <c r="AS3" i="3"/>
  <c r="AG3" i="3"/>
  <c r="U3" i="3"/>
  <c r="I3" i="3"/>
  <c r="AA72" i="3"/>
  <c r="K70" i="3"/>
  <c r="AR3" i="3"/>
  <c r="AF3" i="3"/>
  <c r="T3" i="3"/>
  <c r="H3" i="3"/>
  <c r="O72" i="3"/>
  <c r="F70" i="3"/>
  <c r="AQ3" i="3"/>
  <c r="AE3" i="3"/>
  <c r="S3" i="3"/>
  <c r="G3" i="3"/>
  <c r="AQ74" i="3"/>
  <c r="C72" i="3"/>
  <c r="C82" i="3" s="1"/>
  <c r="BB3" i="3"/>
  <c r="AP3" i="3"/>
  <c r="AD3" i="3"/>
  <c r="R3" i="3"/>
  <c r="F3" i="3"/>
  <c r="AE74" i="3"/>
  <c r="AQ71" i="3"/>
  <c r="BA3" i="3"/>
  <c r="AO3" i="3"/>
  <c r="AC3" i="3"/>
  <c r="Q3" i="3"/>
  <c r="E3" i="3"/>
  <c r="S74" i="3"/>
  <c r="AE71" i="3"/>
  <c r="AZ3" i="3"/>
  <c r="AN3" i="3"/>
  <c r="AB3" i="3"/>
  <c r="P3" i="3"/>
  <c r="D3" i="3"/>
  <c r="G74" i="3"/>
  <c r="S71" i="3"/>
  <c r="AU73" i="3"/>
  <c r="G71" i="3"/>
  <c r="AX3" i="3"/>
  <c r="AL3" i="3"/>
  <c r="Z3" i="3"/>
  <c r="N3" i="3"/>
  <c r="AI73" i="3"/>
  <c r="AU70" i="3"/>
  <c r="AW3" i="3"/>
  <c r="AK3" i="3"/>
  <c r="Y3" i="3"/>
  <c r="M3" i="3"/>
  <c r="AU5" i="12"/>
  <c r="AI5" i="12"/>
  <c r="W5" i="12"/>
  <c r="K5" i="12"/>
  <c r="AT5" i="12"/>
  <c r="AH5" i="12"/>
  <c r="V5" i="12"/>
  <c r="J5" i="12"/>
  <c r="AS5" i="12"/>
  <c r="AG5" i="12"/>
  <c r="U5" i="12"/>
  <c r="I5" i="12"/>
  <c r="AR5" i="12"/>
  <c r="AF5" i="12"/>
  <c r="T5" i="12"/>
  <c r="H5" i="12"/>
  <c r="AQ5" i="12"/>
  <c r="AE5" i="12"/>
  <c r="S5" i="12"/>
  <c r="G5" i="12"/>
  <c r="BB5" i="12"/>
  <c r="AP5" i="12"/>
  <c r="AD5" i="12"/>
  <c r="R5" i="12"/>
  <c r="F5" i="12"/>
  <c r="BA5" i="12"/>
  <c r="AO5" i="12"/>
  <c r="AC5" i="12"/>
  <c r="Q5" i="12"/>
  <c r="E5" i="12"/>
  <c r="AZ5" i="12"/>
  <c r="AN5" i="12"/>
  <c r="AB5" i="12"/>
  <c r="P5" i="12"/>
  <c r="D5" i="12"/>
  <c r="AY5" i="12"/>
  <c r="AM5" i="12"/>
  <c r="AA5" i="12"/>
  <c r="O5" i="12"/>
  <c r="C5" i="12"/>
  <c r="AX5" i="12"/>
  <c r="AL5" i="12"/>
  <c r="Z5" i="12"/>
  <c r="N5" i="12"/>
  <c r="AW5" i="12"/>
  <c r="AK5" i="12"/>
  <c r="Y5" i="12"/>
  <c r="M5" i="12"/>
  <c r="AV5" i="12"/>
  <c r="AJ5" i="12"/>
  <c r="X5" i="12"/>
  <c r="L5" i="12"/>
  <c r="N55" i="7"/>
  <c r="N54" i="7"/>
  <c r="N5" i="8" s="1"/>
  <c r="N53" i="7"/>
  <c r="N36" i="8" s="1"/>
  <c r="N52" i="7"/>
  <c r="N51" i="7"/>
  <c r="N30" i="8" s="1"/>
  <c r="N50" i="7"/>
  <c r="N49" i="7"/>
  <c r="N3" i="8" s="1"/>
  <c r="N48" i="7"/>
  <c r="N47" i="7"/>
  <c r="M55" i="7"/>
  <c r="M54" i="7"/>
  <c r="M5" i="8" s="1"/>
  <c r="M53" i="7"/>
  <c r="M36" i="8" s="1"/>
  <c r="M52" i="7"/>
  <c r="M51" i="7"/>
  <c r="M30" i="8" s="1"/>
  <c r="M50" i="7"/>
  <c r="M49" i="7"/>
  <c r="M3" i="8" s="1"/>
  <c r="M48" i="7"/>
  <c r="M47" i="7"/>
  <c r="M46" i="7"/>
  <c r="L55" i="7"/>
  <c r="L54" i="7"/>
  <c r="L5" i="8" s="1"/>
  <c r="L53" i="7"/>
  <c r="L36" i="8" s="1"/>
  <c r="L52" i="7"/>
  <c r="L51" i="7"/>
  <c r="L30" i="8" s="1"/>
  <c r="L50" i="7"/>
  <c r="L49" i="7"/>
  <c r="L3" i="8" s="1"/>
  <c r="L48" i="7"/>
  <c r="L47" i="7"/>
  <c r="L46" i="7"/>
  <c r="K55" i="7"/>
  <c r="K54" i="7"/>
  <c r="K5" i="8" s="1"/>
  <c r="K53" i="7"/>
  <c r="K36" i="8" s="1"/>
  <c r="K52" i="7"/>
  <c r="K51" i="7"/>
  <c r="K30" i="8" s="1"/>
  <c r="K50" i="7"/>
  <c r="K49" i="7"/>
  <c r="K3" i="8" s="1"/>
  <c r="K48" i="7"/>
  <c r="K47" i="7"/>
  <c r="K46" i="7"/>
  <c r="J55" i="7"/>
  <c r="J54" i="7"/>
  <c r="J5" i="8" s="1"/>
  <c r="J53" i="7"/>
  <c r="J36" i="8" s="1"/>
  <c r="J52" i="7"/>
  <c r="J51" i="7"/>
  <c r="J30" i="8" s="1"/>
  <c r="J50" i="7"/>
  <c r="J49" i="7"/>
  <c r="J3" i="8" s="1"/>
  <c r="J48" i="7"/>
  <c r="J47" i="7"/>
  <c r="J46" i="7"/>
  <c r="I55" i="7"/>
  <c r="I54" i="7"/>
  <c r="I5" i="8" s="1"/>
  <c r="I53" i="7"/>
  <c r="I36" i="8" s="1"/>
  <c r="H55" i="7"/>
  <c r="H54" i="7"/>
  <c r="H5" i="8" s="1"/>
  <c r="H53" i="7"/>
  <c r="H36" i="8" s="1"/>
  <c r="H52" i="7"/>
  <c r="H51" i="7"/>
  <c r="H30" i="8" s="1"/>
  <c r="H50" i="7"/>
  <c r="H49" i="7"/>
  <c r="H3" i="8" s="1"/>
  <c r="H48" i="7"/>
  <c r="H47" i="7"/>
  <c r="H46" i="7"/>
  <c r="F55" i="7"/>
  <c r="F54" i="7"/>
  <c r="F5" i="8" s="1"/>
  <c r="F53" i="7"/>
  <c r="F36" i="8" s="1"/>
  <c r="F52" i="7"/>
  <c r="F51" i="7"/>
  <c r="F30" i="8" s="1"/>
  <c r="F50" i="7"/>
  <c r="F49" i="7"/>
  <c r="F3" i="8" s="1"/>
  <c r="F48" i="7"/>
  <c r="F47" i="7"/>
  <c r="F46" i="7"/>
  <c r="E55" i="7"/>
  <c r="E54" i="7"/>
  <c r="E5" i="8" s="1"/>
  <c r="E53" i="7"/>
  <c r="E36" i="8" s="1"/>
  <c r="E52" i="7"/>
  <c r="E51" i="7"/>
  <c r="E30" i="8" s="1"/>
  <c r="E50" i="7"/>
  <c r="E49" i="7"/>
  <c r="E3" i="8" s="1"/>
  <c r="E48" i="7"/>
  <c r="E47" i="7"/>
  <c r="E46" i="7"/>
  <c r="D55" i="7"/>
  <c r="D54" i="7"/>
  <c r="D5" i="8" s="1"/>
  <c r="D53" i="7"/>
  <c r="D36" i="8" s="1"/>
  <c r="D52" i="7"/>
  <c r="D51" i="7"/>
  <c r="D30" i="8" s="1"/>
  <c r="D50" i="7"/>
  <c r="D49" i="7"/>
  <c r="D3" i="8" s="1"/>
  <c r="D48" i="7"/>
  <c r="D47" i="7"/>
  <c r="D46" i="7"/>
  <c r="C55" i="7"/>
  <c r="C65" i="7" s="1"/>
  <c r="D65" i="7" s="1"/>
  <c r="E65" i="7" s="1"/>
  <c r="C54" i="7"/>
  <c r="C53" i="7"/>
  <c r="C52" i="7"/>
  <c r="C50" i="7"/>
  <c r="C60" i="7" s="1"/>
  <c r="G46" i="7"/>
  <c r="G36" i="7"/>
  <c r="D35" i="7"/>
  <c r="M34" i="7"/>
  <c r="J33" i="7"/>
  <c r="I49" i="7"/>
  <c r="I3" i="8" s="1"/>
  <c r="C46" i="7"/>
  <c r="C56" i="7" s="1"/>
  <c r="D56" i="7" s="1"/>
  <c r="F36" i="7"/>
  <c r="C35" i="7"/>
  <c r="C39" i="7" s="1"/>
  <c r="L34" i="7"/>
  <c r="I33" i="7"/>
  <c r="G55" i="7"/>
  <c r="G49" i="7"/>
  <c r="G3" i="8" s="1"/>
  <c r="E36" i="7"/>
  <c r="N35" i="7"/>
  <c r="K34" i="7"/>
  <c r="H33" i="7"/>
  <c r="G54" i="7"/>
  <c r="G5" i="8" s="1"/>
  <c r="C49" i="7"/>
  <c r="D36" i="7"/>
  <c r="M35" i="7"/>
  <c r="J34" i="7"/>
  <c r="G33" i="7"/>
  <c r="G53" i="7"/>
  <c r="G36" i="8" s="1"/>
  <c r="I48" i="7"/>
  <c r="C36" i="7"/>
  <c r="C40" i="7" s="1"/>
  <c r="L35" i="7"/>
  <c r="I34" i="7"/>
  <c r="F33" i="7"/>
  <c r="I52" i="7"/>
  <c r="G48" i="7"/>
  <c r="N36" i="7"/>
  <c r="K35" i="7"/>
  <c r="H34" i="7"/>
  <c r="E33" i="7"/>
  <c r="G52" i="7"/>
  <c r="C48" i="7"/>
  <c r="C58" i="7" s="1"/>
  <c r="M36" i="7"/>
  <c r="J35" i="7"/>
  <c r="G34" i="7"/>
  <c r="D33" i="7"/>
  <c r="I51" i="7"/>
  <c r="I30" i="8" s="1"/>
  <c r="I47" i="7"/>
  <c r="L36" i="7"/>
  <c r="I35" i="7"/>
  <c r="F34" i="7"/>
  <c r="C33" i="7"/>
  <c r="C37" i="7" s="1"/>
  <c r="G51" i="7"/>
  <c r="G30" i="8" s="1"/>
  <c r="G47" i="7"/>
  <c r="K36" i="7"/>
  <c r="H35" i="7"/>
  <c r="E34" i="7"/>
  <c r="N33" i="7"/>
  <c r="C51" i="7"/>
  <c r="C47" i="7"/>
  <c r="C57" i="7" s="1"/>
  <c r="D57" i="7" s="1"/>
  <c r="J36" i="7"/>
  <c r="G35" i="7"/>
  <c r="D34" i="7"/>
  <c r="M33" i="7"/>
  <c r="I50" i="7"/>
  <c r="N46" i="7"/>
  <c r="I36" i="7"/>
  <c r="F35" i="7"/>
  <c r="C34" i="7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L33" i="7"/>
  <c r="G50" i="7"/>
  <c r="I46" i="7"/>
  <c r="H36" i="7"/>
  <c r="E35" i="7"/>
  <c r="N34" i="7"/>
  <c r="K33" i="7"/>
  <c r="AZ4" i="12"/>
  <c r="AN4" i="12"/>
  <c r="AB4" i="12"/>
  <c r="P4" i="12"/>
  <c r="D4" i="12"/>
  <c r="AY4" i="12"/>
  <c r="AM4" i="12"/>
  <c r="AA4" i="12"/>
  <c r="O4" i="12"/>
  <c r="C4" i="12"/>
  <c r="AX4" i="12"/>
  <c r="AL4" i="12"/>
  <c r="Z4" i="12"/>
  <c r="N4" i="12"/>
  <c r="AW4" i="12"/>
  <c r="AK4" i="12"/>
  <c r="Y4" i="12"/>
  <c r="M4" i="12"/>
  <c r="AV4" i="12"/>
  <c r="AJ4" i="12"/>
  <c r="X4" i="12"/>
  <c r="L4" i="12"/>
  <c r="AU4" i="12"/>
  <c r="AI4" i="12"/>
  <c r="W4" i="12"/>
  <c r="K4" i="12"/>
  <c r="AT4" i="12"/>
  <c r="AH4" i="12"/>
  <c r="V4" i="12"/>
  <c r="J4" i="12"/>
  <c r="AS4" i="12"/>
  <c r="AG4" i="12"/>
  <c r="U4" i="12"/>
  <c r="I4" i="12"/>
  <c r="AR4" i="12"/>
  <c r="AF4" i="12"/>
  <c r="T4" i="12"/>
  <c r="H4" i="12"/>
  <c r="AQ4" i="12"/>
  <c r="AE4" i="12"/>
  <c r="S4" i="12"/>
  <c r="G4" i="12"/>
  <c r="BB4" i="12"/>
  <c r="AP4" i="12"/>
  <c r="AD4" i="12"/>
  <c r="R4" i="12"/>
  <c r="F4" i="12"/>
  <c r="BA4" i="12"/>
  <c r="AO4" i="12"/>
  <c r="AC4" i="12"/>
  <c r="Q4" i="12"/>
  <c r="E4" i="12"/>
  <c r="BA2" i="3"/>
  <c r="AO2" i="3"/>
  <c r="AC2" i="3"/>
  <c r="AZ2" i="3"/>
  <c r="AY2" i="3"/>
  <c r="AM2" i="3"/>
  <c r="AA2" i="3"/>
  <c r="AX2" i="3"/>
  <c r="AL2" i="3"/>
  <c r="Z2" i="3"/>
  <c r="AW2" i="3"/>
  <c r="AK2" i="3"/>
  <c r="Y2" i="3"/>
  <c r="AV2" i="3"/>
  <c r="AJ2" i="3"/>
  <c r="X2" i="3"/>
  <c r="AU2" i="3"/>
  <c r="AI2" i="3"/>
  <c r="W2" i="3"/>
  <c r="AT2" i="3"/>
  <c r="AH2" i="3"/>
  <c r="V2" i="3"/>
  <c r="AS2" i="3"/>
  <c r="AG2" i="3"/>
  <c r="U2" i="3"/>
  <c r="AQ2" i="3"/>
  <c r="AE2" i="3"/>
  <c r="S2" i="3"/>
  <c r="BB2" i="3"/>
  <c r="AP2" i="3"/>
  <c r="AD2" i="3"/>
  <c r="J2" i="3"/>
  <c r="AN2" i="3"/>
  <c r="AP7" i="12"/>
  <c r="AC7" i="12"/>
  <c r="I9" i="7"/>
  <c r="J36" i="3"/>
  <c r="AX38" i="3"/>
  <c r="Z47" i="3"/>
  <c r="N50" i="3"/>
  <c r="K2" i="3"/>
  <c r="AR2" i="3"/>
  <c r="AX8" i="12"/>
  <c r="V36" i="3"/>
  <c r="J39" i="3"/>
  <c r="AL47" i="3"/>
  <c r="Z50" i="3"/>
  <c r="T37" i="6"/>
  <c r="T36" i="6"/>
  <c r="T35" i="6"/>
  <c r="T34" i="6"/>
  <c r="T33" i="6"/>
  <c r="T54" i="6" s="1"/>
  <c r="T55" i="6" s="1"/>
  <c r="T32" i="6"/>
  <c r="T31" i="6"/>
  <c r="T30" i="6"/>
  <c r="T29" i="6"/>
  <c r="T28" i="6"/>
  <c r="Q37" i="6"/>
  <c r="Q36" i="6"/>
  <c r="Q35" i="6"/>
  <c r="Q34" i="6"/>
  <c r="Q33" i="6"/>
  <c r="Q32" i="6"/>
  <c r="Q31" i="6"/>
  <c r="Q30" i="6"/>
  <c r="Q29" i="6"/>
  <c r="Q28" i="6"/>
  <c r="M37" i="6"/>
  <c r="M36" i="6"/>
  <c r="M35" i="6"/>
  <c r="M34" i="6"/>
  <c r="M33" i="6"/>
  <c r="M32" i="6"/>
  <c r="M31" i="6"/>
  <c r="M30" i="6"/>
  <c r="M29" i="6"/>
  <c r="M28" i="6"/>
  <c r="N37" i="6"/>
  <c r="R34" i="6"/>
  <c r="O32" i="6"/>
  <c r="X31" i="6"/>
  <c r="S29" i="6"/>
  <c r="N48" i="5"/>
  <c r="S47" i="5"/>
  <c r="L46" i="5"/>
  <c r="Q45" i="5"/>
  <c r="J44" i="5"/>
  <c r="O43" i="5"/>
  <c r="T42" i="5"/>
  <c r="M41" i="5"/>
  <c r="R40" i="5"/>
  <c r="K39" i="5"/>
  <c r="Q36" i="5"/>
  <c r="AL35" i="5"/>
  <c r="E35" i="5" s="1"/>
  <c r="V35" i="5" s="1"/>
  <c r="S36" i="6"/>
  <c r="P34" i="6"/>
  <c r="N32" i="6"/>
  <c r="R29" i="6"/>
  <c r="M48" i="5"/>
  <c r="R47" i="5"/>
  <c r="K46" i="5"/>
  <c r="P45" i="5"/>
  <c r="I44" i="5"/>
  <c r="N43" i="5"/>
  <c r="S42" i="5"/>
  <c r="L41" i="5"/>
  <c r="Q40" i="5"/>
  <c r="J39" i="5"/>
  <c r="P36" i="5"/>
  <c r="J35" i="5"/>
  <c r="R36" i="6"/>
  <c r="O34" i="6"/>
  <c r="X33" i="6"/>
  <c r="S31" i="6"/>
  <c r="P29" i="6"/>
  <c r="L48" i="5"/>
  <c r="Q47" i="5"/>
  <c r="J46" i="5"/>
  <c r="O45" i="5"/>
  <c r="T44" i="5"/>
  <c r="M43" i="5"/>
  <c r="R42" i="5"/>
  <c r="K41" i="5"/>
  <c r="P40" i="5"/>
  <c r="I39" i="5"/>
  <c r="O36" i="5"/>
  <c r="I35" i="5"/>
  <c r="O34" i="5"/>
  <c r="I33" i="5"/>
  <c r="P36" i="6"/>
  <c r="N34" i="6"/>
  <c r="R31" i="6"/>
  <c r="O29" i="6"/>
  <c r="X28" i="6"/>
  <c r="K48" i="5"/>
  <c r="P47" i="5"/>
  <c r="I46" i="5"/>
  <c r="N45" i="5"/>
  <c r="S44" i="5"/>
  <c r="L43" i="5"/>
  <c r="Q42" i="5"/>
  <c r="J41" i="5"/>
  <c r="O40" i="5"/>
  <c r="T39" i="5"/>
  <c r="N36" i="5"/>
  <c r="T35" i="5"/>
  <c r="N34" i="5"/>
  <c r="T33" i="5"/>
  <c r="O36" i="6"/>
  <c r="X35" i="6"/>
  <c r="S33" i="6"/>
  <c r="P31" i="6"/>
  <c r="N29" i="6"/>
  <c r="J48" i="5"/>
  <c r="O47" i="5"/>
  <c r="T46" i="5"/>
  <c r="M45" i="5"/>
  <c r="R44" i="5"/>
  <c r="K43" i="5"/>
  <c r="P42" i="5"/>
  <c r="I41" i="5"/>
  <c r="N40" i="5"/>
  <c r="S39" i="5"/>
  <c r="M36" i="5"/>
  <c r="N36" i="6"/>
  <c r="R33" i="6"/>
  <c r="O31" i="6"/>
  <c r="X30" i="6"/>
  <c r="S28" i="6"/>
  <c r="I48" i="5"/>
  <c r="N47" i="5"/>
  <c r="S46" i="5"/>
  <c r="L45" i="5"/>
  <c r="Q44" i="5"/>
  <c r="J43" i="5"/>
  <c r="O42" i="5"/>
  <c r="T41" i="5"/>
  <c r="M40" i="5"/>
  <c r="R39" i="5"/>
  <c r="L36" i="5"/>
  <c r="R35" i="5"/>
  <c r="L34" i="5"/>
  <c r="R33" i="5"/>
  <c r="X37" i="6"/>
  <c r="S35" i="6"/>
  <c r="P33" i="6"/>
  <c r="N31" i="6"/>
  <c r="R28" i="6"/>
  <c r="T48" i="5"/>
  <c r="M47" i="5"/>
  <c r="R46" i="5"/>
  <c r="K45" i="5"/>
  <c r="P44" i="5"/>
  <c r="I43" i="5"/>
  <c r="N42" i="5"/>
  <c r="S41" i="5"/>
  <c r="L40" i="5"/>
  <c r="Q39" i="5"/>
  <c r="AL36" i="5"/>
  <c r="E36" i="5" s="1"/>
  <c r="V36" i="5" s="1"/>
  <c r="K36" i="5"/>
  <c r="Q35" i="5"/>
  <c r="AL34" i="5"/>
  <c r="E34" i="5" s="1"/>
  <c r="V34" i="5" s="1"/>
  <c r="R35" i="6"/>
  <c r="O33" i="6"/>
  <c r="X32" i="6"/>
  <c r="S30" i="6"/>
  <c r="P28" i="6"/>
  <c r="S48" i="5"/>
  <c r="L47" i="5"/>
  <c r="Q46" i="5"/>
  <c r="J45" i="5"/>
  <c r="O44" i="5"/>
  <c r="T43" i="5"/>
  <c r="M42" i="5"/>
  <c r="R41" i="5"/>
  <c r="K40" i="5"/>
  <c r="P39" i="5"/>
  <c r="J36" i="5"/>
  <c r="P35" i="5"/>
  <c r="J34" i="5"/>
  <c r="P33" i="5"/>
  <c r="S37" i="6"/>
  <c r="P35" i="6"/>
  <c r="N33" i="6"/>
  <c r="R30" i="6"/>
  <c r="O28" i="6"/>
  <c r="R48" i="5"/>
  <c r="K47" i="5"/>
  <c r="P46" i="5"/>
  <c r="I45" i="5"/>
  <c r="N44" i="5"/>
  <c r="S43" i="5"/>
  <c r="L42" i="5"/>
  <c r="Q41" i="5"/>
  <c r="J40" i="5"/>
  <c r="O39" i="5"/>
  <c r="I36" i="5"/>
  <c r="O35" i="5"/>
  <c r="R37" i="6"/>
  <c r="O35" i="6"/>
  <c r="X34" i="6"/>
  <c r="S32" i="6"/>
  <c r="P30" i="6"/>
  <c r="N28" i="6"/>
  <c r="Q48" i="5"/>
  <c r="J47" i="5"/>
  <c r="O46" i="5"/>
  <c r="T45" i="5"/>
  <c r="M44" i="5"/>
  <c r="R43" i="5"/>
  <c r="K42" i="5"/>
  <c r="P41" i="5"/>
  <c r="I40" i="5"/>
  <c r="N39" i="5"/>
  <c r="T36" i="5"/>
  <c r="N35" i="5"/>
  <c r="T34" i="5"/>
  <c r="N33" i="5"/>
  <c r="P37" i="6"/>
  <c r="N35" i="6"/>
  <c r="R32" i="6"/>
  <c r="O30" i="6"/>
  <c r="X29" i="6"/>
  <c r="P48" i="5"/>
  <c r="I47" i="5"/>
  <c r="N46" i="5"/>
  <c r="S45" i="5"/>
  <c r="L44" i="5"/>
  <c r="Q43" i="5"/>
  <c r="J42" i="5"/>
  <c r="O41" i="5"/>
  <c r="T40" i="5"/>
  <c r="M39" i="5"/>
  <c r="S36" i="5"/>
  <c r="M35" i="5"/>
  <c r="S34" i="5"/>
  <c r="M33" i="5"/>
  <c r="O37" i="6"/>
  <c r="X36" i="6"/>
  <c r="S34" i="6"/>
  <c r="P32" i="6"/>
  <c r="N30" i="6"/>
  <c r="O48" i="5"/>
  <c r="T47" i="5"/>
  <c r="M46" i="5"/>
  <c r="R45" i="5"/>
  <c r="K44" i="5"/>
  <c r="P43" i="5"/>
  <c r="I42" i="5"/>
  <c r="N41" i="5"/>
  <c r="S40" i="5"/>
  <c r="L39" i="5"/>
  <c r="R36" i="5"/>
  <c r="L35" i="5"/>
  <c r="R34" i="5"/>
  <c r="L33" i="5"/>
  <c r="M34" i="5"/>
  <c r="Q33" i="5"/>
  <c r="L48" i="4"/>
  <c r="L37" i="6" s="1"/>
  <c r="O47" i="4"/>
  <c r="R46" i="4"/>
  <c r="I45" i="4"/>
  <c r="I34" i="6" s="1"/>
  <c r="L44" i="4"/>
  <c r="L33" i="6" s="1"/>
  <c r="O43" i="4"/>
  <c r="R42" i="4"/>
  <c r="I41" i="4"/>
  <c r="I30" i="6" s="1"/>
  <c r="L40" i="4"/>
  <c r="L29" i="6" s="1"/>
  <c r="O39" i="4"/>
  <c r="R36" i="4"/>
  <c r="I35" i="4"/>
  <c r="L34" i="4"/>
  <c r="O33" i="4"/>
  <c r="K34" i="5"/>
  <c r="O33" i="5"/>
  <c r="K48" i="4"/>
  <c r="K37" i="6" s="1"/>
  <c r="N47" i="4"/>
  <c r="W36" i="6" s="1"/>
  <c r="Q46" i="4"/>
  <c r="T45" i="4"/>
  <c r="K44" i="4"/>
  <c r="K33" i="6" s="1"/>
  <c r="N43" i="4"/>
  <c r="W32" i="6" s="1"/>
  <c r="Q42" i="4"/>
  <c r="T41" i="4"/>
  <c r="K40" i="4"/>
  <c r="K29" i="6" s="1"/>
  <c r="N39" i="4"/>
  <c r="Q36" i="4"/>
  <c r="T35" i="4"/>
  <c r="K34" i="4"/>
  <c r="N33" i="4"/>
  <c r="I34" i="5"/>
  <c r="K33" i="5"/>
  <c r="J48" i="4"/>
  <c r="J37" i="6" s="1"/>
  <c r="M47" i="4"/>
  <c r="V36" i="6" s="1"/>
  <c r="P46" i="4"/>
  <c r="S45" i="4"/>
  <c r="J44" i="4"/>
  <c r="J33" i="6" s="1"/>
  <c r="M43" i="4"/>
  <c r="V32" i="6" s="1"/>
  <c r="P42" i="4"/>
  <c r="S41" i="4"/>
  <c r="J40" i="4"/>
  <c r="J29" i="6" s="1"/>
  <c r="M39" i="4"/>
  <c r="P36" i="4"/>
  <c r="S35" i="4"/>
  <c r="J34" i="4"/>
  <c r="M33" i="4"/>
  <c r="J33" i="5"/>
  <c r="I48" i="4"/>
  <c r="I37" i="6" s="1"/>
  <c r="L47" i="4"/>
  <c r="L36" i="6" s="1"/>
  <c r="O46" i="4"/>
  <c r="R45" i="4"/>
  <c r="I44" i="4"/>
  <c r="I33" i="6" s="1"/>
  <c r="L43" i="4"/>
  <c r="L32" i="6" s="1"/>
  <c r="O42" i="4"/>
  <c r="R41" i="4"/>
  <c r="I40" i="4"/>
  <c r="I29" i="6" s="1"/>
  <c r="L39" i="4"/>
  <c r="AL33" i="5"/>
  <c r="E33" i="5" s="1"/>
  <c r="V33" i="5" s="1"/>
  <c r="T48" i="4"/>
  <c r="K47" i="4"/>
  <c r="K36" i="6" s="1"/>
  <c r="N46" i="4"/>
  <c r="W35" i="6" s="1"/>
  <c r="Q45" i="4"/>
  <c r="T44" i="4"/>
  <c r="K43" i="4"/>
  <c r="K32" i="6" s="1"/>
  <c r="N42" i="4"/>
  <c r="W31" i="6" s="1"/>
  <c r="Q41" i="4"/>
  <c r="T40" i="4"/>
  <c r="K39" i="4"/>
  <c r="N36" i="4"/>
  <c r="Q35" i="4"/>
  <c r="T34" i="4"/>
  <c r="K33" i="4"/>
  <c r="S48" i="4"/>
  <c r="J47" i="4"/>
  <c r="J36" i="6" s="1"/>
  <c r="M46" i="4"/>
  <c r="V35" i="6" s="1"/>
  <c r="P45" i="4"/>
  <c r="S44" i="4"/>
  <c r="J43" i="4"/>
  <c r="J32" i="6" s="1"/>
  <c r="M42" i="4"/>
  <c r="V31" i="6" s="1"/>
  <c r="P41" i="4"/>
  <c r="S40" i="4"/>
  <c r="J39" i="4"/>
  <c r="M36" i="4"/>
  <c r="P35" i="4"/>
  <c r="S34" i="4"/>
  <c r="J33" i="4"/>
  <c r="R48" i="4"/>
  <c r="I47" i="4"/>
  <c r="I36" i="6" s="1"/>
  <c r="L46" i="4"/>
  <c r="L35" i="6" s="1"/>
  <c r="O45" i="4"/>
  <c r="R44" i="4"/>
  <c r="I43" i="4"/>
  <c r="I32" i="6" s="1"/>
  <c r="L42" i="4"/>
  <c r="L31" i="6" s="1"/>
  <c r="O41" i="4"/>
  <c r="R40" i="4"/>
  <c r="I39" i="4"/>
  <c r="L36" i="4"/>
  <c r="O35" i="4"/>
  <c r="R34" i="4"/>
  <c r="I33" i="4"/>
  <c r="Q48" i="4"/>
  <c r="T47" i="4"/>
  <c r="K46" i="4"/>
  <c r="K35" i="6" s="1"/>
  <c r="N45" i="4"/>
  <c r="W34" i="6" s="1"/>
  <c r="Q44" i="4"/>
  <c r="T43" i="4"/>
  <c r="K42" i="4"/>
  <c r="K31" i="6" s="1"/>
  <c r="N41" i="4"/>
  <c r="W30" i="6" s="1"/>
  <c r="Q40" i="4"/>
  <c r="T39" i="4"/>
  <c r="K36" i="4"/>
  <c r="N35" i="4"/>
  <c r="Q34" i="4"/>
  <c r="T33" i="4"/>
  <c r="P48" i="4"/>
  <c r="S47" i="4"/>
  <c r="J46" i="4"/>
  <c r="J35" i="6" s="1"/>
  <c r="M45" i="4"/>
  <c r="V34" i="6" s="1"/>
  <c r="P44" i="4"/>
  <c r="S43" i="4"/>
  <c r="J42" i="4"/>
  <c r="J31" i="6" s="1"/>
  <c r="M41" i="4"/>
  <c r="V30" i="6" s="1"/>
  <c r="P40" i="4"/>
  <c r="S39" i="4"/>
  <c r="J36" i="4"/>
  <c r="M35" i="4"/>
  <c r="P34" i="4"/>
  <c r="S33" i="4"/>
  <c r="O48" i="4"/>
  <c r="R47" i="4"/>
  <c r="I46" i="4"/>
  <c r="I35" i="6" s="1"/>
  <c r="L45" i="4"/>
  <c r="L34" i="6" s="1"/>
  <c r="O44" i="4"/>
  <c r="R43" i="4"/>
  <c r="I42" i="4"/>
  <c r="I31" i="6" s="1"/>
  <c r="L41" i="4"/>
  <c r="L30" i="6" s="1"/>
  <c r="O40" i="4"/>
  <c r="R39" i="4"/>
  <c r="I36" i="4"/>
  <c r="L35" i="4"/>
  <c r="O34" i="4"/>
  <c r="R33" i="4"/>
  <c r="S35" i="5"/>
  <c r="Q34" i="5"/>
  <c r="N48" i="4"/>
  <c r="W37" i="6" s="1"/>
  <c r="Q47" i="4"/>
  <c r="T46" i="4"/>
  <c r="K45" i="4"/>
  <c r="K34" i="6" s="1"/>
  <c r="N44" i="4"/>
  <c r="W33" i="6" s="1"/>
  <c r="Q43" i="4"/>
  <c r="T42" i="4"/>
  <c r="K41" i="4"/>
  <c r="K30" i="6" s="1"/>
  <c r="N40" i="4"/>
  <c r="W29" i="6" s="1"/>
  <c r="Q39" i="4"/>
  <c r="T36" i="4"/>
  <c r="K35" i="4"/>
  <c r="N34" i="4"/>
  <c r="Q33" i="4"/>
  <c r="P47" i="4"/>
  <c r="S42" i="4"/>
  <c r="M40" i="4"/>
  <c r="V29" i="6" s="1"/>
  <c r="R35" i="4"/>
  <c r="J35" i="4"/>
  <c r="P33" i="4"/>
  <c r="J45" i="4"/>
  <c r="J34" i="6" s="1"/>
  <c r="L33" i="4"/>
  <c r="M48" i="4"/>
  <c r="V37" i="6" s="1"/>
  <c r="P43" i="4"/>
  <c r="S36" i="4"/>
  <c r="O36" i="4"/>
  <c r="P34" i="5"/>
  <c r="M34" i="4"/>
  <c r="J41" i="4"/>
  <c r="J30" i="6" s="1"/>
  <c r="I34" i="4"/>
  <c r="S33" i="5"/>
  <c r="S46" i="4"/>
  <c r="M44" i="4"/>
  <c r="V33" i="6" s="1"/>
  <c r="P39" i="4"/>
  <c r="K35" i="5"/>
  <c r="BB6" i="12"/>
  <c r="AP6" i="12"/>
  <c r="AD6" i="12"/>
  <c r="R6" i="12"/>
  <c r="F6" i="12"/>
  <c r="BA6" i="12"/>
  <c r="AO6" i="12"/>
  <c r="AC6" i="12"/>
  <c r="Q6" i="12"/>
  <c r="E6" i="12"/>
  <c r="AZ6" i="12"/>
  <c r="AN6" i="12"/>
  <c r="AB6" i="12"/>
  <c r="P6" i="12"/>
  <c r="D6" i="12"/>
  <c r="AY6" i="12"/>
  <c r="AM6" i="12"/>
  <c r="AA6" i="12"/>
  <c r="O6" i="12"/>
  <c r="C6" i="12"/>
  <c r="AX6" i="12"/>
  <c r="AL6" i="12"/>
  <c r="Z6" i="12"/>
  <c r="N6" i="12"/>
  <c r="AW6" i="12"/>
  <c r="AK6" i="12"/>
  <c r="Y6" i="12"/>
  <c r="M6" i="12"/>
  <c r="AV6" i="12"/>
  <c r="AJ6" i="12"/>
  <c r="X6" i="12"/>
  <c r="L6" i="12"/>
  <c r="AU6" i="12"/>
  <c r="AI6" i="12"/>
  <c r="W6" i="12"/>
  <c r="K6" i="12"/>
  <c r="AT6" i="12"/>
  <c r="AH6" i="12"/>
  <c r="V6" i="12"/>
  <c r="J6" i="12"/>
  <c r="AS6" i="12"/>
  <c r="AG6" i="12"/>
  <c r="U6" i="12"/>
  <c r="I6" i="12"/>
  <c r="AR6" i="12"/>
  <c r="AF6" i="12"/>
  <c r="T6" i="12"/>
  <c r="H6" i="12"/>
  <c r="AQ6" i="12"/>
  <c r="AE6" i="12"/>
  <c r="S6" i="12"/>
  <c r="G6" i="12"/>
  <c r="L2" i="3"/>
  <c r="C3" i="3"/>
  <c r="E8" i="12"/>
  <c r="Q7" i="12"/>
  <c r="AH36" i="3"/>
  <c r="V39" i="3"/>
  <c r="AX47" i="3"/>
  <c r="AL50" i="3"/>
  <c r="M2" i="3"/>
  <c r="O3" i="3"/>
  <c r="AN8" i="12"/>
  <c r="D8" i="12"/>
  <c r="AT36" i="3"/>
  <c r="AH39" i="3"/>
  <c r="J48" i="3"/>
  <c r="AX50" i="3"/>
  <c r="N2" i="3"/>
  <c r="AA3" i="3"/>
  <c r="R7" i="12"/>
  <c r="H8" i="12"/>
  <c r="AO8" i="12"/>
  <c r="L8" i="12"/>
  <c r="E13" i="7"/>
  <c r="F37" i="3"/>
  <c r="AT39" i="3"/>
  <c r="V48" i="3"/>
  <c r="J51" i="3"/>
  <c r="C2" i="3"/>
  <c r="O2" i="3"/>
  <c r="AM3" i="3"/>
  <c r="BB7" i="12"/>
  <c r="AB7" i="12"/>
  <c r="P8" i="12"/>
  <c r="F13" i="7"/>
  <c r="R37" i="3"/>
  <c r="AH48" i="3"/>
  <c r="V51" i="3"/>
  <c r="P7" i="12"/>
  <c r="F9" i="7"/>
  <c r="AV8" i="12"/>
  <c r="E100" i="3"/>
  <c r="C20" i="3"/>
  <c r="AA20" i="3"/>
  <c r="AA5" i="3" s="1"/>
  <c r="N21" i="3"/>
  <c r="N6" i="3" s="1"/>
  <c r="AZ21" i="3"/>
  <c r="AZ6" i="3" s="1"/>
  <c r="F100" i="3"/>
  <c r="D20" i="3"/>
  <c r="D5" i="3" s="1"/>
  <c r="C21" i="3"/>
  <c r="F20" i="3"/>
  <c r="F5" i="3" s="1"/>
  <c r="T7" i="12"/>
  <c r="G9" i="7"/>
  <c r="D101" i="3"/>
  <c r="R21" i="3"/>
  <c r="R6" i="3" s="1"/>
  <c r="AC8" i="12"/>
  <c r="I13" i="7"/>
  <c r="E101" i="3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AS101" i="3" s="1"/>
  <c r="AT101" i="3" s="1"/>
  <c r="AU101" i="3" s="1"/>
  <c r="AV101" i="3" s="1"/>
  <c r="AW101" i="3" s="1"/>
  <c r="AX101" i="3" s="1"/>
  <c r="AY101" i="3" s="1"/>
  <c r="AZ101" i="3" s="1"/>
  <c r="BA101" i="3" s="1"/>
  <c r="BB101" i="3" s="1"/>
  <c r="AT20" i="3"/>
  <c r="AT5" i="3" s="1"/>
  <c r="G21" i="3"/>
  <c r="G6" i="3" s="1"/>
  <c r="S21" i="3"/>
  <c r="S6" i="3" s="1"/>
  <c r="AH7" i="12"/>
  <c r="J9" i="7"/>
  <c r="I20" i="3"/>
  <c r="I5" i="3" s="1"/>
  <c r="AU20" i="3"/>
  <c r="AU5" i="3" s="1"/>
  <c r="T21" i="3"/>
  <c r="T6" i="3" s="1"/>
  <c r="J20" i="3"/>
  <c r="J5" i="3" s="1"/>
  <c r="I21" i="3"/>
  <c r="I6" i="3" s="1"/>
  <c r="U21" i="3"/>
  <c r="U6" i="3" s="1"/>
  <c r="K20" i="3"/>
  <c r="K5" i="3" s="1"/>
  <c r="AW20" i="3"/>
  <c r="AW5" i="3" s="1"/>
  <c r="J21" i="3"/>
  <c r="J6" i="3" s="1"/>
  <c r="Y7" i="12"/>
  <c r="H9" i="7"/>
  <c r="L20" i="3"/>
  <c r="L5" i="3" s="1"/>
  <c r="AX20" i="3"/>
  <c r="AX5" i="3" s="1"/>
  <c r="K21" i="3"/>
  <c r="K6" i="3" s="1"/>
  <c r="W21" i="3"/>
  <c r="W6" i="3" s="1"/>
  <c r="AL7" i="12"/>
  <c r="K9" i="7"/>
  <c r="AH8" i="12"/>
  <c r="J13" i="7"/>
  <c r="AU8" i="12"/>
  <c r="M13" i="7"/>
  <c r="D102" i="3"/>
  <c r="M21" i="3"/>
  <c r="M6" i="3" s="1"/>
  <c r="Y21" i="3"/>
  <c r="Y6" i="3" s="1"/>
  <c r="AM21" i="3"/>
  <c r="AM6" i="3" s="1"/>
  <c r="K13" i="7" s="1"/>
  <c r="AY21" i="3"/>
  <c r="AY6" i="3" s="1"/>
  <c r="N13" i="7" s="1"/>
  <c r="AF46" i="4"/>
  <c r="AF42" i="4"/>
  <c r="AH42" i="4" s="1"/>
  <c r="AF36" i="4"/>
  <c r="AF24" i="4"/>
  <c r="AF45" i="4"/>
  <c r="AF41" i="4"/>
  <c r="AF54" i="4"/>
  <c r="AF48" i="4"/>
  <c r="AF44" i="4"/>
  <c r="AF40" i="4"/>
  <c r="AF34" i="4"/>
  <c r="AF22" i="4"/>
  <c r="AF47" i="4"/>
  <c r="AF43" i="4"/>
  <c r="AF39" i="4"/>
  <c r="AF33" i="4"/>
  <c r="AA9" i="4"/>
  <c r="Y10" i="4"/>
  <c r="W11" i="4"/>
  <c r="AF15" i="4"/>
  <c r="AB16" i="4"/>
  <c r="Y17" i="4"/>
  <c r="V18" i="4"/>
  <c r="AF19" i="4"/>
  <c r="AB20" i="4"/>
  <c r="Z21" i="4"/>
  <c r="AG59" i="4"/>
  <c r="AG24" i="4"/>
  <c r="AG30" i="4"/>
  <c r="AG35" i="4"/>
  <c r="AG54" i="4"/>
  <c r="AG34" i="4"/>
  <c r="AG22" i="4"/>
  <c r="AB9" i="4"/>
  <c r="Z10" i="4"/>
  <c r="X11" i="4"/>
  <c r="AG15" i="4"/>
  <c r="Z17" i="4"/>
  <c r="W18" i="4"/>
  <c r="AG19" i="4"/>
  <c r="AC20" i="4"/>
  <c r="AA21" i="4"/>
  <c r="AF23" i="4"/>
  <c r="AF35" i="4"/>
  <c r="AH30" i="4"/>
  <c r="AH54" i="4"/>
  <c r="AC9" i="4"/>
  <c r="AA10" i="4"/>
  <c r="Y11" i="4"/>
  <c r="AD16" i="4"/>
  <c r="AA17" i="4"/>
  <c r="X18" i="4"/>
  <c r="AD20" i="4"/>
  <c r="AB21" i="4"/>
  <c r="AG23" i="4"/>
  <c r="AF30" i="4"/>
  <c r="F39" i="4"/>
  <c r="AF20" i="4"/>
  <c r="AA11" i="4"/>
  <c r="AG16" i="4"/>
  <c r="AC17" i="4"/>
  <c r="AG20" i="4"/>
  <c r="AD21" i="4"/>
  <c r="AG58" i="4"/>
  <c r="AG45" i="4"/>
  <c r="AG41" i="4"/>
  <c r="AG48" i="4"/>
  <c r="AG44" i="4"/>
  <c r="AG40" i="4"/>
  <c r="AG50" i="4"/>
  <c r="AG47" i="4"/>
  <c r="AG43" i="4"/>
  <c r="AG39" i="4"/>
  <c r="AG33" i="4"/>
  <c r="AG26" i="4"/>
  <c r="AD10" i="4"/>
  <c r="AB11" i="4"/>
  <c r="X15" i="4"/>
  <c r="X25" i="4" s="1"/>
  <c r="X27" i="4" s="1"/>
  <c r="AD17" i="4"/>
  <c r="AA18" i="4"/>
  <c r="X19" i="4"/>
  <c r="AF21" i="4"/>
  <c r="AA24" i="4"/>
  <c r="Z24" i="4"/>
  <c r="Y24" i="4"/>
  <c r="X24" i="4"/>
  <c r="W24" i="4"/>
  <c r="V24" i="4"/>
  <c r="AH21" i="5"/>
  <c r="AG10" i="4"/>
  <c r="AH10" i="4" s="1"/>
  <c r="AC11" i="4"/>
  <c r="V16" i="4"/>
  <c r="AF17" i="4"/>
  <c r="AB18" i="4"/>
  <c r="Y19" i="4"/>
  <c r="V20" i="4"/>
  <c r="V25" i="4" s="1"/>
  <c r="V27" i="4" s="1"/>
  <c r="AG21" i="4"/>
  <c r="AE26" i="5"/>
  <c r="AF26" i="5"/>
  <c r="AD26" i="5"/>
  <c r="AC26" i="5"/>
  <c r="AB26" i="5"/>
  <c r="AA26" i="5"/>
  <c r="Z26" i="5"/>
  <c r="Y26" i="5"/>
  <c r="V9" i="4"/>
  <c r="AD11" i="4"/>
  <c r="Z15" i="4"/>
  <c r="W16" i="4"/>
  <c r="W25" i="4" s="1"/>
  <c r="W27" i="4" s="1"/>
  <c r="AG17" i="4"/>
  <c r="Z19" i="4"/>
  <c r="W20" i="4"/>
  <c r="W23" i="4"/>
  <c r="V23" i="4"/>
  <c r="AD23" i="4"/>
  <c r="AC23" i="4"/>
  <c r="AB23" i="4"/>
  <c r="AA23" i="4"/>
  <c r="Z23" i="4"/>
  <c r="Y23" i="4"/>
  <c r="AF26" i="4"/>
  <c r="AG46" i="4"/>
  <c r="AG11" i="4"/>
  <c r="AH11" i="4" s="1"/>
  <c r="AB20" i="6"/>
  <c r="AC20" i="6"/>
  <c r="F22" i="5"/>
  <c r="W22" i="5" s="1"/>
  <c r="AF18" i="4"/>
  <c r="AG12" i="4"/>
  <c r="AH12" i="4" s="1"/>
  <c r="W17" i="4"/>
  <c r="AG18" i="4"/>
  <c r="X21" i="4"/>
  <c r="F50" i="4"/>
  <c r="F26" i="4"/>
  <c r="Y21" i="4"/>
  <c r="AC24" i="4"/>
  <c r="AG36" i="4"/>
  <c r="Z57" i="4"/>
  <c r="AD57" i="4" s="1"/>
  <c r="AG57" i="4" s="1"/>
  <c r="Y57" i="4"/>
  <c r="AC57" i="4" s="1"/>
  <c r="X57" i="4"/>
  <c r="AB57" i="4" s="1"/>
  <c r="W57" i="4"/>
  <c r="AA57" i="4" s="1"/>
  <c r="V57" i="4"/>
  <c r="AH26" i="5"/>
  <c r="AJ26" i="5" s="1"/>
  <c r="AB22" i="4"/>
  <c r="AD33" i="4"/>
  <c r="AA34" i="4"/>
  <c r="X35" i="4"/>
  <c r="AD39" i="4"/>
  <c r="AA40" i="4"/>
  <c r="X41" i="4"/>
  <c r="AD43" i="4"/>
  <c r="AA44" i="4"/>
  <c r="X45" i="4"/>
  <c r="AD47" i="4"/>
  <c r="AA48" i="4"/>
  <c r="AB50" i="4"/>
  <c r="AJ6" i="5"/>
  <c r="F11" i="5"/>
  <c r="W11" i="5" s="1"/>
  <c r="AE16" i="5"/>
  <c r="Z17" i="5"/>
  <c r="AH18" i="5"/>
  <c r="AB19" i="5"/>
  <c r="AD21" i="5"/>
  <c r="Y22" i="5"/>
  <c r="F23" i="5"/>
  <c r="W23" i="5" s="1"/>
  <c r="AA24" i="5"/>
  <c r="V49" i="5"/>
  <c r="V51" i="5" s="1"/>
  <c r="AC22" i="4"/>
  <c r="AB34" i="4"/>
  <c r="Y35" i="4"/>
  <c r="V36" i="4"/>
  <c r="AB40" i="4"/>
  <c r="Y41" i="4"/>
  <c r="V42" i="4"/>
  <c r="AB44" i="4"/>
  <c r="Y45" i="4"/>
  <c r="Y49" i="4" s="1"/>
  <c r="Y51" i="4" s="1"/>
  <c r="V46" i="4"/>
  <c r="V49" i="4" s="1"/>
  <c r="V51" i="4" s="1"/>
  <c r="AB48" i="4"/>
  <c r="AC50" i="4"/>
  <c r="AC9" i="5"/>
  <c r="AI11" i="5"/>
  <c r="AJ11" i="5" s="1"/>
  <c r="AC12" i="5"/>
  <c r="Y15" i="5"/>
  <c r="F16" i="5"/>
  <c r="W16" i="5" s="1"/>
  <c r="AA17" i="5"/>
  <c r="AI18" i="5"/>
  <c r="AC19" i="5"/>
  <c r="X20" i="5"/>
  <c r="AE21" i="5"/>
  <c r="Z22" i="5"/>
  <c r="AH23" i="5"/>
  <c r="AB24" i="5"/>
  <c r="AJ30" i="5"/>
  <c r="X33" i="5"/>
  <c r="AD22" i="4"/>
  <c r="AE20" i="6"/>
  <c r="AC34" i="4"/>
  <c r="Z35" i="4"/>
  <c r="W36" i="4"/>
  <c r="AC40" i="4"/>
  <c r="Z41" i="4"/>
  <c r="W42" i="4"/>
  <c r="AC44" i="4"/>
  <c r="Z45" i="4"/>
  <c r="W46" i="4"/>
  <c r="AC48" i="4"/>
  <c r="V58" i="4"/>
  <c r="AD9" i="5"/>
  <c r="AD12" i="5"/>
  <c r="Z15" i="5"/>
  <c r="AH16" i="5"/>
  <c r="AB17" i="5"/>
  <c r="AD19" i="5"/>
  <c r="Y20" i="5"/>
  <c r="F21" i="5"/>
  <c r="W21" i="5" s="1"/>
  <c r="AF21" i="5"/>
  <c r="AA22" i="5"/>
  <c r="AI23" i="5"/>
  <c r="AC24" i="5"/>
  <c r="AB33" i="5"/>
  <c r="W26" i="4"/>
  <c r="AD34" i="4"/>
  <c r="AA35" i="4"/>
  <c r="X36" i="4"/>
  <c r="AD40" i="4"/>
  <c r="AA41" i="4"/>
  <c r="X42" i="4"/>
  <c r="AD44" i="4"/>
  <c r="AA45" i="4"/>
  <c r="X46" i="4"/>
  <c r="AD48" i="4"/>
  <c r="AF50" i="4"/>
  <c r="W58" i="4"/>
  <c r="AA58" i="4" s="1"/>
  <c r="AE9" i="5"/>
  <c r="AE12" i="5"/>
  <c r="AA15" i="5"/>
  <c r="AA25" i="5" s="1"/>
  <c r="AA27" i="5" s="1"/>
  <c r="AI16" i="5"/>
  <c r="AC17" i="5"/>
  <c r="X18" i="5"/>
  <c r="AE19" i="5"/>
  <c r="Z20" i="5"/>
  <c r="AB22" i="5"/>
  <c r="AD24" i="5"/>
  <c r="AD33" i="5"/>
  <c r="X26" i="4"/>
  <c r="V33" i="4"/>
  <c r="AB35" i="4"/>
  <c r="F50" i="5"/>
  <c r="W50" i="5" s="1"/>
  <c r="E26" i="5"/>
  <c r="F9" i="5"/>
  <c r="W9" i="5" s="1"/>
  <c r="F12" i="5"/>
  <c r="W12" i="5" s="1"/>
  <c r="AD17" i="5"/>
  <c r="F19" i="5"/>
  <c r="W19" i="5" s="1"/>
  <c r="AI21" i="5"/>
  <c r="AC22" i="5"/>
  <c r="AE24" i="5"/>
  <c r="AI58" i="5"/>
  <c r="Y26" i="4"/>
  <c r="W33" i="4"/>
  <c r="AC35" i="4"/>
  <c r="Z36" i="4"/>
  <c r="W39" i="4"/>
  <c r="AC41" i="4"/>
  <c r="Z42" i="4"/>
  <c r="W43" i="4"/>
  <c r="AC45" i="4"/>
  <c r="Z46" i="4"/>
  <c r="W47" i="4"/>
  <c r="AH42" i="5"/>
  <c r="AH44" i="5"/>
  <c r="AH39" i="5"/>
  <c r="AH35" i="5"/>
  <c r="AH33" i="5"/>
  <c r="AH46" i="5"/>
  <c r="AH41" i="5"/>
  <c r="AH48" i="5"/>
  <c r="AH43" i="5"/>
  <c r="AH45" i="5"/>
  <c r="AH36" i="5"/>
  <c r="AH34" i="5"/>
  <c r="AH40" i="5"/>
  <c r="AH30" i="5"/>
  <c r="AH54" i="5"/>
  <c r="AH47" i="5"/>
  <c r="AI9" i="5"/>
  <c r="AJ9" i="5" s="1"/>
  <c r="Y11" i="5"/>
  <c r="AE17" i="5"/>
  <c r="Z18" i="5"/>
  <c r="AH19" i="5"/>
  <c r="AB20" i="5"/>
  <c r="AD22" i="5"/>
  <c r="F24" i="5"/>
  <c r="W24" i="5" s="1"/>
  <c r="AF24" i="5"/>
  <c r="F33" i="5"/>
  <c r="W33" i="5" s="1"/>
  <c r="AE39" i="6"/>
  <c r="AI35" i="5"/>
  <c r="AI36" i="5"/>
  <c r="AI30" i="5"/>
  <c r="AI54" i="5"/>
  <c r="F17" i="5"/>
  <c r="W17" i="5" s="1"/>
  <c r="AF17" i="5"/>
  <c r="AI19" i="5"/>
  <c r="AH24" i="5"/>
  <c r="AE33" i="5"/>
  <c r="AC33" i="5"/>
  <c r="AA33" i="5"/>
  <c r="Z33" i="5"/>
  <c r="Y33" i="5"/>
  <c r="F39" i="6"/>
  <c r="AI24" i="5"/>
  <c r="AE29" i="6"/>
  <c r="W34" i="4"/>
  <c r="W40" i="4"/>
  <c r="W44" i="4"/>
  <c r="W48" i="4"/>
  <c r="F47" i="5"/>
  <c r="W47" i="5" s="1"/>
  <c r="F42" i="5"/>
  <c r="W42" i="5" s="1"/>
  <c r="F58" i="5"/>
  <c r="W58" i="5" s="1"/>
  <c r="F44" i="5"/>
  <c r="W44" i="5" s="1"/>
  <c r="F39" i="5"/>
  <c r="W39" i="5" s="1"/>
  <c r="F46" i="5"/>
  <c r="W46" i="5" s="1"/>
  <c r="F57" i="5"/>
  <c r="W57" i="5" s="1"/>
  <c r="F41" i="5"/>
  <c r="W41" i="5" s="1"/>
  <c r="F48" i="5"/>
  <c r="W48" i="5" s="1"/>
  <c r="F43" i="5"/>
  <c r="W43" i="5" s="1"/>
  <c r="F59" i="5"/>
  <c r="W59" i="5" s="1"/>
  <c r="F45" i="5"/>
  <c r="W45" i="5" s="1"/>
  <c r="F36" i="5"/>
  <c r="W36" i="5" s="1"/>
  <c r="F34" i="5"/>
  <c r="W34" i="5" s="1"/>
  <c r="F40" i="5"/>
  <c r="W40" i="5" s="1"/>
  <c r="F10" i="5"/>
  <c r="W10" i="5" s="1"/>
  <c r="F15" i="5"/>
  <c r="W15" i="5" s="1"/>
  <c r="AI17" i="5"/>
  <c r="AH22" i="5"/>
  <c r="AI34" i="5"/>
  <c r="Y22" i="4"/>
  <c r="Y25" i="4" s="1"/>
  <c r="Y27" i="4" s="1"/>
  <c r="AC26" i="4"/>
  <c r="AA33" i="4"/>
  <c r="X34" i="4"/>
  <c r="AA39" i="4"/>
  <c r="X40" i="4"/>
  <c r="AA43" i="4"/>
  <c r="X44" i="4"/>
  <c r="X49" i="4" s="1"/>
  <c r="X51" i="4" s="1"/>
  <c r="AA47" i="4"/>
  <c r="X48" i="4"/>
  <c r="AI10" i="5"/>
  <c r="AJ10" i="5" s="1"/>
  <c r="AH15" i="5"/>
  <c r="F20" i="5"/>
  <c r="W20" i="5" s="1"/>
  <c r="AI22" i="5"/>
  <c r="X24" i="5"/>
  <c r="F35" i="5"/>
  <c r="W35" i="5" s="1"/>
  <c r="AI59" i="5"/>
  <c r="AI44" i="5"/>
  <c r="AI50" i="5"/>
  <c r="AI39" i="5"/>
  <c r="AI33" i="5"/>
  <c r="AI46" i="5"/>
  <c r="AI41" i="5"/>
  <c r="AI48" i="5"/>
  <c r="AI43" i="5"/>
  <c r="AI45" i="5"/>
  <c r="AI40" i="5"/>
  <c r="AI47" i="5"/>
  <c r="AI42" i="5"/>
  <c r="AH6" i="5"/>
  <c r="AI15" i="5"/>
  <c r="AH20" i="5"/>
  <c r="AJ20" i="5" s="1"/>
  <c r="F26" i="5"/>
  <c r="AE34" i="5"/>
  <c r="Y35" i="5"/>
  <c r="AE36" i="5"/>
  <c r="Y39" i="5"/>
  <c r="AF40" i="5"/>
  <c r="AA41" i="5"/>
  <c r="AC43" i="5"/>
  <c r="X44" i="5"/>
  <c r="X49" i="5" s="1"/>
  <c r="X51" i="5" s="1"/>
  <c r="AE45" i="5"/>
  <c r="Z46" i="5"/>
  <c r="AB48" i="5"/>
  <c r="Y50" i="5"/>
  <c r="AA57" i="5"/>
  <c r="AE57" i="5" s="1"/>
  <c r="AF12" i="6"/>
  <c r="AE15" i="6"/>
  <c r="AE28" i="6"/>
  <c r="AF35" i="6"/>
  <c r="AF34" i="5"/>
  <c r="Z35" i="5"/>
  <c r="AF36" i="5"/>
  <c r="Z39" i="5"/>
  <c r="AB41" i="5"/>
  <c r="AD43" i="5"/>
  <c r="Y44" i="5"/>
  <c r="AF45" i="5"/>
  <c r="AA46" i="5"/>
  <c r="AC48" i="5"/>
  <c r="Z50" i="5"/>
  <c r="AB57" i="5"/>
  <c r="AF57" i="5" s="1"/>
  <c r="AI57" i="5" s="1"/>
  <c r="X58" i="5"/>
  <c r="AB10" i="6"/>
  <c r="AE11" i="6"/>
  <c r="AG11" i="6" s="1"/>
  <c r="AF15" i="6"/>
  <c r="AF18" i="6"/>
  <c r="AF28" i="6"/>
  <c r="AE33" i="6"/>
  <c r="AA35" i="5"/>
  <c r="AA39" i="5"/>
  <c r="AA49" i="5" s="1"/>
  <c r="AA51" i="5" s="1"/>
  <c r="AC41" i="5"/>
  <c r="X42" i="5"/>
  <c r="AE43" i="5"/>
  <c r="AB46" i="5"/>
  <c r="AD48" i="5"/>
  <c r="Y58" i="5"/>
  <c r="AC58" i="5" s="1"/>
  <c r="AF11" i="6"/>
  <c r="AF33" i="6"/>
  <c r="Y42" i="5"/>
  <c r="AC46" i="5"/>
  <c r="AB50" i="5"/>
  <c r="AF50" i="5" s="1"/>
  <c r="AE10" i="6"/>
  <c r="AE31" i="6"/>
  <c r="AC35" i="5"/>
  <c r="AC39" i="5"/>
  <c r="AE41" i="5"/>
  <c r="Z42" i="5"/>
  <c r="AD46" i="5"/>
  <c r="AF48" i="5"/>
  <c r="AC50" i="5"/>
  <c r="AA58" i="5"/>
  <c r="AE58" i="5" s="1"/>
  <c r="AF10" i="6"/>
  <c r="I23" i="6"/>
  <c r="AJ23" i="6"/>
  <c r="AF31" i="6"/>
  <c r="AE36" i="6"/>
  <c r="AD39" i="5"/>
  <c r="AF41" i="5"/>
  <c r="AA42" i="5"/>
  <c r="AE46" i="5"/>
  <c r="AD50" i="5"/>
  <c r="F20" i="6"/>
  <c r="AE6" i="6"/>
  <c r="AE9" i="6"/>
  <c r="AE14" i="6"/>
  <c r="AG14" i="6" s="1"/>
  <c r="AB16" i="6"/>
  <c r="E20" i="6"/>
  <c r="AF25" i="6"/>
  <c r="AF36" i="6"/>
  <c r="AA42" i="6"/>
  <c r="Z42" i="6"/>
  <c r="W42" i="6"/>
  <c r="K42" i="6"/>
  <c r="V42" i="6"/>
  <c r="AB42" i="5"/>
  <c r="AF46" i="5"/>
  <c r="AE18" i="6"/>
  <c r="AE25" i="6"/>
  <c r="AE45" i="6"/>
  <c r="AF6" i="6"/>
  <c r="AF9" i="6"/>
  <c r="AE16" i="6"/>
  <c r="AG25" i="6"/>
  <c r="AF29" i="6"/>
  <c r="AE34" i="6"/>
  <c r="J42" i="6"/>
  <c r="X42" i="6"/>
  <c r="AC42" i="5"/>
  <c r="AF17" i="6"/>
  <c r="AF45" i="6"/>
  <c r="AG6" i="6"/>
  <c r="AF16" i="6"/>
  <c r="AF34" i="6"/>
  <c r="AD42" i="5"/>
  <c r="Y43" i="5"/>
  <c r="X48" i="5"/>
  <c r="AE13" i="6"/>
  <c r="AF20" i="6"/>
  <c r="AE32" i="6"/>
  <c r="AE42" i="5"/>
  <c r="X57" i="5"/>
  <c r="F3" i="6"/>
  <c r="AF13" i="6"/>
  <c r="AC17" i="6"/>
  <c r="AF32" i="6"/>
  <c r="AE37" i="6"/>
  <c r="AG37" i="6" s="1"/>
  <c r="AC42" i="6"/>
  <c r="X46" i="5"/>
  <c r="AE17" i="6"/>
  <c r="AE30" i="6"/>
  <c r="AF48" i="6"/>
  <c r="AF39" i="6"/>
  <c r="AE12" i="6"/>
  <c r="AF30" i="6"/>
  <c r="AE35" i="6"/>
  <c r="AF54" i="6"/>
  <c r="X50" i="6"/>
  <c r="L53" i="6"/>
  <c r="N53" i="6" s="1"/>
  <c r="P53" i="6" s="1"/>
  <c r="R53" i="6" s="1"/>
  <c r="T53" i="6" s="1"/>
  <c r="X53" i="6"/>
  <c r="A4" i="7"/>
  <c r="H66" i="8"/>
  <c r="I66" i="8" s="1"/>
  <c r="J66" i="8" s="1"/>
  <c r="K66" i="8" s="1"/>
  <c r="L66" i="8" s="1"/>
  <c r="M66" i="8" s="1"/>
  <c r="N66" i="8" s="1"/>
  <c r="Y50" i="6"/>
  <c r="Y53" i="6"/>
  <c r="O3" i="10"/>
  <c r="O4" i="7"/>
  <c r="Z50" i="6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C12" i="7"/>
  <c r="D12" i="7" s="1"/>
  <c r="G67" i="8"/>
  <c r="H67" i="8" s="1"/>
  <c r="I67" i="8" s="1"/>
  <c r="J67" i="8" s="1"/>
  <c r="AC50" i="6"/>
  <c r="AF50" i="6" s="1"/>
  <c r="AE56" i="6"/>
  <c r="AE50" i="6"/>
  <c r="K56" i="6"/>
  <c r="F26" i="8"/>
  <c r="G26" i="8" s="1"/>
  <c r="H26" i="8" s="1"/>
  <c r="I26" i="8" s="1"/>
  <c r="J26" i="8" s="1"/>
  <c r="K26" i="8" s="1"/>
  <c r="L26" i="8" s="1"/>
  <c r="M26" i="8" s="1"/>
  <c r="N26" i="8" s="1"/>
  <c r="K50" i="6"/>
  <c r="A2" i="7"/>
  <c r="C42" i="8"/>
  <c r="D42" i="8" s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E24" i="8"/>
  <c r="H63" i="8"/>
  <c r="J64" i="8"/>
  <c r="J63" i="8"/>
  <c r="K64" i="8"/>
  <c r="O10" i="8"/>
  <c r="C27" i="8"/>
  <c r="C68" i="8"/>
  <c r="D68" i="8" s="1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K63" i="8"/>
  <c r="I63" i="8"/>
  <c r="I64" i="8"/>
  <c r="G64" i="8"/>
  <c r="O2" i="9"/>
  <c r="O3" i="9"/>
  <c r="U8" i="15"/>
  <c r="AF8" i="15"/>
  <c r="T8" i="15"/>
  <c r="AE8" i="15"/>
  <c r="AD8" i="15"/>
  <c r="AC8" i="15"/>
  <c r="AB8" i="15"/>
  <c r="AA8" i="15"/>
  <c r="Z8" i="15"/>
  <c r="Y8" i="15"/>
  <c r="AJ8" i="15"/>
  <c r="X8" i="15"/>
  <c r="W8" i="15"/>
  <c r="V8" i="15"/>
  <c r="O6" i="9"/>
  <c r="M9" i="13"/>
  <c r="L9" i="13"/>
  <c r="J9" i="13"/>
  <c r="I9" i="13" s="1"/>
  <c r="G9" i="13"/>
  <c r="AG5" i="15"/>
  <c r="Z9" i="15"/>
  <c r="Y9" i="15"/>
  <c r="AJ9" i="15"/>
  <c r="X9" i="15"/>
  <c r="W9" i="15"/>
  <c r="V9" i="15"/>
  <c r="U9" i="15"/>
  <c r="AF9" i="15"/>
  <c r="T9" i="15"/>
  <c r="AE9" i="15"/>
  <c r="AD9" i="15"/>
  <c r="AC9" i="15"/>
  <c r="AB9" i="15"/>
  <c r="AA9" i="15"/>
  <c r="O7" i="9"/>
  <c r="M137" i="13"/>
  <c r="L137" i="13"/>
  <c r="K137" i="13"/>
  <c r="J137" i="13"/>
  <c r="I137" i="13" s="1"/>
  <c r="G137" i="13"/>
  <c r="O112" i="12"/>
  <c r="N112" i="12"/>
  <c r="M112" i="12"/>
  <c r="J112" i="12"/>
  <c r="E111" i="12"/>
  <c r="K9" i="13"/>
  <c r="AK4" i="15"/>
  <c r="AH4" i="15"/>
  <c r="G111" i="12"/>
  <c r="H115" i="12" s="1"/>
  <c r="I115" i="12" s="1"/>
  <c r="J115" i="12" s="1"/>
  <c r="K114" i="12" s="1"/>
  <c r="L115" i="12" s="1"/>
  <c r="M115" i="12" s="1"/>
  <c r="N115" i="12" s="1"/>
  <c r="O115" i="12" s="1"/>
  <c r="M18" i="13"/>
  <c r="L18" i="13"/>
  <c r="K18" i="13"/>
  <c r="J18" i="13"/>
  <c r="I18" i="13" s="1"/>
  <c r="G18" i="13"/>
  <c r="M30" i="13"/>
  <c r="L30" i="13"/>
  <c r="K30" i="13"/>
  <c r="J30" i="13"/>
  <c r="I30" i="13" s="1"/>
  <c r="G30" i="13"/>
  <c r="AK5" i="15"/>
  <c r="AH5" i="15"/>
  <c r="F116" i="12"/>
  <c r="G112" i="12" s="1"/>
  <c r="H116" i="12" s="1"/>
  <c r="I116" i="12" s="1"/>
  <c r="J116" i="12" s="1"/>
  <c r="K115" i="12" s="1"/>
  <c r="L116" i="12" s="1"/>
  <c r="M116" i="12" s="1"/>
  <c r="N116" i="12" s="1"/>
  <c r="O116" i="12" s="1"/>
  <c r="M42" i="13"/>
  <c r="L42" i="13"/>
  <c r="K42" i="13"/>
  <c r="J42" i="13"/>
  <c r="I42" i="13" s="1"/>
  <c r="G42" i="13"/>
  <c r="M54" i="13"/>
  <c r="L54" i="13"/>
  <c r="K54" i="13"/>
  <c r="J54" i="13"/>
  <c r="I54" i="13" s="1"/>
  <c r="G54" i="13"/>
  <c r="G108" i="12"/>
  <c r="M66" i="13"/>
  <c r="L66" i="13"/>
  <c r="K66" i="13"/>
  <c r="J66" i="13"/>
  <c r="I66" i="13" s="1"/>
  <c r="G66" i="13"/>
  <c r="M78" i="13"/>
  <c r="L78" i="13"/>
  <c r="K78" i="13"/>
  <c r="J78" i="13"/>
  <c r="I78" i="13" s="1"/>
  <c r="G78" i="13"/>
  <c r="AI4" i="15"/>
  <c r="AK8" i="15"/>
  <c r="AH8" i="15"/>
  <c r="AI5" i="15"/>
  <c r="AK9" i="15"/>
  <c r="AH9" i="15"/>
  <c r="L7" i="13"/>
  <c r="K7" i="13"/>
  <c r="J7" i="13"/>
  <c r="I7" i="13" s="1"/>
  <c r="G14" i="13"/>
  <c r="M14" i="13"/>
  <c r="L14" i="13"/>
  <c r="K111" i="12"/>
  <c r="G26" i="13"/>
  <c r="M26" i="13"/>
  <c r="L26" i="13"/>
  <c r="K26" i="13"/>
  <c r="G38" i="13"/>
  <c r="M38" i="13"/>
  <c r="L38" i="13"/>
  <c r="K38" i="13"/>
  <c r="Y4" i="15"/>
  <c r="AJ4" i="15"/>
  <c r="X4" i="15"/>
  <c r="W4" i="15"/>
  <c r="V4" i="15"/>
  <c r="U4" i="15"/>
  <c r="AF4" i="15"/>
  <c r="T4" i="15"/>
  <c r="AE4" i="15"/>
  <c r="AD4" i="15"/>
  <c r="AC4" i="15"/>
  <c r="AB4" i="15"/>
  <c r="AA4" i="15"/>
  <c r="Z4" i="15"/>
  <c r="O4" i="9"/>
  <c r="E115" i="12"/>
  <c r="D112" i="12"/>
  <c r="D117" i="12" s="1"/>
  <c r="G7" i="13"/>
  <c r="J14" i="13"/>
  <c r="I14" i="13" s="1"/>
  <c r="L19" i="13"/>
  <c r="K19" i="13"/>
  <c r="J19" i="13"/>
  <c r="I19" i="13" s="1"/>
  <c r="G19" i="13"/>
  <c r="AD5" i="15"/>
  <c r="AC5" i="15"/>
  <c r="AB5" i="15"/>
  <c r="AA5" i="15"/>
  <c r="Z5" i="15"/>
  <c r="Y5" i="15"/>
  <c r="AJ5" i="15"/>
  <c r="X5" i="15"/>
  <c r="W5" i="15"/>
  <c r="V5" i="15"/>
  <c r="U5" i="15"/>
  <c r="AF5" i="15"/>
  <c r="T5" i="15"/>
  <c r="AE5" i="15"/>
  <c r="O5" i="9"/>
  <c r="AI9" i="15"/>
  <c r="F112" i="12"/>
  <c r="L117" i="13"/>
  <c r="J117" i="13"/>
  <c r="I117" i="13" s="1"/>
  <c r="G117" i="13"/>
  <c r="M117" i="13"/>
  <c r="K117" i="13"/>
  <c r="H112" i="12"/>
  <c r="M6" i="13"/>
  <c r="L6" i="13"/>
  <c r="K6" i="13"/>
  <c r="J6" i="13"/>
  <c r="I6" i="13" s="1"/>
  <c r="K50" i="13"/>
  <c r="K62" i="13"/>
  <c r="K74" i="13"/>
  <c r="K88" i="13"/>
  <c r="K89" i="13"/>
  <c r="K90" i="13"/>
  <c r="L91" i="13"/>
  <c r="L103" i="13"/>
  <c r="K103" i="13"/>
  <c r="M124" i="13"/>
  <c r="L124" i="13"/>
  <c r="K124" i="13"/>
  <c r="J124" i="13"/>
  <c r="I124" i="13" s="1"/>
  <c r="L50" i="13"/>
  <c r="L62" i="13"/>
  <c r="L74" i="13"/>
  <c r="L88" i="13"/>
  <c r="L89" i="13"/>
  <c r="M90" i="13"/>
  <c r="M91" i="13"/>
  <c r="M102" i="13"/>
  <c r="L102" i="13"/>
  <c r="M112" i="13"/>
  <c r="J112" i="13"/>
  <c r="I112" i="13" s="1"/>
  <c r="M149" i="13"/>
  <c r="L149" i="13"/>
  <c r="K149" i="13"/>
  <c r="J149" i="13"/>
  <c r="I149" i="13" s="1"/>
  <c r="G149" i="13"/>
  <c r="G31" i="13"/>
  <c r="G43" i="13"/>
  <c r="M50" i="13"/>
  <c r="G55" i="13"/>
  <c r="M62" i="13"/>
  <c r="G67" i="13"/>
  <c r="M74" i="13"/>
  <c r="M88" i="13"/>
  <c r="J95" i="13"/>
  <c r="I95" i="13" s="1"/>
  <c r="G95" i="13"/>
  <c r="G103" i="13"/>
  <c r="L110" i="13"/>
  <c r="K110" i="13"/>
  <c r="M122" i="13"/>
  <c r="L122" i="13"/>
  <c r="K122" i="13"/>
  <c r="M126" i="13"/>
  <c r="L126" i="13"/>
  <c r="K126" i="13"/>
  <c r="J126" i="13"/>
  <c r="I126" i="13" s="1"/>
  <c r="G126" i="13"/>
  <c r="G8" i="13"/>
  <c r="G20" i="13"/>
  <c r="G32" i="13"/>
  <c r="G44" i="13"/>
  <c r="G56" i="13"/>
  <c r="G68" i="13"/>
  <c r="G80" i="13"/>
  <c r="G100" i="13"/>
  <c r="G101" i="13"/>
  <c r="G102" i="13"/>
  <c r="G112" i="13"/>
  <c r="G21" i="13"/>
  <c r="J31" i="13"/>
  <c r="I31" i="13" s="1"/>
  <c r="G33" i="13"/>
  <c r="J43" i="13"/>
  <c r="I43" i="13" s="1"/>
  <c r="G45" i="13"/>
  <c r="J55" i="13"/>
  <c r="I55" i="13" s="1"/>
  <c r="G57" i="13"/>
  <c r="J67" i="13"/>
  <c r="I67" i="13" s="1"/>
  <c r="G69" i="13"/>
  <c r="J79" i="13"/>
  <c r="I79" i="13" s="1"/>
  <c r="G81" i="13"/>
  <c r="K94" i="13"/>
  <c r="G94" i="13"/>
  <c r="J98" i="13"/>
  <c r="I98" i="13" s="1"/>
  <c r="J103" i="13"/>
  <c r="I103" i="13" s="1"/>
  <c r="J107" i="13"/>
  <c r="I107" i="13" s="1"/>
  <c r="G107" i="13"/>
  <c r="G110" i="13"/>
  <c r="K112" i="13"/>
  <c r="G122" i="13"/>
  <c r="J8" i="13"/>
  <c r="I8" i="13" s="1"/>
  <c r="J20" i="13"/>
  <c r="I20" i="13" s="1"/>
  <c r="K31" i="13"/>
  <c r="J32" i="13"/>
  <c r="I32" i="13" s="1"/>
  <c r="K43" i="13"/>
  <c r="J44" i="13"/>
  <c r="I44" i="13" s="1"/>
  <c r="K55" i="13"/>
  <c r="J56" i="13"/>
  <c r="I56" i="13" s="1"/>
  <c r="G58" i="13"/>
  <c r="K67" i="13"/>
  <c r="J68" i="13"/>
  <c r="I68" i="13" s="1"/>
  <c r="G70" i="13"/>
  <c r="K79" i="13"/>
  <c r="J80" i="13"/>
  <c r="I80" i="13" s="1"/>
  <c r="G82" i="13"/>
  <c r="K95" i="13"/>
  <c r="K98" i="13"/>
  <c r="J100" i="13"/>
  <c r="I100" i="13" s="1"/>
  <c r="J101" i="13"/>
  <c r="I101" i="13" s="1"/>
  <c r="J102" i="13"/>
  <c r="I102" i="13" s="1"/>
  <c r="M103" i="13"/>
  <c r="L112" i="13"/>
  <c r="M138" i="13"/>
  <c r="L138" i="13"/>
  <c r="K138" i="13"/>
  <c r="J138" i="13"/>
  <c r="I138" i="13" s="1"/>
  <c r="G138" i="13"/>
  <c r="K8" i="13"/>
  <c r="G11" i="13"/>
  <c r="K20" i="13"/>
  <c r="J21" i="13"/>
  <c r="I21" i="13" s="1"/>
  <c r="G23" i="13"/>
  <c r="K32" i="13"/>
  <c r="J33" i="13"/>
  <c r="I33" i="13" s="1"/>
  <c r="G35" i="13"/>
  <c r="K44" i="13"/>
  <c r="J45" i="13"/>
  <c r="I45" i="13" s="1"/>
  <c r="G47" i="13"/>
  <c r="K56" i="13"/>
  <c r="J57" i="13"/>
  <c r="I57" i="13" s="1"/>
  <c r="K68" i="13"/>
  <c r="J69" i="13"/>
  <c r="I69" i="13" s="1"/>
  <c r="K80" i="13"/>
  <c r="J81" i="13"/>
  <c r="I81" i="13" s="1"/>
  <c r="L93" i="13"/>
  <c r="J93" i="13"/>
  <c r="I93" i="13" s="1"/>
  <c r="L95" i="13"/>
  <c r="K100" i="13"/>
  <c r="K101" i="13"/>
  <c r="K102" i="13"/>
  <c r="K106" i="13"/>
  <c r="G106" i="13"/>
  <c r="J110" i="13"/>
  <c r="I110" i="13" s="1"/>
  <c r="J122" i="13"/>
  <c r="I122" i="13" s="1"/>
  <c r="M92" i="13"/>
  <c r="J92" i="13"/>
  <c r="I92" i="13" s="1"/>
  <c r="M114" i="13"/>
  <c r="L114" i="13"/>
  <c r="K114" i="13"/>
  <c r="G114" i="13"/>
  <c r="M125" i="13"/>
  <c r="L125" i="13"/>
  <c r="K125" i="13"/>
  <c r="J125" i="13"/>
  <c r="I125" i="13" s="1"/>
  <c r="G125" i="13"/>
  <c r="M134" i="13"/>
  <c r="L134" i="13"/>
  <c r="K134" i="13"/>
  <c r="G134" i="13"/>
  <c r="K10" i="13"/>
  <c r="J11" i="13"/>
  <c r="I11" i="13" s="1"/>
  <c r="G13" i="13"/>
  <c r="L21" i="13"/>
  <c r="K22" i="13"/>
  <c r="J23" i="13"/>
  <c r="I23" i="13" s="1"/>
  <c r="G25" i="13"/>
  <c r="L33" i="13"/>
  <c r="K34" i="13"/>
  <c r="J35" i="13"/>
  <c r="I35" i="13" s="1"/>
  <c r="G37" i="13"/>
  <c r="L45" i="13"/>
  <c r="K46" i="13"/>
  <c r="J47" i="13"/>
  <c r="I47" i="13" s="1"/>
  <c r="G49" i="13"/>
  <c r="L57" i="13"/>
  <c r="K58" i="13"/>
  <c r="J59" i="13"/>
  <c r="I59" i="13" s="1"/>
  <c r="G61" i="13"/>
  <c r="L69" i="13"/>
  <c r="K70" i="13"/>
  <c r="J71" i="13"/>
  <c r="I71" i="13" s="1"/>
  <c r="G73" i="13"/>
  <c r="L81" i="13"/>
  <c r="K82" i="13"/>
  <c r="J83" i="13"/>
  <c r="I83" i="13" s="1"/>
  <c r="G93" i="13"/>
  <c r="M94" i="13"/>
  <c r="J106" i="13"/>
  <c r="I106" i="13" s="1"/>
  <c r="L107" i="13"/>
  <c r="L10" i="13"/>
  <c r="K11" i="13"/>
  <c r="J12" i="13"/>
  <c r="I12" i="13" s="1"/>
  <c r="L22" i="13"/>
  <c r="K23" i="13"/>
  <c r="J24" i="13"/>
  <c r="I24" i="13" s="1"/>
  <c r="L34" i="13"/>
  <c r="K35" i="13"/>
  <c r="J36" i="13"/>
  <c r="I36" i="13" s="1"/>
  <c r="L46" i="13"/>
  <c r="K47" i="13"/>
  <c r="J48" i="13"/>
  <c r="I48" i="13" s="1"/>
  <c r="L58" i="13"/>
  <c r="K59" i="13"/>
  <c r="J60" i="13"/>
  <c r="I60" i="13" s="1"/>
  <c r="L70" i="13"/>
  <c r="K71" i="13"/>
  <c r="J72" i="13"/>
  <c r="I72" i="13" s="1"/>
  <c r="L82" i="13"/>
  <c r="K83" i="13"/>
  <c r="J85" i="13"/>
  <c r="I85" i="13" s="1"/>
  <c r="J86" i="13"/>
  <c r="I86" i="13" s="1"/>
  <c r="G89" i="13"/>
  <c r="G90" i="13"/>
  <c r="G91" i="13"/>
  <c r="G92" i="13"/>
  <c r="K93" i="13"/>
  <c r="L105" i="13"/>
  <c r="J105" i="13"/>
  <c r="I105" i="13" s="1"/>
  <c r="L106" i="13"/>
  <c r="M107" i="13"/>
  <c r="K85" i="13"/>
  <c r="M93" i="13"/>
  <c r="M106" i="13"/>
  <c r="M113" i="13"/>
  <c r="L113" i="13"/>
  <c r="G113" i="13"/>
  <c r="J114" i="13"/>
  <c r="I114" i="13" s="1"/>
  <c r="J134" i="13"/>
  <c r="I134" i="13" s="1"/>
  <c r="G146" i="13"/>
  <c r="G158" i="13"/>
  <c r="G170" i="13"/>
  <c r="K227" i="13"/>
  <c r="J227" i="13"/>
  <c r="I227" i="13" s="1"/>
  <c r="G227" i="13"/>
  <c r="L238" i="13"/>
  <c r="K238" i="13"/>
  <c r="M249" i="13"/>
  <c r="L249" i="13"/>
  <c r="J249" i="13"/>
  <c r="I249" i="13" s="1"/>
  <c r="L226" i="13"/>
  <c r="K226" i="13"/>
  <c r="M285" i="13"/>
  <c r="L285" i="13"/>
  <c r="K285" i="13"/>
  <c r="J285" i="13"/>
  <c r="I285" i="13" s="1"/>
  <c r="G285" i="13"/>
  <c r="M321" i="13"/>
  <c r="L321" i="13"/>
  <c r="K321" i="13"/>
  <c r="J321" i="13"/>
  <c r="I321" i="13" s="1"/>
  <c r="G321" i="13"/>
  <c r="V7" i="14"/>
  <c r="V15" i="14" s="1"/>
  <c r="M225" i="13"/>
  <c r="L225" i="13"/>
  <c r="M237" i="13"/>
  <c r="L237" i="13"/>
  <c r="J237" i="13"/>
  <c r="I237" i="13" s="1"/>
  <c r="M248" i="13"/>
  <c r="K248" i="13"/>
  <c r="K254" i="13"/>
  <c r="G254" i="13"/>
  <c r="M261" i="13"/>
  <c r="L261" i="13"/>
  <c r="J261" i="13"/>
  <c r="I261" i="13" s="1"/>
  <c r="G261" i="13"/>
  <c r="W7" i="14"/>
  <c r="W15" i="14" s="1"/>
  <c r="K146" i="13"/>
  <c r="L157" i="13"/>
  <c r="K158" i="13"/>
  <c r="G161" i="13"/>
  <c r="L169" i="13"/>
  <c r="K170" i="13"/>
  <c r="G173" i="13"/>
  <c r="L181" i="13"/>
  <c r="K182" i="13"/>
  <c r="G185" i="13"/>
  <c r="L193" i="13"/>
  <c r="K194" i="13"/>
  <c r="G197" i="13"/>
  <c r="L205" i="13"/>
  <c r="K206" i="13"/>
  <c r="G209" i="13"/>
  <c r="K218" i="13"/>
  <c r="G218" i="13"/>
  <c r="G222" i="13"/>
  <c r="G226" i="13"/>
  <c r="L227" i="13"/>
  <c r="J238" i="13"/>
  <c r="I238" i="13" s="1"/>
  <c r="G246" i="13"/>
  <c r="M272" i="13"/>
  <c r="L272" i="13"/>
  <c r="K272" i="13"/>
  <c r="J272" i="13"/>
  <c r="I272" i="13" s="1"/>
  <c r="M413" i="13"/>
  <c r="L413" i="13"/>
  <c r="K413" i="13"/>
  <c r="J413" i="13"/>
  <c r="I413" i="13" s="1"/>
  <c r="G413" i="13"/>
  <c r="M121" i="13"/>
  <c r="M133" i="13"/>
  <c r="J136" i="13"/>
  <c r="I136" i="13" s="1"/>
  <c r="M145" i="13"/>
  <c r="L146" i="13"/>
  <c r="J148" i="13"/>
  <c r="I148" i="13" s="1"/>
  <c r="G150" i="13"/>
  <c r="M157" i="13"/>
  <c r="L158" i="13"/>
  <c r="J160" i="13"/>
  <c r="I160" i="13" s="1"/>
  <c r="G162" i="13"/>
  <c r="M169" i="13"/>
  <c r="L170" i="13"/>
  <c r="J172" i="13"/>
  <c r="I172" i="13" s="1"/>
  <c r="G174" i="13"/>
  <c r="M181" i="13"/>
  <c r="L182" i="13"/>
  <c r="J184" i="13"/>
  <c r="I184" i="13" s="1"/>
  <c r="G186" i="13"/>
  <c r="L194" i="13"/>
  <c r="J196" i="13"/>
  <c r="I196" i="13" s="1"/>
  <c r="G198" i="13"/>
  <c r="L206" i="13"/>
  <c r="J208" i="13"/>
  <c r="I208" i="13" s="1"/>
  <c r="G210" i="13"/>
  <c r="G225" i="13"/>
  <c r="M227" i="13"/>
  <c r="M236" i="13"/>
  <c r="K236" i="13"/>
  <c r="G237" i="13"/>
  <c r="M238" i="13"/>
  <c r="K242" i="13"/>
  <c r="G242" i="13"/>
  <c r="G248" i="13"/>
  <c r="K249" i="13"/>
  <c r="J254" i="13"/>
  <c r="I254" i="13" s="1"/>
  <c r="K261" i="13"/>
  <c r="M310" i="13"/>
  <c r="L310" i="13"/>
  <c r="K310" i="13"/>
  <c r="J310" i="13"/>
  <c r="I310" i="13" s="1"/>
  <c r="G310" i="13"/>
  <c r="M333" i="13"/>
  <c r="L333" i="13"/>
  <c r="K333" i="13"/>
  <c r="J333" i="13"/>
  <c r="I333" i="13" s="1"/>
  <c r="G333" i="13"/>
  <c r="J476" i="13"/>
  <c r="I476" i="13" s="1"/>
  <c r="M476" i="13"/>
  <c r="L476" i="13"/>
  <c r="K476" i="13"/>
  <c r="G476" i="13"/>
  <c r="K136" i="13"/>
  <c r="K148" i="13"/>
  <c r="K160" i="13"/>
  <c r="J161" i="13"/>
  <c r="I161" i="13" s="1"/>
  <c r="K172" i="13"/>
  <c r="J173" i="13"/>
  <c r="I173" i="13" s="1"/>
  <c r="K184" i="13"/>
  <c r="J185" i="13"/>
  <c r="I185" i="13" s="1"/>
  <c r="K196" i="13"/>
  <c r="J197" i="13"/>
  <c r="I197" i="13" s="1"/>
  <c r="K208" i="13"/>
  <c r="J209" i="13"/>
  <c r="I209" i="13" s="1"/>
  <c r="M216" i="13"/>
  <c r="J216" i="13"/>
  <c r="I216" i="13" s="1"/>
  <c r="J221" i="13"/>
  <c r="I221" i="13" s="1"/>
  <c r="J222" i="13"/>
  <c r="I222" i="13" s="1"/>
  <c r="J226" i="13"/>
  <c r="I226" i="13" s="1"/>
  <c r="J245" i="13"/>
  <c r="I245" i="13" s="1"/>
  <c r="J246" i="13"/>
  <c r="I246" i="13" s="1"/>
  <c r="L254" i="13"/>
  <c r="M274" i="13"/>
  <c r="L274" i="13"/>
  <c r="K274" i="13"/>
  <c r="J274" i="13"/>
  <c r="I274" i="13" s="1"/>
  <c r="G274" i="13"/>
  <c r="M297" i="13"/>
  <c r="L297" i="13"/>
  <c r="K297" i="13"/>
  <c r="J297" i="13"/>
  <c r="I297" i="13" s="1"/>
  <c r="G297" i="13"/>
  <c r="L136" i="13"/>
  <c r="L148" i="13"/>
  <c r="J150" i="13"/>
  <c r="I150" i="13" s="1"/>
  <c r="L160" i="13"/>
  <c r="K161" i="13"/>
  <c r="J162" i="13"/>
  <c r="I162" i="13" s="1"/>
  <c r="L172" i="13"/>
  <c r="K173" i="13"/>
  <c r="J174" i="13"/>
  <c r="I174" i="13" s="1"/>
  <c r="L184" i="13"/>
  <c r="K185" i="13"/>
  <c r="J186" i="13"/>
  <c r="I186" i="13" s="1"/>
  <c r="G188" i="13"/>
  <c r="L196" i="13"/>
  <c r="K197" i="13"/>
  <c r="J198" i="13"/>
  <c r="I198" i="13" s="1"/>
  <c r="G200" i="13"/>
  <c r="L208" i="13"/>
  <c r="K209" i="13"/>
  <c r="J210" i="13"/>
  <c r="I210" i="13" s="1"/>
  <c r="G212" i="13"/>
  <c r="G217" i="13"/>
  <c r="J218" i="13"/>
  <c r="I218" i="13" s="1"/>
  <c r="K221" i="13"/>
  <c r="K222" i="13"/>
  <c r="J225" i="13"/>
  <c r="I225" i="13" s="1"/>
  <c r="M226" i="13"/>
  <c r="K230" i="13"/>
  <c r="G230" i="13"/>
  <c r="G236" i="13"/>
  <c r="K237" i="13"/>
  <c r="K245" i="13"/>
  <c r="K246" i="13"/>
  <c r="J248" i="13"/>
  <c r="I248" i="13" s="1"/>
  <c r="M254" i="13"/>
  <c r="M260" i="13"/>
  <c r="K260" i="13"/>
  <c r="J260" i="13"/>
  <c r="I260" i="13" s="1"/>
  <c r="M341" i="13"/>
  <c r="L341" i="13"/>
  <c r="J341" i="13"/>
  <c r="I341" i="13" s="1"/>
  <c r="K341" i="13"/>
  <c r="G341" i="13"/>
  <c r="J115" i="13"/>
  <c r="I115" i="13" s="1"/>
  <c r="G129" i="13"/>
  <c r="G141" i="13"/>
  <c r="K150" i="13"/>
  <c r="G153" i="13"/>
  <c r="L161" i="13"/>
  <c r="K162" i="13"/>
  <c r="G165" i="13"/>
  <c r="L173" i="13"/>
  <c r="K174" i="13"/>
  <c r="G177" i="13"/>
  <c r="L185" i="13"/>
  <c r="K186" i="13"/>
  <c r="G189" i="13"/>
  <c r="L197" i="13"/>
  <c r="K198" i="13"/>
  <c r="G201" i="13"/>
  <c r="L209" i="13"/>
  <c r="K210" i="13"/>
  <c r="G213" i="13"/>
  <c r="G214" i="13"/>
  <c r="G215" i="13"/>
  <c r="G216" i="13"/>
  <c r="L221" i="13"/>
  <c r="L222" i="13"/>
  <c r="K225" i="13"/>
  <c r="L245" i="13"/>
  <c r="L246" i="13"/>
  <c r="L248" i="13"/>
  <c r="M286" i="13"/>
  <c r="L286" i="13"/>
  <c r="K286" i="13"/>
  <c r="J286" i="13"/>
  <c r="I286" i="13" s="1"/>
  <c r="G286" i="13"/>
  <c r="M322" i="13"/>
  <c r="L322" i="13"/>
  <c r="K322" i="13"/>
  <c r="J322" i="13"/>
  <c r="I322" i="13" s="1"/>
  <c r="G322" i="13"/>
  <c r="J104" i="13"/>
  <c r="I104" i="13" s="1"/>
  <c r="K115" i="13"/>
  <c r="J116" i="13"/>
  <c r="I116" i="13" s="1"/>
  <c r="G118" i="13"/>
  <c r="K127" i="13"/>
  <c r="J128" i="13"/>
  <c r="I128" i="13" s="1"/>
  <c r="G130" i="13"/>
  <c r="K139" i="13"/>
  <c r="J140" i="13"/>
  <c r="I140" i="13" s="1"/>
  <c r="G142" i="13"/>
  <c r="L150" i="13"/>
  <c r="K151" i="13"/>
  <c r="J152" i="13"/>
  <c r="I152" i="13" s="1"/>
  <c r="G154" i="13"/>
  <c r="L162" i="13"/>
  <c r="K163" i="13"/>
  <c r="J164" i="13"/>
  <c r="I164" i="13" s="1"/>
  <c r="G166" i="13"/>
  <c r="L174" i="13"/>
  <c r="K175" i="13"/>
  <c r="J176" i="13"/>
  <c r="I176" i="13" s="1"/>
  <c r="G178" i="13"/>
  <c r="L186" i="13"/>
  <c r="K187" i="13"/>
  <c r="J188" i="13"/>
  <c r="I188" i="13" s="1"/>
  <c r="G190" i="13"/>
  <c r="L198" i="13"/>
  <c r="K199" i="13"/>
  <c r="J200" i="13"/>
  <c r="I200" i="13" s="1"/>
  <c r="G202" i="13"/>
  <c r="L210" i="13"/>
  <c r="K211" i="13"/>
  <c r="J212" i="13"/>
  <c r="I212" i="13" s="1"/>
  <c r="K217" i="13"/>
  <c r="M218" i="13"/>
  <c r="M221" i="13"/>
  <c r="K233" i="13"/>
  <c r="J236" i="13"/>
  <c r="I236" i="13" s="1"/>
  <c r="M240" i="13"/>
  <c r="J240" i="13"/>
  <c r="I240" i="13" s="1"/>
  <c r="L242" i="13"/>
  <c r="M245" i="13"/>
  <c r="K251" i="13"/>
  <c r="J251" i="13"/>
  <c r="I251" i="13" s="1"/>
  <c r="G251" i="13"/>
  <c r="M258" i="13"/>
  <c r="L258" i="13"/>
  <c r="K258" i="13"/>
  <c r="G260" i="13"/>
  <c r="K104" i="13"/>
  <c r="K116" i="13"/>
  <c r="G119" i="13"/>
  <c r="K128" i="13"/>
  <c r="J129" i="13"/>
  <c r="I129" i="13" s="1"/>
  <c r="G131" i="13"/>
  <c r="K140" i="13"/>
  <c r="J141" i="13"/>
  <c r="I141" i="13" s="1"/>
  <c r="G143" i="13"/>
  <c r="K152" i="13"/>
  <c r="J153" i="13"/>
  <c r="I153" i="13" s="1"/>
  <c r="G155" i="13"/>
  <c r="K164" i="13"/>
  <c r="J165" i="13"/>
  <c r="I165" i="13" s="1"/>
  <c r="G167" i="13"/>
  <c r="K176" i="13"/>
  <c r="J177" i="13"/>
  <c r="I177" i="13" s="1"/>
  <c r="G179" i="13"/>
  <c r="K188" i="13"/>
  <c r="J189" i="13"/>
  <c r="I189" i="13" s="1"/>
  <c r="G191" i="13"/>
  <c r="K200" i="13"/>
  <c r="J201" i="13"/>
  <c r="I201" i="13" s="1"/>
  <c r="G203" i="13"/>
  <c r="K212" i="13"/>
  <c r="J213" i="13"/>
  <c r="I213" i="13" s="1"/>
  <c r="J214" i="13"/>
  <c r="I214" i="13" s="1"/>
  <c r="J215" i="13"/>
  <c r="I215" i="13" s="1"/>
  <c r="K216" i="13"/>
  <c r="M217" i="13"/>
  <c r="L224" i="13"/>
  <c r="J230" i="13"/>
  <c r="I230" i="13" s="1"/>
  <c r="L233" i="13"/>
  <c r="L234" i="13"/>
  <c r="L236" i="13"/>
  <c r="M242" i="13"/>
  <c r="L260" i="13"/>
  <c r="M228" i="13"/>
  <c r="J228" i="13"/>
  <c r="I228" i="13" s="1"/>
  <c r="K239" i="13"/>
  <c r="J239" i="13"/>
  <c r="I239" i="13" s="1"/>
  <c r="G239" i="13"/>
  <c r="L250" i="13"/>
  <c r="K250" i="13"/>
  <c r="M262" i="13"/>
  <c r="L262" i="13"/>
  <c r="K262" i="13"/>
  <c r="G262" i="13"/>
  <c r="M273" i="13"/>
  <c r="L273" i="13"/>
  <c r="K273" i="13"/>
  <c r="J273" i="13"/>
  <c r="I273" i="13" s="1"/>
  <c r="G273" i="13"/>
  <c r="M309" i="13"/>
  <c r="L309" i="13"/>
  <c r="K309" i="13"/>
  <c r="J309" i="13"/>
  <c r="I309" i="13" s="1"/>
  <c r="G309" i="13"/>
  <c r="M334" i="13"/>
  <c r="L334" i="13"/>
  <c r="K334" i="13"/>
  <c r="J334" i="13"/>
  <c r="I334" i="13" s="1"/>
  <c r="G334" i="13"/>
  <c r="L213" i="13"/>
  <c r="M214" i="13"/>
  <c r="M215" i="13"/>
  <c r="M230" i="13"/>
  <c r="K240" i="13"/>
  <c r="L251" i="13"/>
  <c r="M298" i="13"/>
  <c r="L298" i="13"/>
  <c r="K298" i="13"/>
  <c r="J298" i="13"/>
  <c r="I298" i="13" s="1"/>
  <c r="G298" i="13"/>
  <c r="M437" i="13"/>
  <c r="L437" i="13"/>
  <c r="K437" i="13"/>
  <c r="J437" i="13"/>
  <c r="I437" i="13" s="1"/>
  <c r="G437" i="13"/>
  <c r="J346" i="13"/>
  <c r="I346" i="13" s="1"/>
  <c r="G346" i="13"/>
  <c r="L346" i="13"/>
  <c r="M450" i="13"/>
  <c r="L450" i="13"/>
  <c r="K450" i="13"/>
  <c r="J450" i="13"/>
  <c r="I450" i="13" s="1"/>
  <c r="G450" i="13"/>
  <c r="L257" i="13"/>
  <c r="L269" i="13"/>
  <c r="K270" i="13"/>
  <c r="L281" i="13"/>
  <c r="K282" i="13"/>
  <c r="L293" i="13"/>
  <c r="K294" i="13"/>
  <c r="L305" i="13"/>
  <c r="K306" i="13"/>
  <c r="L317" i="13"/>
  <c r="K318" i="13"/>
  <c r="L329" i="13"/>
  <c r="K330" i="13"/>
  <c r="M340" i="13"/>
  <c r="K340" i="13"/>
  <c r="J340" i="13"/>
  <c r="I340" i="13" s="1"/>
  <c r="M354" i="13"/>
  <c r="L354" i="13"/>
  <c r="K354" i="13"/>
  <c r="J354" i="13"/>
  <c r="I354" i="13" s="1"/>
  <c r="G354" i="13"/>
  <c r="M426" i="13"/>
  <c r="L426" i="13"/>
  <c r="K426" i="13"/>
  <c r="J426" i="13"/>
  <c r="I426" i="13" s="1"/>
  <c r="G426" i="13"/>
  <c r="M257" i="13"/>
  <c r="M269" i="13"/>
  <c r="L270" i="13"/>
  <c r="M281" i="13"/>
  <c r="L282" i="13"/>
  <c r="J284" i="13"/>
  <c r="I284" i="13" s="1"/>
  <c r="M293" i="13"/>
  <c r="L294" i="13"/>
  <c r="J296" i="13"/>
  <c r="I296" i="13" s="1"/>
  <c r="M305" i="13"/>
  <c r="L306" i="13"/>
  <c r="J308" i="13"/>
  <c r="I308" i="13" s="1"/>
  <c r="M317" i="13"/>
  <c r="L318" i="13"/>
  <c r="J320" i="13"/>
  <c r="I320" i="13" s="1"/>
  <c r="M329" i="13"/>
  <c r="L330" i="13"/>
  <c r="M351" i="13"/>
  <c r="L351" i="13"/>
  <c r="K351" i="13"/>
  <c r="J351" i="13"/>
  <c r="I351" i="13" s="1"/>
  <c r="M366" i="13"/>
  <c r="L366" i="13"/>
  <c r="K366" i="13"/>
  <c r="J366" i="13"/>
  <c r="I366" i="13" s="1"/>
  <c r="G366" i="13"/>
  <c r="M378" i="13"/>
  <c r="L378" i="13"/>
  <c r="K378" i="13"/>
  <c r="J378" i="13"/>
  <c r="I378" i="13" s="1"/>
  <c r="G378" i="13"/>
  <c r="M389" i="13"/>
  <c r="L389" i="13"/>
  <c r="K389" i="13"/>
  <c r="J389" i="13"/>
  <c r="I389" i="13" s="1"/>
  <c r="G389" i="13"/>
  <c r="M462" i="13"/>
  <c r="L462" i="13"/>
  <c r="K462" i="13"/>
  <c r="J462" i="13"/>
  <c r="I462" i="13" s="1"/>
  <c r="G462" i="13"/>
  <c r="M473" i="13"/>
  <c r="L473" i="13"/>
  <c r="K473" i="13"/>
  <c r="J473" i="13"/>
  <c r="I473" i="13" s="1"/>
  <c r="G473" i="13"/>
  <c r="G263" i="13"/>
  <c r="G275" i="13"/>
  <c r="K284" i="13"/>
  <c r="G287" i="13"/>
  <c r="K296" i="13"/>
  <c r="G299" i="13"/>
  <c r="K308" i="13"/>
  <c r="G311" i="13"/>
  <c r="K320" i="13"/>
  <c r="G323" i="13"/>
  <c r="K332" i="13"/>
  <c r="G335" i="13"/>
  <c r="L339" i="13"/>
  <c r="K339" i="13"/>
  <c r="G340" i="13"/>
  <c r="M402" i="13"/>
  <c r="L402" i="13"/>
  <c r="K402" i="13"/>
  <c r="J402" i="13"/>
  <c r="I402" i="13" s="1"/>
  <c r="G402" i="13"/>
  <c r="L284" i="13"/>
  <c r="L296" i="13"/>
  <c r="L308" i="13"/>
  <c r="G312" i="13"/>
  <c r="L320" i="13"/>
  <c r="G324" i="13"/>
  <c r="L332" i="13"/>
  <c r="G336" i="13"/>
  <c r="M343" i="13"/>
  <c r="K343" i="13"/>
  <c r="J343" i="13"/>
  <c r="I343" i="13" s="1"/>
  <c r="G343" i="13"/>
  <c r="G351" i="13"/>
  <c r="M449" i="13"/>
  <c r="L449" i="13"/>
  <c r="K449" i="13"/>
  <c r="J449" i="13"/>
  <c r="I449" i="13" s="1"/>
  <c r="G449" i="13"/>
  <c r="K475" i="13"/>
  <c r="M475" i="13"/>
  <c r="L475" i="13"/>
  <c r="J475" i="13"/>
  <c r="I475" i="13" s="1"/>
  <c r="G475" i="13"/>
  <c r="M518" i="13"/>
  <c r="L518" i="13"/>
  <c r="K518" i="13"/>
  <c r="J518" i="13"/>
  <c r="I518" i="13" s="1"/>
  <c r="G518" i="13"/>
  <c r="G229" i="13"/>
  <c r="G241" i="13"/>
  <c r="G253" i="13"/>
  <c r="J263" i="13"/>
  <c r="I263" i="13" s="1"/>
  <c r="G265" i="13"/>
  <c r="J275" i="13"/>
  <c r="I275" i="13" s="1"/>
  <c r="G277" i="13"/>
  <c r="J287" i="13"/>
  <c r="I287" i="13" s="1"/>
  <c r="G289" i="13"/>
  <c r="J299" i="13"/>
  <c r="I299" i="13" s="1"/>
  <c r="G301" i="13"/>
  <c r="J311" i="13"/>
  <c r="I311" i="13" s="1"/>
  <c r="G313" i="13"/>
  <c r="J323" i="13"/>
  <c r="I323" i="13" s="1"/>
  <c r="G325" i="13"/>
  <c r="J335" i="13"/>
  <c r="I335" i="13" s="1"/>
  <c r="G337" i="13"/>
  <c r="G339" i="13"/>
  <c r="L340" i="13"/>
  <c r="M438" i="13"/>
  <c r="L438" i="13"/>
  <c r="K438" i="13"/>
  <c r="J438" i="13"/>
  <c r="I438" i="13" s="1"/>
  <c r="G438" i="13"/>
  <c r="J252" i="13"/>
  <c r="I252" i="13" s="1"/>
  <c r="J264" i="13"/>
  <c r="I264" i="13" s="1"/>
  <c r="G266" i="13"/>
  <c r="J276" i="13"/>
  <c r="I276" i="13" s="1"/>
  <c r="G278" i="13"/>
  <c r="J288" i="13"/>
  <c r="I288" i="13" s="1"/>
  <c r="G290" i="13"/>
  <c r="J300" i="13"/>
  <c r="I300" i="13" s="1"/>
  <c r="G302" i="13"/>
  <c r="J312" i="13"/>
  <c r="I312" i="13" s="1"/>
  <c r="G314" i="13"/>
  <c r="K323" i="13"/>
  <c r="J324" i="13"/>
  <c r="I324" i="13" s="1"/>
  <c r="G326" i="13"/>
  <c r="K335" i="13"/>
  <c r="J336" i="13"/>
  <c r="I336" i="13" s="1"/>
  <c r="M349" i="13"/>
  <c r="L349" i="13"/>
  <c r="M414" i="13"/>
  <c r="L414" i="13"/>
  <c r="K414" i="13"/>
  <c r="J414" i="13"/>
  <c r="I414" i="13" s="1"/>
  <c r="G414" i="13"/>
  <c r="G478" i="13"/>
  <c r="M478" i="13"/>
  <c r="L478" i="13"/>
  <c r="K478" i="13"/>
  <c r="J478" i="13"/>
  <c r="I478" i="13" s="1"/>
  <c r="K324" i="13"/>
  <c r="L335" i="13"/>
  <c r="K336" i="13"/>
  <c r="L342" i="13"/>
  <c r="K342" i="13"/>
  <c r="G342" i="13"/>
  <c r="M353" i="13"/>
  <c r="L353" i="13"/>
  <c r="K353" i="13"/>
  <c r="J353" i="13"/>
  <c r="I353" i="13" s="1"/>
  <c r="G353" i="13"/>
  <c r="M425" i="13"/>
  <c r="L425" i="13"/>
  <c r="K425" i="13"/>
  <c r="J425" i="13"/>
  <c r="I425" i="13" s="1"/>
  <c r="G425" i="13"/>
  <c r="M482" i="13"/>
  <c r="L482" i="13"/>
  <c r="K482" i="13"/>
  <c r="J482" i="13"/>
  <c r="I482" i="13" s="1"/>
  <c r="G482" i="13"/>
  <c r="L495" i="13"/>
  <c r="K495" i="13"/>
  <c r="J495" i="13"/>
  <c r="I495" i="13" s="1"/>
  <c r="M495" i="13"/>
  <c r="G495" i="13"/>
  <c r="L312" i="13"/>
  <c r="L324" i="13"/>
  <c r="L336" i="13"/>
  <c r="M365" i="13"/>
  <c r="L365" i="13"/>
  <c r="K365" i="13"/>
  <c r="J365" i="13"/>
  <c r="I365" i="13" s="1"/>
  <c r="G365" i="13"/>
  <c r="M377" i="13"/>
  <c r="L377" i="13"/>
  <c r="K377" i="13"/>
  <c r="J377" i="13"/>
  <c r="I377" i="13" s="1"/>
  <c r="G377" i="13"/>
  <c r="M390" i="13"/>
  <c r="L390" i="13"/>
  <c r="K390" i="13"/>
  <c r="J390" i="13"/>
  <c r="I390" i="13" s="1"/>
  <c r="G390" i="13"/>
  <c r="M461" i="13"/>
  <c r="L461" i="13"/>
  <c r="K461" i="13"/>
  <c r="J461" i="13"/>
  <c r="I461" i="13" s="1"/>
  <c r="G461" i="13"/>
  <c r="J342" i="13"/>
  <c r="I342" i="13" s="1"/>
  <c r="M401" i="13"/>
  <c r="L401" i="13"/>
  <c r="K401" i="13"/>
  <c r="J401" i="13"/>
  <c r="I401" i="13" s="1"/>
  <c r="G401" i="13"/>
  <c r="L474" i="13"/>
  <c r="M474" i="13"/>
  <c r="K474" i="13"/>
  <c r="J474" i="13"/>
  <c r="I474" i="13" s="1"/>
  <c r="G474" i="13"/>
  <c r="L358" i="13"/>
  <c r="J360" i="13"/>
  <c r="I360" i="13" s="1"/>
  <c r="M369" i="13"/>
  <c r="L370" i="13"/>
  <c r="J372" i="13"/>
  <c r="I372" i="13" s="1"/>
  <c r="M381" i="13"/>
  <c r="L382" i="13"/>
  <c r="J384" i="13"/>
  <c r="I384" i="13" s="1"/>
  <c r="G386" i="13"/>
  <c r="M393" i="13"/>
  <c r="L394" i="13"/>
  <c r="K395" i="13"/>
  <c r="J396" i="13"/>
  <c r="I396" i="13" s="1"/>
  <c r="K407" i="13"/>
  <c r="G410" i="13"/>
  <c r="K419" i="13"/>
  <c r="G422" i="13"/>
  <c r="K431" i="13"/>
  <c r="J432" i="13"/>
  <c r="I432" i="13" s="1"/>
  <c r="G434" i="13"/>
  <c r="K443" i="13"/>
  <c r="G446" i="13"/>
  <c r="K455" i="13"/>
  <c r="J456" i="13"/>
  <c r="I456" i="13" s="1"/>
  <c r="G458" i="13"/>
  <c r="K467" i="13"/>
  <c r="J468" i="13"/>
  <c r="I468" i="13" s="1"/>
  <c r="G470" i="13"/>
  <c r="M506" i="13"/>
  <c r="L506" i="13"/>
  <c r="K506" i="13"/>
  <c r="J506" i="13"/>
  <c r="I506" i="13" s="1"/>
  <c r="G506" i="13"/>
  <c r="L509" i="13"/>
  <c r="K509" i="13"/>
  <c r="J509" i="13"/>
  <c r="I509" i="13" s="1"/>
  <c r="G509" i="13"/>
  <c r="M509" i="13"/>
  <c r="J10" i="15"/>
  <c r="L10" i="15" s="1"/>
  <c r="N10" i="15" s="1"/>
  <c r="U10" i="15"/>
  <c r="T10" i="15"/>
  <c r="L361" i="13"/>
  <c r="J363" i="13"/>
  <c r="I363" i="13" s="1"/>
  <c r="L373" i="13"/>
  <c r="J375" i="13"/>
  <c r="I375" i="13" s="1"/>
  <c r="M384" i="13"/>
  <c r="L385" i="13"/>
  <c r="J387" i="13"/>
  <c r="I387" i="13" s="1"/>
  <c r="J399" i="13"/>
  <c r="I399" i="13" s="1"/>
  <c r="L409" i="13"/>
  <c r="K410" i="13"/>
  <c r="J411" i="13"/>
  <c r="I411" i="13" s="1"/>
  <c r="L421" i="13"/>
  <c r="K422" i="13"/>
  <c r="J423" i="13"/>
  <c r="I423" i="13" s="1"/>
  <c r="K434" i="13"/>
  <c r="J435" i="13"/>
  <c r="I435" i="13" s="1"/>
  <c r="L445" i="13"/>
  <c r="K446" i="13"/>
  <c r="J447" i="13"/>
  <c r="I447" i="13" s="1"/>
  <c r="L457" i="13"/>
  <c r="K458" i="13"/>
  <c r="J459" i="13"/>
  <c r="I459" i="13" s="1"/>
  <c r="L469" i="13"/>
  <c r="K470" i="13"/>
  <c r="J471" i="13"/>
  <c r="I471" i="13" s="1"/>
  <c r="J483" i="13"/>
  <c r="I483" i="13" s="1"/>
  <c r="G487" i="13"/>
  <c r="L487" i="13"/>
  <c r="K487" i="13"/>
  <c r="L521" i="13"/>
  <c r="K521" i="13"/>
  <c r="J521" i="13"/>
  <c r="I521" i="13" s="1"/>
  <c r="G521" i="13"/>
  <c r="M521" i="13"/>
  <c r="X7" i="14"/>
  <c r="X15" i="14" s="1"/>
  <c r="L350" i="13"/>
  <c r="J352" i="13"/>
  <c r="I352" i="13" s="1"/>
  <c r="L362" i="13"/>
  <c r="K363" i="13"/>
  <c r="J364" i="13"/>
  <c r="I364" i="13" s="1"/>
  <c r="L374" i="13"/>
  <c r="K375" i="13"/>
  <c r="J376" i="13"/>
  <c r="I376" i="13" s="1"/>
  <c r="L386" i="13"/>
  <c r="K387" i="13"/>
  <c r="J388" i="13"/>
  <c r="I388" i="13" s="1"/>
  <c r="L398" i="13"/>
  <c r="K399" i="13"/>
  <c r="J400" i="13"/>
  <c r="I400" i="13" s="1"/>
  <c r="L410" i="13"/>
  <c r="K411" i="13"/>
  <c r="J412" i="13"/>
  <c r="I412" i="13" s="1"/>
  <c r="L422" i="13"/>
  <c r="K423" i="13"/>
  <c r="J424" i="13"/>
  <c r="I424" i="13" s="1"/>
  <c r="L434" i="13"/>
  <c r="K435" i="13"/>
  <c r="J436" i="13"/>
  <c r="I436" i="13" s="1"/>
  <c r="L446" i="13"/>
  <c r="K447" i="13"/>
  <c r="J448" i="13"/>
  <c r="I448" i="13" s="1"/>
  <c r="L458" i="13"/>
  <c r="K459" i="13"/>
  <c r="J460" i="13"/>
  <c r="I460" i="13" s="1"/>
  <c r="L470" i="13"/>
  <c r="K471" i="13"/>
  <c r="J472" i="13"/>
  <c r="I472" i="13" s="1"/>
  <c r="J479" i="13"/>
  <c r="I479" i="13" s="1"/>
  <c r="K498" i="13"/>
  <c r="J498" i="13"/>
  <c r="I498" i="13" s="1"/>
  <c r="G498" i="13"/>
  <c r="M498" i="13"/>
  <c r="L498" i="13"/>
  <c r="M530" i="13"/>
  <c r="L530" i="13"/>
  <c r="K530" i="13"/>
  <c r="J530" i="13"/>
  <c r="I530" i="13" s="1"/>
  <c r="G530" i="13"/>
  <c r="S10" i="15"/>
  <c r="K352" i="13"/>
  <c r="G355" i="13"/>
  <c r="L363" i="13"/>
  <c r="K364" i="13"/>
  <c r="G367" i="13"/>
  <c r="L375" i="13"/>
  <c r="K376" i="13"/>
  <c r="G379" i="13"/>
  <c r="L387" i="13"/>
  <c r="K388" i="13"/>
  <c r="G391" i="13"/>
  <c r="L399" i="13"/>
  <c r="K400" i="13"/>
  <c r="G403" i="13"/>
  <c r="L411" i="13"/>
  <c r="K412" i="13"/>
  <c r="L423" i="13"/>
  <c r="K424" i="13"/>
  <c r="L435" i="13"/>
  <c r="K436" i="13"/>
  <c r="L447" i="13"/>
  <c r="K448" i="13"/>
  <c r="L459" i="13"/>
  <c r="K460" i="13"/>
  <c r="L471" i="13"/>
  <c r="K472" i="13"/>
  <c r="K479" i="13"/>
  <c r="L388" i="13"/>
  <c r="G404" i="13"/>
  <c r="G428" i="13"/>
  <c r="G440" i="13"/>
  <c r="L472" i="13"/>
  <c r="G486" i="13"/>
  <c r="M486" i="13"/>
  <c r="L486" i="13"/>
  <c r="M494" i="13"/>
  <c r="L494" i="13"/>
  <c r="K494" i="13"/>
  <c r="G494" i="13"/>
  <c r="L533" i="13"/>
  <c r="K533" i="13"/>
  <c r="J533" i="13"/>
  <c r="I533" i="13" s="1"/>
  <c r="G533" i="13"/>
  <c r="M533" i="13"/>
  <c r="L545" i="13"/>
  <c r="K545" i="13"/>
  <c r="J545" i="13"/>
  <c r="I545" i="13" s="1"/>
  <c r="G545" i="13"/>
  <c r="M545" i="13"/>
  <c r="H11" i="15"/>
  <c r="J355" i="13"/>
  <c r="I355" i="13" s="1"/>
  <c r="J367" i="13"/>
  <c r="I367" i="13" s="1"/>
  <c r="J379" i="13"/>
  <c r="I379" i="13" s="1"/>
  <c r="J391" i="13"/>
  <c r="I391" i="13" s="1"/>
  <c r="M11" i="15"/>
  <c r="O11" i="15" s="1"/>
  <c r="Q11" i="15" s="1"/>
  <c r="J344" i="13"/>
  <c r="I344" i="13" s="1"/>
  <c r="K355" i="13"/>
  <c r="G358" i="13"/>
  <c r="K367" i="13"/>
  <c r="G370" i="13"/>
  <c r="K379" i="13"/>
  <c r="J380" i="13"/>
  <c r="I380" i="13" s="1"/>
  <c r="G382" i="13"/>
  <c r="K391" i="13"/>
  <c r="J392" i="13"/>
  <c r="I392" i="13" s="1"/>
  <c r="G394" i="13"/>
  <c r="J486" i="13"/>
  <c r="I486" i="13" s="1"/>
  <c r="L379" i="13"/>
  <c r="L391" i="13"/>
  <c r="K392" i="13"/>
  <c r="J393" i="13"/>
  <c r="I393" i="13" s="1"/>
  <c r="J485" i="13"/>
  <c r="I485" i="13" s="1"/>
  <c r="M485" i="13"/>
  <c r="K486" i="13"/>
  <c r="J494" i="13"/>
  <c r="I494" i="13" s="1"/>
  <c r="L557" i="13"/>
  <c r="K557" i="13"/>
  <c r="J557" i="13"/>
  <c r="I557" i="13" s="1"/>
  <c r="G557" i="13"/>
  <c r="M557" i="13"/>
  <c r="H12" i="15"/>
  <c r="L497" i="13"/>
  <c r="K497" i="13"/>
  <c r="J497" i="13"/>
  <c r="I497" i="13" s="1"/>
  <c r="G497" i="13"/>
  <c r="M497" i="13"/>
  <c r="M7" i="15"/>
  <c r="O7" i="15" s="1"/>
  <c r="Q7" i="15" s="1"/>
  <c r="M12" i="15"/>
  <c r="O12" i="15" s="1"/>
  <c r="Q12" i="15" s="1"/>
  <c r="L483" i="13"/>
  <c r="K483" i="13"/>
  <c r="L490" i="13"/>
  <c r="G490" i="13"/>
  <c r="T7" i="14"/>
  <c r="T15" i="14" s="1"/>
  <c r="T6" i="14"/>
  <c r="J488" i="13"/>
  <c r="I488" i="13" s="1"/>
  <c r="K499" i="13"/>
  <c r="J500" i="13"/>
  <c r="I500" i="13" s="1"/>
  <c r="G502" i="13"/>
  <c r="L510" i="13"/>
  <c r="K511" i="13"/>
  <c r="J512" i="13"/>
  <c r="I512" i="13" s="1"/>
  <c r="G514" i="13"/>
  <c r="L522" i="13"/>
  <c r="K523" i="13"/>
  <c r="J524" i="13"/>
  <c r="I524" i="13" s="1"/>
  <c r="G526" i="13"/>
  <c r="L534" i="13"/>
  <c r="K535" i="13"/>
  <c r="J536" i="13"/>
  <c r="I536" i="13" s="1"/>
  <c r="G538" i="13"/>
  <c r="L546" i="13"/>
  <c r="K547" i="13"/>
  <c r="J548" i="13"/>
  <c r="I548" i="13" s="1"/>
  <c r="G550" i="13"/>
  <c r="L558" i="13"/>
  <c r="K559" i="13"/>
  <c r="J560" i="13"/>
  <c r="I560" i="13" s="1"/>
  <c r="R3" i="14"/>
  <c r="Q4" i="14"/>
  <c r="N5" i="14"/>
  <c r="Y5" i="14" s="1"/>
  <c r="AB2" i="15"/>
  <c r="U3" i="15"/>
  <c r="AG3" i="15"/>
  <c r="X6" i="15"/>
  <c r="AJ6" i="15"/>
  <c r="G491" i="13"/>
  <c r="L499" i="13"/>
  <c r="G503" i="13"/>
  <c r="M510" i="13"/>
  <c r="L511" i="13"/>
  <c r="G515" i="13"/>
  <c r="M522" i="13"/>
  <c r="L523" i="13"/>
  <c r="G527" i="13"/>
  <c r="M534" i="13"/>
  <c r="L535" i="13"/>
  <c r="J537" i="13"/>
  <c r="I537" i="13" s="1"/>
  <c r="G539" i="13"/>
  <c r="M546" i="13"/>
  <c r="L547" i="13"/>
  <c r="M558" i="13"/>
  <c r="L559" i="13"/>
  <c r="K560" i="13"/>
  <c r="J561" i="13"/>
  <c r="I561" i="13" s="1"/>
  <c r="T2" i="14"/>
  <c r="O5" i="14"/>
  <c r="AC2" i="15"/>
  <c r="V3" i="15"/>
  <c r="AH3" i="15"/>
  <c r="Y6" i="15"/>
  <c r="AK6" i="15"/>
  <c r="M559" i="13"/>
  <c r="L560" i="13"/>
  <c r="K561" i="13"/>
  <c r="U2" i="14"/>
  <c r="U7" i="14" s="1"/>
  <c r="U15" i="14" s="1"/>
  <c r="T3" i="14"/>
  <c r="P5" i="14"/>
  <c r="AD2" i="15"/>
  <c r="Z6" i="15"/>
  <c r="K514" i="13"/>
  <c r="K526" i="13"/>
  <c r="K538" i="13"/>
  <c r="K550" i="13"/>
  <c r="L561" i="13"/>
  <c r="V2" i="14"/>
  <c r="V6" i="14" s="1"/>
  <c r="U3" i="14"/>
  <c r="T4" i="14"/>
  <c r="Q5" i="14"/>
  <c r="AE2" i="15"/>
  <c r="X3" i="15"/>
  <c r="AJ3" i="15"/>
  <c r="AA6" i="15"/>
  <c r="T7" i="15"/>
  <c r="M537" i="13"/>
  <c r="G542" i="13"/>
  <c r="G554" i="13"/>
  <c r="M561" i="13"/>
  <c r="W2" i="14"/>
  <c r="V3" i="14"/>
  <c r="U4" i="14"/>
  <c r="R5" i="14"/>
  <c r="T2" i="15"/>
  <c r="AF2" i="15"/>
  <c r="Y3" i="15"/>
  <c r="AK3" i="15"/>
  <c r="AB6" i="15"/>
  <c r="U7" i="15"/>
  <c r="X2" i="14"/>
  <c r="AC6" i="15"/>
  <c r="J7" i="15"/>
  <c r="L7" i="15" s="1"/>
  <c r="N7" i="15" s="1"/>
  <c r="J542" i="13"/>
  <c r="I542" i="13" s="1"/>
  <c r="J554" i="13"/>
  <c r="I554" i="13" s="1"/>
  <c r="M2" i="14"/>
  <c r="M7" i="14" s="1"/>
  <c r="X3" i="14"/>
  <c r="X6" i="14" s="1"/>
  <c r="S6" i="14"/>
  <c r="V2" i="15"/>
  <c r="AH2" i="15"/>
  <c r="AA3" i="15"/>
  <c r="AD6" i="15"/>
  <c r="W7" i="15"/>
  <c r="J507" i="13"/>
  <c r="I507" i="13" s="1"/>
  <c r="J519" i="13"/>
  <c r="I519" i="13" s="1"/>
  <c r="J531" i="13"/>
  <c r="I531" i="13" s="1"/>
  <c r="K542" i="13"/>
  <c r="J543" i="13"/>
  <c r="I543" i="13" s="1"/>
  <c r="K554" i="13"/>
  <c r="J555" i="13"/>
  <c r="I555" i="13" s="1"/>
  <c r="M3" i="14"/>
  <c r="Y3" i="14" s="1"/>
  <c r="X4" i="14"/>
  <c r="W2" i="15"/>
  <c r="AB3" i="15"/>
  <c r="AE6" i="15"/>
  <c r="J484" i="13"/>
  <c r="I484" i="13" s="1"/>
  <c r="J496" i="13"/>
  <c r="I496" i="13" s="1"/>
  <c r="K507" i="13"/>
  <c r="J508" i="13"/>
  <c r="I508" i="13" s="1"/>
  <c r="G510" i="13"/>
  <c r="K519" i="13"/>
  <c r="J520" i="13"/>
  <c r="I520" i="13" s="1"/>
  <c r="G522" i="13"/>
  <c r="K531" i="13"/>
  <c r="G534" i="13"/>
  <c r="L542" i="13"/>
  <c r="K543" i="13"/>
  <c r="J544" i="13"/>
  <c r="I544" i="13" s="1"/>
  <c r="G546" i="13"/>
  <c r="L554" i="13"/>
  <c r="K555" i="13"/>
  <c r="J556" i="13"/>
  <c r="I556" i="13" s="1"/>
  <c r="O2" i="14"/>
  <c r="M4" i="14"/>
  <c r="Y4" i="14" s="1"/>
  <c r="X2" i="15"/>
  <c r="AJ2" i="15"/>
  <c r="AC3" i="15"/>
  <c r="T6" i="15"/>
  <c r="AF6" i="15"/>
  <c r="G499" i="13"/>
  <c r="L507" i="13"/>
  <c r="K508" i="13"/>
  <c r="G511" i="13"/>
  <c r="K520" i="13"/>
  <c r="G523" i="13"/>
  <c r="K532" i="13"/>
  <c r="G535" i="13"/>
  <c r="K544" i="13"/>
  <c r="G547" i="13"/>
  <c r="K556" i="13"/>
  <c r="G559" i="13"/>
  <c r="P2" i="14"/>
  <c r="O3" i="14"/>
  <c r="Y2" i="15"/>
  <c r="AD3" i="15"/>
  <c r="U6" i="15"/>
  <c r="Q2" i="14"/>
  <c r="P3" i="14"/>
  <c r="W6" i="14"/>
  <c r="Z2" i="15"/>
  <c r="AE3" i="15"/>
  <c r="V6" i="15"/>
  <c r="T3" i="15"/>
  <c r="S25" i="4" l="1"/>
  <c r="S27" i="4" s="1"/>
  <c r="J25" i="5"/>
  <c r="J27" i="5" s="1"/>
  <c r="P25" i="5"/>
  <c r="P27" i="5" s="1"/>
  <c r="H85" i="3"/>
  <c r="V7" i="15"/>
  <c r="E56" i="7"/>
  <c r="F56" i="7" s="1"/>
  <c r="G56" i="7" s="1"/>
  <c r="H56" i="7" s="1"/>
  <c r="P49" i="5"/>
  <c r="P51" i="5" s="1"/>
  <c r="S38" i="6"/>
  <c r="S40" i="6" s="1"/>
  <c r="J49" i="5"/>
  <c r="J51" i="5" s="1"/>
  <c r="M54" i="6"/>
  <c r="M55" i="6" s="1"/>
  <c r="K25" i="5"/>
  <c r="K27" i="5" s="1"/>
  <c r="J54" i="6"/>
  <c r="I86" i="3"/>
  <c r="O49" i="5"/>
  <c r="O51" i="5" s="1"/>
  <c r="AG10" i="15"/>
  <c r="AG7" i="15"/>
  <c r="AF10" i="15"/>
  <c r="AG12" i="6"/>
  <c r="J86" i="3"/>
  <c r="E57" i="3"/>
  <c r="F57" i="3" s="1"/>
  <c r="G58" i="3"/>
  <c r="AJ10" i="15"/>
  <c r="AH33" i="4"/>
  <c r="D60" i="3"/>
  <c r="E60" i="3" s="1"/>
  <c r="F60" i="3" s="1"/>
  <c r="G60" i="3" s="1"/>
  <c r="H60" i="3" s="1"/>
  <c r="I60" i="3" s="1"/>
  <c r="J60" i="3" s="1"/>
  <c r="K60" i="3" s="1"/>
  <c r="D61" i="3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D85" i="7"/>
  <c r="E85" i="7" s="1"/>
  <c r="X10" i="15"/>
  <c r="X7" i="15"/>
  <c r="AJ34" i="5"/>
  <c r="D82" i="3"/>
  <c r="D63" i="3"/>
  <c r="E63" i="3" s="1"/>
  <c r="D86" i="7"/>
  <c r="D81" i="3"/>
  <c r="F65" i="7"/>
  <c r="G65" i="7" s="1"/>
  <c r="H65" i="7" s="1"/>
  <c r="I65" i="7" s="1"/>
  <c r="J65" i="7" s="1"/>
  <c r="K65" i="7" s="1"/>
  <c r="L65" i="7" s="1"/>
  <c r="M65" i="7" s="1"/>
  <c r="N65" i="7" s="1"/>
  <c r="I85" i="3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S85" i="3" s="1"/>
  <c r="AT85" i="3" s="1"/>
  <c r="AU85" i="3" s="1"/>
  <c r="AV85" i="3" s="1"/>
  <c r="AW85" i="3" s="1"/>
  <c r="AX85" i="3" s="1"/>
  <c r="AY85" i="3" s="1"/>
  <c r="AZ85" i="3" s="1"/>
  <c r="BA85" i="3" s="1"/>
  <c r="BB85" i="3" s="1"/>
  <c r="G84" i="3"/>
  <c r="H84" i="3" s="1"/>
  <c r="I84" i="3" s="1"/>
  <c r="J84" i="3" s="1"/>
  <c r="AH20" i="4"/>
  <c r="F33" i="4"/>
  <c r="F19" i="4"/>
  <c r="F21" i="4"/>
  <c r="F44" i="4"/>
  <c r="AH34" i="4"/>
  <c r="F12" i="4"/>
  <c r="F45" i="4"/>
  <c r="F24" i="4"/>
  <c r="F9" i="4"/>
  <c r="F17" i="4"/>
  <c r="F18" i="4"/>
  <c r="AG33" i="6"/>
  <c r="W25" i="5"/>
  <c r="W27" i="5" s="1"/>
  <c r="W49" i="5"/>
  <c r="W51" i="5" s="1"/>
  <c r="AJ47" i="5"/>
  <c r="AJ35" i="5"/>
  <c r="AJ44" i="5"/>
  <c r="Y10" i="15"/>
  <c r="AI49" i="5"/>
  <c r="AJ16" i="5"/>
  <c r="F23" i="4"/>
  <c r="F43" i="4"/>
  <c r="F57" i="4"/>
  <c r="AG32" i="6"/>
  <c r="AF38" i="6"/>
  <c r="AF40" i="6" s="1"/>
  <c r="AG30" i="6"/>
  <c r="Z10" i="15"/>
  <c r="AI25" i="5"/>
  <c r="AH18" i="4"/>
  <c r="F47" i="4"/>
  <c r="AF7" i="15"/>
  <c r="AA10" i="15"/>
  <c r="AG17" i="6"/>
  <c r="AG13" i="6"/>
  <c r="AG34" i="6"/>
  <c r="AJ40" i="5"/>
  <c r="AJ18" i="5"/>
  <c r="F11" i="4"/>
  <c r="F10" i="4"/>
  <c r="F20" i="4"/>
  <c r="F59" i="4"/>
  <c r="D79" i="7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F22" i="4"/>
  <c r="Z7" i="15"/>
  <c r="F42" i="4"/>
  <c r="F34" i="4"/>
  <c r="AJ45" i="5"/>
  <c r="F16" i="4"/>
  <c r="F40" i="4"/>
  <c r="AG36" i="6"/>
  <c r="AJ48" i="5"/>
  <c r="F36" i="4"/>
  <c r="F48" i="4"/>
  <c r="AA7" i="15"/>
  <c r="AG35" i="6"/>
  <c r="AJ23" i="5"/>
  <c r="F35" i="4"/>
  <c r="F46" i="4"/>
  <c r="W10" i="15"/>
  <c r="P5" i="9"/>
  <c r="AJ22" i="5"/>
  <c r="AJ21" i="5"/>
  <c r="F58" i="4"/>
  <c r="F41" i="4"/>
  <c r="AH43" i="4"/>
  <c r="F63" i="3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AA51" i="4"/>
  <c r="AD51" i="4"/>
  <c r="AG51" i="4" s="1"/>
  <c r="AC51" i="4"/>
  <c r="AB51" i="4"/>
  <c r="M15" i="14"/>
  <c r="E12" i="7"/>
  <c r="J11" i="15"/>
  <c r="L11" i="15" s="1"/>
  <c r="U11" i="15"/>
  <c r="T11" i="15"/>
  <c r="I9" i="3"/>
  <c r="K84" i="3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AS84" i="3" s="1"/>
  <c r="AT84" i="3" s="1"/>
  <c r="AU84" i="3" s="1"/>
  <c r="AV84" i="3" s="1"/>
  <c r="AW84" i="3" s="1"/>
  <c r="AX84" i="3" s="1"/>
  <c r="AY84" i="3" s="1"/>
  <c r="AZ84" i="3" s="1"/>
  <c r="BA84" i="3" s="1"/>
  <c r="BB84" i="3" s="1"/>
  <c r="AG18" i="6"/>
  <c r="AC23" i="6"/>
  <c r="Y23" i="6"/>
  <c r="X23" i="6"/>
  <c r="L23" i="6"/>
  <c r="AB23" i="6"/>
  <c r="AA23" i="6"/>
  <c r="Z23" i="6"/>
  <c r="K23" i="6"/>
  <c r="W23" i="6"/>
  <c r="J23" i="6"/>
  <c r="V23" i="6"/>
  <c r="AJ33" i="5"/>
  <c r="AH26" i="4"/>
  <c r="AF25" i="4"/>
  <c r="AH15" i="4"/>
  <c r="AH48" i="4"/>
  <c r="M8" i="12"/>
  <c r="AU7" i="12"/>
  <c r="M9" i="7"/>
  <c r="AT7" i="12"/>
  <c r="AA7" i="12"/>
  <c r="S49" i="4"/>
  <c r="S51" i="4" s="1"/>
  <c r="I54" i="6"/>
  <c r="N49" i="5"/>
  <c r="N51" i="5" s="1"/>
  <c r="X38" i="6"/>
  <c r="X40" i="6" s="1"/>
  <c r="Q54" i="6"/>
  <c r="Q55" i="6" s="1"/>
  <c r="A4" i="12"/>
  <c r="C10" i="12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AJ10" i="12" s="1"/>
  <c r="AK10" i="12" s="1"/>
  <c r="AL10" i="12" s="1"/>
  <c r="AM10" i="12" s="1"/>
  <c r="AN10" i="12" s="1"/>
  <c r="AO10" i="12" s="1"/>
  <c r="AP10" i="12" s="1"/>
  <c r="AQ10" i="12" s="1"/>
  <c r="AR10" i="12" s="1"/>
  <c r="AS10" i="12" s="1"/>
  <c r="AT10" i="12" s="1"/>
  <c r="AU10" i="12" s="1"/>
  <c r="AV10" i="12" s="1"/>
  <c r="D39" i="7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C5" i="8"/>
  <c r="O5" i="8" s="1"/>
  <c r="C64" i="7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AJ9" i="12"/>
  <c r="AA9" i="12"/>
  <c r="AF9" i="12"/>
  <c r="AI9" i="12"/>
  <c r="Q9" i="3"/>
  <c r="E81" i="3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AY81" i="3" s="1"/>
  <c r="AZ81" i="3" s="1"/>
  <c r="BA81" i="3" s="1"/>
  <c r="BB81" i="3" s="1"/>
  <c r="W9" i="6"/>
  <c r="W19" i="6" s="1"/>
  <c r="W21" i="6" s="1"/>
  <c r="N25" i="4"/>
  <c r="N27" i="4" s="1"/>
  <c r="O25" i="5"/>
  <c r="O27" i="5" s="1"/>
  <c r="AJ17" i="5"/>
  <c r="AU9" i="12"/>
  <c r="AJ39" i="5"/>
  <c r="AH49" i="5"/>
  <c r="AH41" i="4"/>
  <c r="U8" i="12"/>
  <c r="D7" i="12"/>
  <c r="D9" i="12" s="1"/>
  <c r="AA9" i="3"/>
  <c r="T49" i="4"/>
  <c r="T51" i="4" s="1"/>
  <c r="W28" i="6"/>
  <c r="W38" i="6" s="1"/>
  <c r="W40" i="6" s="1"/>
  <c r="N49" i="4"/>
  <c r="N51" i="4" s="1"/>
  <c r="O54" i="6"/>
  <c r="O55" i="6" s="1"/>
  <c r="T49" i="5"/>
  <c r="T51" i="5" s="1"/>
  <c r="E57" i="7"/>
  <c r="F57" i="7" s="1"/>
  <c r="G57" i="7" s="1"/>
  <c r="H57" i="7" s="1"/>
  <c r="I57" i="7" s="1"/>
  <c r="J57" i="7" s="1"/>
  <c r="K57" i="7" s="1"/>
  <c r="L57" i="7" s="1"/>
  <c r="M57" i="7" s="1"/>
  <c r="N57" i="7" s="1"/>
  <c r="C3" i="8"/>
  <c r="C59" i="7"/>
  <c r="D59" i="7" s="1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I56" i="7"/>
  <c r="J56" i="7" s="1"/>
  <c r="K56" i="7" s="1"/>
  <c r="L56" i="7" s="1"/>
  <c r="M56" i="7" s="1"/>
  <c r="N56" i="7" s="1"/>
  <c r="H33" i="8"/>
  <c r="H4" i="8"/>
  <c r="M9" i="12"/>
  <c r="R9" i="12"/>
  <c r="M9" i="3"/>
  <c r="AO9" i="3"/>
  <c r="S9" i="3"/>
  <c r="U9" i="3"/>
  <c r="W9" i="3"/>
  <c r="H88" i="3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G87" i="3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AY87" i="3" s="1"/>
  <c r="AZ87" i="3" s="1"/>
  <c r="BA87" i="3" s="1"/>
  <c r="BB87" i="3" s="1"/>
  <c r="H7" i="12"/>
  <c r="D9" i="7"/>
  <c r="A4" i="3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O19" i="6"/>
  <c r="O21" i="6" s="1"/>
  <c r="S19" i="6"/>
  <c r="S21" i="6" s="1"/>
  <c r="AG9" i="6"/>
  <c r="AE19" i="6"/>
  <c r="I7" i="12"/>
  <c r="I9" i="12" s="1"/>
  <c r="C104" i="3"/>
  <c r="C5" i="3"/>
  <c r="P7" i="9"/>
  <c r="K67" i="8"/>
  <c r="L67" i="8" s="1"/>
  <c r="M67" i="8" s="1"/>
  <c r="N67" i="8" s="1"/>
  <c r="AH45" i="4"/>
  <c r="I8" i="12"/>
  <c r="R49" i="5"/>
  <c r="R51" i="5" s="1"/>
  <c r="C30" i="8"/>
  <c r="C61" i="7"/>
  <c r="I4" i="8"/>
  <c r="I14" i="8" s="1"/>
  <c r="I33" i="8"/>
  <c r="I39" i="8" s="1"/>
  <c r="J4" i="8"/>
  <c r="J14" i="8" s="1"/>
  <c r="J33" i="8"/>
  <c r="J39" i="8" s="1"/>
  <c r="Y9" i="12"/>
  <c r="AD9" i="12"/>
  <c r="U9" i="12"/>
  <c r="Y9" i="3"/>
  <c r="BA9" i="3"/>
  <c r="AE9" i="3"/>
  <c r="AG9" i="3"/>
  <c r="AI9" i="3"/>
  <c r="AV39" i="7"/>
  <c r="AW39" i="7" s="1"/>
  <c r="AX39" i="7" s="1"/>
  <c r="AY39" i="7" s="1"/>
  <c r="AZ39" i="7" s="1"/>
  <c r="BA39" i="7" s="1"/>
  <c r="BB39" i="7" s="1"/>
  <c r="C2" i="10"/>
  <c r="O2" i="10" s="1"/>
  <c r="O3" i="7"/>
  <c r="A3" i="7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C8" i="7"/>
  <c r="D80" i="7"/>
  <c r="E80" i="7" s="1"/>
  <c r="F80" i="7" s="1"/>
  <c r="G80" i="7" s="1"/>
  <c r="H80" i="7" s="1"/>
  <c r="I80" i="7" s="1"/>
  <c r="J80" i="7" s="1"/>
  <c r="K80" i="7" s="1"/>
  <c r="L80" i="7" s="1"/>
  <c r="M80" i="7" s="1"/>
  <c r="N80" i="7" s="1"/>
  <c r="J9" i="6"/>
  <c r="J19" i="6" s="1"/>
  <c r="J21" i="6" s="1"/>
  <c r="J25" i="4"/>
  <c r="J27" i="4" s="1"/>
  <c r="V9" i="6"/>
  <c r="V19" i="6" s="1"/>
  <c r="V21" i="6" s="1"/>
  <c r="M25" i="4"/>
  <c r="M27" i="4" s="1"/>
  <c r="Q19" i="6"/>
  <c r="Q21" i="6" s="1"/>
  <c r="O9" i="3"/>
  <c r="X12" i="15"/>
  <c r="J12" i="15"/>
  <c r="L12" i="15" s="1"/>
  <c r="U12" i="15"/>
  <c r="T12" i="15"/>
  <c r="Z49" i="5"/>
  <c r="Z51" i="5" s="1"/>
  <c r="AJ42" i="5"/>
  <c r="Z25" i="5"/>
  <c r="Z27" i="5" s="1"/>
  <c r="AH24" i="4"/>
  <c r="W8" i="12"/>
  <c r="J7" i="12"/>
  <c r="E102" i="3"/>
  <c r="I28" i="6"/>
  <c r="I38" i="6" s="1"/>
  <c r="I40" i="6" s="1"/>
  <c r="I41" i="6" s="1"/>
  <c r="J41" i="6" s="1"/>
  <c r="I49" i="4"/>
  <c r="I51" i="4" s="1"/>
  <c r="O38" i="6"/>
  <c r="O40" i="6" s="1"/>
  <c r="R54" i="6"/>
  <c r="R55" i="6" s="1"/>
  <c r="F33" i="8"/>
  <c r="F39" i="8" s="1"/>
  <c r="F4" i="8"/>
  <c r="F13" i="8" s="1"/>
  <c r="AK9" i="12"/>
  <c r="P9" i="12"/>
  <c r="AP9" i="12"/>
  <c r="AG9" i="12"/>
  <c r="AK9" i="3"/>
  <c r="D9" i="3"/>
  <c r="AQ9" i="3"/>
  <c r="AS9" i="3"/>
  <c r="AU9" i="3"/>
  <c r="D81" i="7"/>
  <c r="E81" i="7" s="1"/>
  <c r="F81" i="7" s="1"/>
  <c r="G81" i="7" s="1"/>
  <c r="H81" i="7" s="1"/>
  <c r="I81" i="7" s="1"/>
  <c r="J81" i="7" s="1"/>
  <c r="K81" i="7" s="1"/>
  <c r="L81" i="7" s="1"/>
  <c r="M81" i="7" s="1"/>
  <c r="N81" i="7" s="1"/>
  <c r="G7" i="12"/>
  <c r="G9" i="12" s="1"/>
  <c r="T38" i="6"/>
  <c r="T40" i="6" s="1"/>
  <c r="AB9" i="12"/>
  <c r="AS9" i="12"/>
  <c r="AW9" i="3"/>
  <c r="P9" i="3"/>
  <c r="G57" i="3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AM57" i="3" s="1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H58" i="3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AG58" i="3" s="1"/>
  <c r="AH58" i="3" s="1"/>
  <c r="AI58" i="3" s="1"/>
  <c r="AJ58" i="3" s="1"/>
  <c r="AK58" i="3" s="1"/>
  <c r="AL58" i="3" s="1"/>
  <c r="AM58" i="3" s="1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E82" i="7"/>
  <c r="F82" i="7" s="1"/>
  <c r="G82" i="7" s="1"/>
  <c r="H82" i="7" s="1"/>
  <c r="I82" i="7" s="1"/>
  <c r="J82" i="7" s="1"/>
  <c r="K82" i="7" s="1"/>
  <c r="L82" i="7" s="1"/>
  <c r="M82" i="7" s="1"/>
  <c r="N82" i="7" s="1"/>
  <c r="R25" i="4"/>
  <c r="R27" i="4" s="1"/>
  <c r="I9" i="6"/>
  <c r="I19" i="6" s="1"/>
  <c r="I21" i="6" s="1"/>
  <c r="I25" i="4"/>
  <c r="I27" i="4" s="1"/>
  <c r="H39" i="8"/>
  <c r="AC9" i="3"/>
  <c r="AG25" i="4"/>
  <c r="AH39" i="4"/>
  <c r="AF49" i="4"/>
  <c r="AJ36" i="5"/>
  <c r="AG20" i="6"/>
  <c r="AX7" i="12"/>
  <c r="AW7" i="12"/>
  <c r="P49" i="4"/>
  <c r="P51" i="4" s="1"/>
  <c r="Q49" i="4"/>
  <c r="Q51" i="4" s="1"/>
  <c r="J28" i="6"/>
  <c r="J38" i="6" s="1"/>
  <c r="J40" i="6" s="1"/>
  <c r="J49" i="4"/>
  <c r="J51" i="4" s="1"/>
  <c r="O49" i="4"/>
  <c r="O51" i="4" s="1"/>
  <c r="N54" i="6"/>
  <c r="N55" i="6" s="1"/>
  <c r="R38" i="6"/>
  <c r="R40" i="6" s="1"/>
  <c r="K49" i="5"/>
  <c r="K51" i="5" s="1"/>
  <c r="E33" i="8"/>
  <c r="E39" i="8" s="1"/>
  <c r="E4" i="8"/>
  <c r="E14" i="8" s="1"/>
  <c r="N33" i="8"/>
  <c r="N39" i="8" s="1"/>
  <c r="N4" i="8"/>
  <c r="N14" i="8" s="1"/>
  <c r="N9" i="12"/>
  <c r="AN9" i="12"/>
  <c r="J9" i="12"/>
  <c r="AB9" i="3"/>
  <c r="F9" i="3"/>
  <c r="L60" i="3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E83" i="7"/>
  <c r="F83" i="7" s="1"/>
  <c r="G83" i="7" s="1"/>
  <c r="H83" i="7" s="1"/>
  <c r="I83" i="7" s="1"/>
  <c r="J83" i="7" s="1"/>
  <c r="K83" i="7" s="1"/>
  <c r="L83" i="7" s="1"/>
  <c r="M83" i="7" s="1"/>
  <c r="N83" i="7" s="1"/>
  <c r="N19" i="6"/>
  <c r="N21" i="6" s="1"/>
  <c r="C105" i="3"/>
  <c r="D105" i="3" s="1"/>
  <c r="E105" i="3" s="1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AI105" i="3" s="1"/>
  <c r="AJ105" i="3" s="1"/>
  <c r="AK105" i="3" s="1"/>
  <c r="AL105" i="3" s="1"/>
  <c r="AM105" i="3" s="1"/>
  <c r="AN105" i="3" s="1"/>
  <c r="AO105" i="3" s="1"/>
  <c r="AP105" i="3" s="1"/>
  <c r="AQ105" i="3" s="1"/>
  <c r="AR105" i="3" s="1"/>
  <c r="AS105" i="3" s="1"/>
  <c r="AT105" i="3" s="1"/>
  <c r="AU105" i="3" s="1"/>
  <c r="AV105" i="3" s="1"/>
  <c r="AW105" i="3" s="1"/>
  <c r="AX105" i="3" s="1"/>
  <c r="AY105" i="3" s="1"/>
  <c r="AZ105" i="3" s="1"/>
  <c r="BA105" i="3" s="1"/>
  <c r="BB105" i="3" s="1"/>
  <c r="C6" i="3"/>
  <c r="AV9" i="12"/>
  <c r="M6" i="14"/>
  <c r="AH36" i="4"/>
  <c r="K8" i="12"/>
  <c r="J8" i="12"/>
  <c r="G100" i="3"/>
  <c r="F102" i="3"/>
  <c r="U6" i="14"/>
  <c r="AG16" i="6"/>
  <c r="Y25" i="5"/>
  <c r="Y27" i="5" s="1"/>
  <c r="AH46" i="4"/>
  <c r="L7" i="12"/>
  <c r="E9" i="7"/>
  <c r="K7" i="12"/>
  <c r="F7" i="12"/>
  <c r="F9" i="12" s="1"/>
  <c r="L28" i="6"/>
  <c r="L38" i="6" s="1"/>
  <c r="L40" i="6" s="1"/>
  <c r="L49" i="4"/>
  <c r="L51" i="4" s="1"/>
  <c r="S49" i="5"/>
  <c r="S51" i="5" s="1"/>
  <c r="S54" i="6"/>
  <c r="S55" i="6" s="1"/>
  <c r="Q38" i="6"/>
  <c r="Q40" i="6" s="1"/>
  <c r="L9" i="7"/>
  <c r="D40" i="7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Z9" i="12"/>
  <c r="S9" i="12"/>
  <c r="V9" i="12"/>
  <c r="AN9" i="3"/>
  <c r="R9" i="3"/>
  <c r="H9" i="3"/>
  <c r="J9" i="3"/>
  <c r="L9" i="3"/>
  <c r="D80" i="3"/>
  <c r="E80" i="3" s="1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AS80" i="3" s="1"/>
  <c r="AT80" i="3" s="1"/>
  <c r="AU80" i="3" s="1"/>
  <c r="AV80" i="3" s="1"/>
  <c r="AW80" i="3" s="1"/>
  <c r="AX80" i="3" s="1"/>
  <c r="AY80" i="3" s="1"/>
  <c r="AZ80" i="3" s="1"/>
  <c r="BA80" i="3" s="1"/>
  <c r="BB80" i="3" s="1"/>
  <c r="D40" i="3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D64" i="3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D59" i="3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AV40" i="7"/>
  <c r="AW40" i="7" s="1"/>
  <c r="AX40" i="7" s="1"/>
  <c r="AY40" i="7" s="1"/>
  <c r="AZ40" i="7" s="1"/>
  <c r="BA40" i="7" s="1"/>
  <c r="BB40" i="7" s="1"/>
  <c r="D84" i="7"/>
  <c r="E84" i="7" s="1"/>
  <c r="F84" i="7" s="1"/>
  <c r="G84" i="7" s="1"/>
  <c r="H84" i="7" s="1"/>
  <c r="I84" i="7" s="1"/>
  <c r="J84" i="7" s="1"/>
  <c r="K84" i="7" s="1"/>
  <c r="L84" i="7" s="1"/>
  <c r="M84" i="7" s="1"/>
  <c r="N84" i="7" s="1"/>
  <c r="AH16" i="4"/>
  <c r="L9" i="6"/>
  <c r="L19" i="6" s="1"/>
  <c r="L21" i="6" s="1"/>
  <c r="L25" i="4"/>
  <c r="L27" i="4" s="1"/>
  <c r="Q25" i="4"/>
  <c r="Q27" i="4" s="1"/>
  <c r="K4" i="8"/>
  <c r="K14" i="8" s="1"/>
  <c r="K33" i="8"/>
  <c r="K39" i="8" s="1"/>
  <c r="AR9" i="12"/>
  <c r="K9" i="3"/>
  <c r="M49" i="5"/>
  <c r="M51" i="5" s="1"/>
  <c r="Y7" i="15"/>
  <c r="AJ24" i="5"/>
  <c r="AJ7" i="15"/>
  <c r="Q7" i="14"/>
  <c r="Q15" i="14" s="1"/>
  <c r="Q6" i="14"/>
  <c r="S11" i="15"/>
  <c r="P10" i="15"/>
  <c r="E116" i="12"/>
  <c r="F117" i="12" s="1"/>
  <c r="G113" i="12" s="1"/>
  <c r="H117" i="12" s="1"/>
  <c r="I117" i="12" s="1"/>
  <c r="J117" i="12" s="1"/>
  <c r="K116" i="12" s="1"/>
  <c r="L117" i="12" s="1"/>
  <c r="M117" i="12" s="1"/>
  <c r="N117" i="12" s="1"/>
  <c r="O117" i="12" s="1"/>
  <c r="AG49" i="4"/>
  <c r="AH47" i="4"/>
  <c r="V54" i="6"/>
  <c r="K54" i="6"/>
  <c r="P7" i="15"/>
  <c r="AH7" i="15" s="1"/>
  <c r="P7" i="14"/>
  <c r="P15" i="14" s="1"/>
  <c r="P6" i="14"/>
  <c r="O7" i="14"/>
  <c r="O15" i="14" s="1"/>
  <c r="O6" i="14"/>
  <c r="S12" i="15"/>
  <c r="V10" i="15"/>
  <c r="AF19" i="6"/>
  <c r="AJ19" i="5"/>
  <c r="AJ43" i="5"/>
  <c r="AH17" i="4"/>
  <c r="AH19" i="4"/>
  <c r="AH22" i="4"/>
  <c r="K28" i="6"/>
  <c r="K38" i="6" s="1"/>
  <c r="K40" i="6" s="1"/>
  <c r="K49" i="4"/>
  <c r="K51" i="4" s="1"/>
  <c r="Q49" i="5"/>
  <c r="Q51" i="5" s="1"/>
  <c r="P54" i="6"/>
  <c r="P55" i="6" s="1"/>
  <c r="D58" i="7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D33" i="8"/>
  <c r="D39" i="8" s="1"/>
  <c r="D4" i="8"/>
  <c r="D14" i="8" s="1"/>
  <c r="AL9" i="12"/>
  <c r="E9" i="12"/>
  <c r="AE9" i="12"/>
  <c r="AH9" i="12"/>
  <c r="N9" i="3"/>
  <c r="AZ9" i="3"/>
  <c r="AD9" i="3"/>
  <c r="T9" i="3"/>
  <c r="V9" i="3"/>
  <c r="X9" i="3"/>
  <c r="D83" i="3"/>
  <c r="E83" i="3" s="1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S83" i="3" s="1"/>
  <c r="AT83" i="3" s="1"/>
  <c r="AU83" i="3" s="1"/>
  <c r="AV83" i="3" s="1"/>
  <c r="AW83" i="3" s="1"/>
  <c r="AX83" i="3" s="1"/>
  <c r="AY83" i="3" s="1"/>
  <c r="AZ83" i="3" s="1"/>
  <c r="BA83" i="3" s="1"/>
  <c r="BB83" i="3" s="1"/>
  <c r="D42" i="3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D66" i="3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AS66" i="3" s="1"/>
  <c r="AT66" i="3" s="1"/>
  <c r="AU66" i="3" s="1"/>
  <c r="AV66" i="3" s="1"/>
  <c r="AW66" i="3" s="1"/>
  <c r="AX66" i="3" s="1"/>
  <c r="AY66" i="3" s="1"/>
  <c r="AZ66" i="3" s="1"/>
  <c r="BA66" i="3" s="1"/>
  <c r="BB66" i="3" s="1"/>
  <c r="D43" i="3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D62" i="3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AV37" i="7"/>
  <c r="AW37" i="7" s="1"/>
  <c r="AX37" i="7" s="1"/>
  <c r="AY37" i="7" s="1"/>
  <c r="AZ37" i="7" s="1"/>
  <c r="BA37" i="7" s="1"/>
  <c r="BB37" i="7" s="1"/>
  <c r="F85" i="7"/>
  <c r="G85" i="7" s="1"/>
  <c r="H85" i="7" s="1"/>
  <c r="I85" i="7" s="1"/>
  <c r="J85" i="7" s="1"/>
  <c r="K85" i="7" s="1"/>
  <c r="L85" i="7" s="1"/>
  <c r="M85" i="7" s="1"/>
  <c r="N85" i="7" s="1"/>
  <c r="S25" i="5"/>
  <c r="S27" i="5" s="1"/>
  <c r="T19" i="6"/>
  <c r="T21" i="6" s="1"/>
  <c r="P19" i="6"/>
  <c r="P21" i="6" s="1"/>
  <c r="G9" i="3"/>
  <c r="Y2" i="14"/>
  <c r="AG28" i="6"/>
  <c r="AE38" i="6"/>
  <c r="AE40" i="6" s="1"/>
  <c r="Y49" i="5"/>
  <c r="Y51" i="5" s="1"/>
  <c r="AB51" i="5" s="1"/>
  <c r="AH21" i="4"/>
  <c r="AY8" i="12"/>
  <c r="AM9" i="3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6" i="12"/>
  <c r="B22" i="12" s="1"/>
  <c r="I49" i="5"/>
  <c r="I51" i="5" s="1"/>
  <c r="X54" i="6"/>
  <c r="M38" i="6"/>
  <c r="M40" i="6" s="1"/>
  <c r="G33" i="8"/>
  <c r="G39" i="8" s="1"/>
  <c r="G4" i="8"/>
  <c r="G14" i="8" s="1"/>
  <c r="C52" i="8"/>
  <c r="D60" i="7"/>
  <c r="M4" i="8"/>
  <c r="M14" i="8" s="1"/>
  <c r="M33" i="8"/>
  <c r="M39" i="8" s="1"/>
  <c r="Q9" i="12"/>
  <c r="AQ9" i="12"/>
  <c r="AT9" i="12"/>
  <c r="Z9" i="3"/>
  <c r="AP9" i="3"/>
  <c r="AF9" i="3"/>
  <c r="AH9" i="3"/>
  <c r="AJ9" i="3"/>
  <c r="K86" i="3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6" i="3" s="1"/>
  <c r="AZ86" i="3" s="1"/>
  <c r="BA86" i="3" s="1"/>
  <c r="BB86" i="3" s="1"/>
  <c r="V8" i="12"/>
  <c r="D65" i="3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E86" i="7"/>
  <c r="F86" i="7" s="1"/>
  <c r="G86" i="7" s="1"/>
  <c r="H86" i="7" s="1"/>
  <c r="I86" i="7" s="1"/>
  <c r="J86" i="7" s="1"/>
  <c r="K86" i="7" s="1"/>
  <c r="L86" i="7" s="1"/>
  <c r="M86" i="7" s="1"/>
  <c r="N86" i="7" s="1"/>
  <c r="T25" i="4"/>
  <c r="T27" i="4" s="1"/>
  <c r="O25" i="4"/>
  <c r="O27" i="4" s="1"/>
  <c r="P25" i="4"/>
  <c r="P27" i="4" s="1"/>
  <c r="L25" i="5"/>
  <c r="L27" i="5" s="1"/>
  <c r="R25" i="5"/>
  <c r="R27" i="5" s="1"/>
  <c r="T25" i="5"/>
  <c r="T27" i="5" s="1"/>
  <c r="R19" i="6"/>
  <c r="R21" i="6" s="1"/>
  <c r="S7" i="15"/>
  <c r="E27" i="8"/>
  <c r="F24" i="8"/>
  <c r="AG31" i="6"/>
  <c r="AG15" i="6"/>
  <c r="AH25" i="5"/>
  <c r="AJ15" i="5"/>
  <c r="AG29" i="6"/>
  <c r="AJ41" i="5"/>
  <c r="X25" i="5"/>
  <c r="X27" i="5" s="1"/>
  <c r="AH35" i="4"/>
  <c r="AH40" i="4"/>
  <c r="AM8" i="12"/>
  <c r="S8" i="12"/>
  <c r="R8" i="12"/>
  <c r="AZ8" i="12"/>
  <c r="D13" i="7"/>
  <c r="R49" i="4"/>
  <c r="R51" i="4" s="1"/>
  <c r="V28" i="6"/>
  <c r="V38" i="6" s="1"/>
  <c r="V40" i="6" s="1"/>
  <c r="M49" i="4"/>
  <c r="M51" i="4" s="1"/>
  <c r="L49" i="5"/>
  <c r="L51" i="5" s="1"/>
  <c r="N38" i="6"/>
  <c r="N40" i="6" s="1"/>
  <c r="D37" i="7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C33" i="8"/>
  <c r="C4" i="8"/>
  <c r="C62" i="7"/>
  <c r="L9" i="12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AJ11" i="12" s="1"/>
  <c r="AK11" i="12" s="1"/>
  <c r="AL11" i="12" s="1"/>
  <c r="AM11" i="12" s="1"/>
  <c r="AN11" i="12" s="1"/>
  <c r="AO11" i="12" s="1"/>
  <c r="AP11" i="12" s="1"/>
  <c r="AQ11" i="12" s="1"/>
  <c r="AR11" i="12" s="1"/>
  <c r="AS11" i="12" s="1"/>
  <c r="AT11" i="12" s="1"/>
  <c r="AU11" i="12" s="1"/>
  <c r="AV11" i="12" s="1"/>
  <c r="C13" i="12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AB13" i="12" s="1"/>
  <c r="AC13" i="12" s="1"/>
  <c r="AD13" i="12" s="1"/>
  <c r="AE13" i="12" s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A5" i="12"/>
  <c r="AC9" i="12"/>
  <c r="H9" i="12"/>
  <c r="K9" i="12"/>
  <c r="AL9" i="3"/>
  <c r="BB9" i="3"/>
  <c r="AR9" i="3"/>
  <c r="AT9" i="3"/>
  <c r="AV9" i="3"/>
  <c r="D89" i="3"/>
  <c r="E89" i="3" s="1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AS89" i="3" s="1"/>
  <c r="AT89" i="3" s="1"/>
  <c r="AU89" i="3" s="1"/>
  <c r="AV89" i="3" s="1"/>
  <c r="AW89" i="3" s="1"/>
  <c r="AX89" i="3" s="1"/>
  <c r="AY89" i="3" s="1"/>
  <c r="AZ89" i="3" s="1"/>
  <c r="BA89" i="3" s="1"/>
  <c r="BB89" i="3" s="1"/>
  <c r="D41" i="3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D87" i="7"/>
  <c r="E87" i="7" s="1"/>
  <c r="F87" i="7" s="1"/>
  <c r="G87" i="7" s="1"/>
  <c r="H87" i="7" s="1"/>
  <c r="I87" i="7" s="1"/>
  <c r="J87" i="7" s="1"/>
  <c r="K87" i="7" s="1"/>
  <c r="L87" i="7" s="1"/>
  <c r="M87" i="7" s="1"/>
  <c r="N87" i="7" s="1"/>
  <c r="M25" i="5"/>
  <c r="M27" i="5" s="1"/>
  <c r="I25" i="5"/>
  <c r="I27" i="5" s="1"/>
  <c r="AM9" i="12"/>
  <c r="R7" i="14"/>
  <c r="R15" i="14" s="1"/>
  <c r="R6" i="14"/>
  <c r="N7" i="14"/>
  <c r="N15" i="14" s="1"/>
  <c r="N6" i="14"/>
  <c r="F51" i="6"/>
  <c r="F48" i="6"/>
  <c r="F17" i="6"/>
  <c r="F33" i="6"/>
  <c r="F9" i="6"/>
  <c r="F28" i="6"/>
  <c r="F35" i="6"/>
  <c r="F15" i="6"/>
  <c r="F10" i="6"/>
  <c r="F30" i="6"/>
  <c r="F37" i="6"/>
  <c r="F11" i="6"/>
  <c r="F32" i="6"/>
  <c r="F12" i="6"/>
  <c r="F34" i="6"/>
  <c r="F16" i="6"/>
  <c r="F29" i="6"/>
  <c r="F13" i="6"/>
  <c r="F50" i="6"/>
  <c r="F36" i="6"/>
  <c r="F53" i="6"/>
  <c r="F31" i="6"/>
  <c r="F18" i="6"/>
  <c r="F14" i="6"/>
  <c r="AG10" i="6"/>
  <c r="AJ46" i="5"/>
  <c r="W49" i="4"/>
  <c r="W51" i="4" s="1"/>
  <c r="Z51" i="4" s="1"/>
  <c r="AH23" i="4"/>
  <c r="AH44" i="4"/>
  <c r="Y8" i="12"/>
  <c r="H13" i="7"/>
  <c r="T8" i="12"/>
  <c r="G13" i="7"/>
  <c r="G8" i="12"/>
  <c r="N8" i="12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A2" i="3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C9" i="3"/>
  <c r="A3" i="3"/>
  <c r="W54" i="6"/>
  <c r="L54" i="6"/>
  <c r="F54" i="6" s="1"/>
  <c r="P38" i="6"/>
  <c r="P40" i="6" s="1"/>
  <c r="C36" i="8"/>
  <c r="C63" i="7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H14" i="8"/>
  <c r="H13" i="8"/>
  <c r="L4" i="8"/>
  <c r="L13" i="8" s="1"/>
  <c r="L33" i="8"/>
  <c r="L39" i="8" s="1"/>
  <c r="X9" i="12"/>
  <c r="O9" i="12"/>
  <c r="AO9" i="12"/>
  <c r="T9" i="12"/>
  <c r="W9" i="12"/>
  <c r="AX9" i="3"/>
  <c r="E9" i="3"/>
  <c r="E82" i="3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AS82" i="3" s="1"/>
  <c r="AT82" i="3" s="1"/>
  <c r="AU82" i="3" s="1"/>
  <c r="AV82" i="3" s="1"/>
  <c r="AW82" i="3" s="1"/>
  <c r="AX82" i="3" s="1"/>
  <c r="AY82" i="3" s="1"/>
  <c r="AZ82" i="3" s="1"/>
  <c r="BA82" i="3" s="1"/>
  <c r="BB82" i="3" s="1"/>
  <c r="AY7" i="12"/>
  <c r="N9" i="7"/>
  <c r="AU38" i="7"/>
  <c r="AV38" i="7" s="1"/>
  <c r="AW38" i="7" s="1"/>
  <c r="AX38" i="7" s="1"/>
  <c r="AY38" i="7" s="1"/>
  <c r="AZ38" i="7" s="1"/>
  <c r="BA38" i="7" s="1"/>
  <c r="BB38" i="7" s="1"/>
  <c r="D88" i="7"/>
  <c r="E88" i="7" s="1"/>
  <c r="F88" i="7" s="1"/>
  <c r="G88" i="7" s="1"/>
  <c r="H88" i="7" s="1"/>
  <c r="I88" i="7" s="1"/>
  <c r="J88" i="7" s="1"/>
  <c r="K88" i="7" s="1"/>
  <c r="L88" i="7" s="1"/>
  <c r="M88" i="7" s="1"/>
  <c r="N88" i="7" s="1"/>
  <c r="K9" i="6"/>
  <c r="K19" i="6" s="1"/>
  <c r="K21" i="6" s="1"/>
  <c r="K25" i="4"/>
  <c r="K27" i="4" s="1"/>
  <c r="N25" i="5"/>
  <c r="N27" i="5" s="1"/>
  <c r="Q25" i="5"/>
  <c r="Q27" i="5" s="1"/>
  <c r="M19" i="6"/>
  <c r="M21" i="6" s="1"/>
  <c r="AI21" i="6" s="1"/>
  <c r="F14" i="8" l="1"/>
  <c r="K41" i="6"/>
  <c r="AH27" i="5"/>
  <c r="L41" i="6"/>
  <c r="V41" i="6" s="1"/>
  <c r="W41" i="6" s="1"/>
  <c r="X41" i="6" s="1"/>
  <c r="Y41" i="6" s="1"/>
  <c r="Z41" i="6" s="1"/>
  <c r="AA41" i="6" s="1"/>
  <c r="V12" i="15"/>
  <c r="W12" i="15"/>
  <c r="Y12" i="15"/>
  <c r="B8" i="9"/>
  <c r="X11" i="15"/>
  <c r="I13" i="8"/>
  <c r="W11" i="15"/>
  <c r="L14" i="8"/>
  <c r="L20" i="8" s="1"/>
  <c r="AJ25" i="5"/>
  <c r="K13" i="8"/>
  <c r="E20" i="8"/>
  <c r="J20" i="8"/>
  <c r="G20" i="8"/>
  <c r="N20" i="8"/>
  <c r="D20" i="8"/>
  <c r="K20" i="8"/>
  <c r="M20" i="8"/>
  <c r="AK10" i="15"/>
  <c r="D52" i="8"/>
  <c r="E60" i="7"/>
  <c r="AH10" i="15"/>
  <c r="Y6" i="14"/>
  <c r="AH49" i="4"/>
  <c r="D8" i="7"/>
  <c r="E13" i="8"/>
  <c r="AF11" i="15"/>
  <c r="H20" i="8"/>
  <c r="R10" i="15"/>
  <c r="AI10" i="15" s="1"/>
  <c r="AD10" i="15"/>
  <c r="AC10" i="15"/>
  <c r="AB10" i="15"/>
  <c r="I20" i="8"/>
  <c r="N11" i="15"/>
  <c r="Z11" i="15" s="1"/>
  <c r="AG11" i="15"/>
  <c r="AH51" i="5"/>
  <c r="AJ11" i="15"/>
  <c r="V11" i="15"/>
  <c r="C58" i="8"/>
  <c r="D62" i="7"/>
  <c r="AG38" i="6"/>
  <c r="AG40" i="6" s="1"/>
  <c r="R7" i="15"/>
  <c r="AI7" i="15" s="1"/>
  <c r="AB7" i="15"/>
  <c r="AC7" i="15"/>
  <c r="AF12" i="15"/>
  <c r="AH25" i="4"/>
  <c r="Y11" i="15"/>
  <c r="F12" i="7"/>
  <c r="O4" i="8"/>
  <c r="AJ51" i="4"/>
  <c r="C8" i="12"/>
  <c r="C13" i="7"/>
  <c r="C14" i="7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AJ49" i="5"/>
  <c r="AL27" i="5"/>
  <c r="G13" i="8"/>
  <c r="G102" i="3"/>
  <c r="H100" i="3"/>
  <c r="M13" i="8"/>
  <c r="N12" i="15"/>
  <c r="AG12" i="15"/>
  <c r="AJ27" i="4"/>
  <c r="N13" i="8"/>
  <c r="C55" i="8"/>
  <c r="C61" i="8" s="1"/>
  <c r="D61" i="7"/>
  <c r="C7" i="12"/>
  <c r="C9" i="12" s="1"/>
  <c r="C9" i="7"/>
  <c r="C10" i="7" s="1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AA11" i="15"/>
  <c r="Y7" i="14"/>
  <c r="G24" i="8"/>
  <c r="F27" i="8"/>
  <c r="D13" i="8"/>
  <c r="AF51" i="4"/>
  <c r="C39" i="8"/>
  <c r="D104" i="3"/>
  <c r="C106" i="3"/>
  <c r="J13" i="8"/>
  <c r="Y15" i="14"/>
  <c r="AF51" i="5"/>
  <c r="AI51" i="5" s="1"/>
  <c r="AE51" i="5"/>
  <c r="AD51" i="5"/>
  <c r="AC51" i="5"/>
  <c r="AI54" i="6"/>
  <c r="F20" i="8"/>
  <c r="AF27" i="4"/>
  <c r="AJ12" i="15"/>
  <c r="AL51" i="5"/>
  <c r="AE21" i="6"/>
  <c r="I22" i="6"/>
  <c r="J22" i="6" s="1"/>
  <c r="K22" i="6" s="1"/>
  <c r="L22" i="6" s="1"/>
  <c r="V22" i="6" s="1"/>
  <c r="W22" i="6" s="1"/>
  <c r="X22" i="6" s="1"/>
  <c r="Y22" i="6" s="1"/>
  <c r="Z22" i="6" s="1"/>
  <c r="AA22" i="6" s="1"/>
  <c r="AG19" i="6"/>
  <c r="C14" i="8"/>
  <c r="C13" i="8"/>
  <c r="O3" i="8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I55" i="6"/>
  <c r="J55" i="6" s="1"/>
  <c r="K55" i="6" s="1"/>
  <c r="L55" i="6" s="1"/>
  <c r="V55" i="6" s="1"/>
  <c r="W55" i="6" s="1"/>
  <c r="X55" i="6" s="1"/>
  <c r="Y55" i="6" s="1"/>
  <c r="Z55" i="6" s="1"/>
  <c r="AA55" i="6" s="1"/>
  <c r="AB55" i="6" s="1"/>
  <c r="AC55" i="6" s="1"/>
  <c r="AD55" i="6" s="1"/>
  <c r="AE55" i="6" s="1"/>
  <c r="AF55" i="6" s="1"/>
  <c r="AG55" i="6" s="1"/>
  <c r="AH55" i="6" s="1"/>
  <c r="AE54" i="6"/>
  <c r="AE10" i="15" l="1"/>
  <c r="D14" i="7"/>
  <c r="C15" i="7"/>
  <c r="E104" i="3"/>
  <c r="D106" i="3"/>
  <c r="C11" i="7"/>
  <c r="E8" i="7"/>
  <c r="D11" i="7"/>
  <c r="C48" i="8"/>
  <c r="D48" i="8" s="1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13" i="8"/>
  <c r="P12" i="15"/>
  <c r="R12" i="15" s="1"/>
  <c r="AI12" i="15" s="1"/>
  <c r="AA12" i="15"/>
  <c r="Z12" i="15"/>
  <c r="D58" i="8"/>
  <c r="E62" i="7"/>
  <c r="H24" i="8"/>
  <c r="G27" i="8"/>
  <c r="H102" i="3"/>
  <c r="I100" i="3"/>
  <c r="C20" i="8"/>
  <c r="O14" i="8"/>
  <c r="G12" i="7"/>
  <c r="E52" i="8"/>
  <c r="F60" i="7"/>
  <c r="P11" i="15"/>
  <c r="AI55" i="6"/>
  <c r="D55" i="8"/>
  <c r="D61" i="8" s="1"/>
  <c r="E61" i="7"/>
  <c r="AE7" i="15"/>
  <c r="AD7" i="15"/>
  <c r="AK7" i="15"/>
  <c r="AB12" i="15" l="1"/>
  <c r="B14" i="8"/>
  <c r="AC12" i="15"/>
  <c r="AD12" i="15"/>
  <c r="AE12" i="15"/>
  <c r="H12" i="7"/>
  <c r="F52" i="8"/>
  <c r="G60" i="7"/>
  <c r="Q14" i="8"/>
  <c r="B16" i="8"/>
  <c r="O20" i="8"/>
  <c r="H7" i="11" s="1"/>
  <c r="C22" i="8"/>
  <c r="D22" i="8" s="1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F8" i="7"/>
  <c r="E11" i="7"/>
  <c r="E55" i="8"/>
  <c r="E61" i="8" s="1"/>
  <c r="F61" i="7"/>
  <c r="R11" i="15"/>
  <c r="AE11" i="15" s="1"/>
  <c r="AB11" i="15"/>
  <c r="AC11" i="15"/>
  <c r="I102" i="3"/>
  <c r="J100" i="3"/>
  <c r="F104" i="3"/>
  <c r="E106" i="3"/>
  <c r="E58" i="8"/>
  <c r="F62" i="7"/>
  <c r="AH11" i="15"/>
  <c r="I24" i="8"/>
  <c r="H27" i="8"/>
  <c r="AH12" i="15"/>
  <c r="B15" i="8"/>
  <c r="AK12" i="15"/>
  <c r="E14" i="7"/>
  <c r="D15" i="7"/>
  <c r="AD11" i="15" l="1"/>
  <c r="F58" i="8"/>
  <c r="G62" i="7"/>
  <c r="G104" i="3"/>
  <c r="F106" i="3"/>
  <c r="H6" i="11"/>
  <c r="I6" i="11" s="1"/>
  <c r="I7" i="11"/>
  <c r="F14" i="7"/>
  <c r="E15" i="7"/>
  <c r="G52" i="8"/>
  <c r="H60" i="7"/>
  <c r="J102" i="3"/>
  <c r="K100" i="3"/>
  <c r="AI11" i="15"/>
  <c r="AK11" i="15"/>
  <c r="I12" i="7"/>
  <c r="G8" i="7"/>
  <c r="F11" i="7"/>
  <c r="J24" i="8"/>
  <c r="I27" i="8"/>
  <c r="F55" i="8"/>
  <c r="F61" i="8" s="1"/>
  <c r="G61" i="7"/>
  <c r="K102" i="3" l="1"/>
  <c r="L100" i="3"/>
  <c r="G55" i="8"/>
  <c r="G61" i="8" s="1"/>
  <c r="H61" i="7"/>
  <c r="G14" i="7"/>
  <c r="F15" i="7"/>
  <c r="K24" i="8"/>
  <c r="J27" i="8"/>
  <c r="G106" i="3"/>
  <c r="H104" i="3"/>
  <c r="H8" i="7"/>
  <c r="G11" i="7"/>
  <c r="J12" i="7"/>
  <c r="G58" i="8"/>
  <c r="H62" i="7"/>
  <c r="H52" i="8"/>
  <c r="I60" i="7"/>
  <c r="I8" i="7" l="1"/>
  <c r="H11" i="7"/>
  <c r="J60" i="7"/>
  <c r="I52" i="8"/>
  <c r="H106" i="3"/>
  <c r="I104" i="3"/>
  <c r="H14" i="7"/>
  <c r="G15" i="7"/>
  <c r="H58" i="8"/>
  <c r="I62" i="7"/>
  <c r="K12" i="7"/>
  <c r="L102" i="3"/>
  <c r="M100" i="3"/>
  <c r="L24" i="8"/>
  <c r="K27" i="8"/>
  <c r="H55" i="8"/>
  <c r="H61" i="8" s="1"/>
  <c r="I61" i="7"/>
  <c r="I106" i="3" l="1"/>
  <c r="J104" i="3"/>
  <c r="I58" i="8"/>
  <c r="J62" i="7"/>
  <c r="N100" i="3"/>
  <c r="M102" i="3"/>
  <c r="I55" i="8"/>
  <c r="J61" i="7"/>
  <c r="I61" i="8"/>
  <c r="I14" i="7"/>
  <c r="H15" i="7"/>
  <c r="M24" i="8"/>
  <c r="L27" i="8"/>
  <c r="K60" i="7"/>
  <c r="J52" i="8"/>
  <c r="L12" i="7"/>
  <c r="J8" i="7"/>
  <c r="I11" i="7"/>
  <c r="N24" i="8" l="1"/>
  <c r="N27" i="8" s="1"/>
  <c r="M27" i="8"/>
  <c r="J11" i="7"/>
  <c r="K8" i="7"/>
  <c r="J14" i="7"/>
  <c r="I15" i="7"/>
  <c r="O100" i="3"/>
  <c r="N102" i="3"/>
  <c r="J106" i="3"/>
  <c r="K104" i="3"/>
  <c r="J55" i="8"/>
  <c r="J61" i="8" s="1"/>
  <c r="K61" i="7"/>
  <c r="M12" i="7"/>
  <c r="J58" i="8"/>
  <c r="K62" i="7"/>
  <c r="L60" i="7"/>
  <c r="K52" i="8"/>
  <c r="L52" i="8" l="1"/>
  <c r="M60" i="7"/>
  <c r="P100" i="3"/>
  <c r="O102" i="3"/>
  <c r="N12" i="7"/>
  <c r="K106" i="3"/>
  <c r="L104" i="3"/>
  <c r="K61" i="8"/>
  <c r="K58" i="8"/>
  <c r="L62" i="7"/>
  <c r="K14" i="7"/>
  <c r="J15" i="7"/>
  <c r="L8" i="7"/>
  <c r="K11" i="7"/>
  <c r="L61" i="7"/>
  <c r="K55" i="8"/>
  <c r="M104" i="3" l="1"/>
  <c r="L106" i="3"/>
  <c r="Q100" i="3"/>
  <c r="P102" i="3"/>
  <c r="L14" i="7"/>
  <c r="K15" i="7"/>
  <c r="N60" i="7"/>
  <c r="N52" i="8" s="1"/>
  <c r="M52" i="8"/>
  <c r="L58" i="8"/>
  <c r="M62" i="7"/>
  <c r="L55" i="8"/>
  <c r="L61" i="8" s="1"/>
  <c r="M61" i="7"/>
  <c r="M8" i="7"/>
  <c r="L11" i="7"/>
  <c r="M58" i="8" l="1"/>
  <c r="N62" i="7"/>
  <c r="N58" i="8" s="1"/>
  <c r="R100" i="3"/>
  <c r="Q102" i="3"/>
  <c r="N8" i="7"/>
  <c r="N11" i="7" s="1"/>
  <c r="M11" i="7"/>
  <c r="M14" i="7"/>
  <c r="L15" i="7"/>
  <c r="N61" i="7"/>
  <c r="N55" i="8" s="1"/>
  <c r="N61" i="8" s="1"/>
  <c r="M55" i="8"/>
  <c r="M61" i="8" s="1"/>
  <c r="N104" i="3"/>
  <c r="M106" i="3"/>
  <c r="N14" i="7" l="1"/>
  <c r="N15" i="7" s="1"/>
  <c r="M15" i="7"/>
  <c r="S100" i="3"/>
  <c r="R102" i="3"/>
  <c r="O104" i="3"/>
  <c r="N106" i="3"/>
  <c r="P104" i="3" l="1"/>
  <c r="O106" i="3"/>
  <c r="S102" i="3"/>
  <c r="T100" i="3"/>
  <c r="T102" i="3" l="1"/>
  <c r="U100" i="3"/>
  <c r="Q104" i="3"/>
  <c r="P106" i="3"/>
  <c r="U102" i="3" l="1"/>
  <c r="V100" i="3"/>
  <c r="R104" i="3"/>
  <c r="Q106" i="3"/>
  <c r="V102" i="3" l="1"/>
  <c r="W100" i="3"/>
  <c r="S104" i="3"/>
  <c r="R106" i="3"/>
  <c r="W102" i="3" l="1"/>
  <c r="X100" i="3"/>
  <c r="S106" i="3"/>
  <c r="T104" i="3"/>
  <c r="Y100" i="3" l="1"/>
  <c r="X102" i="3"/>
  <c r="T106" i="3"/>
  <c r="U104" i="3"/>
  <c r="U106" i="3" l="1"/>
  <c r="V104" i="3"/>
  <c r="Z100" i="3"/>
  <c r="Y102" i="3"/>
  <c r="AA100" i="3" l="1"/>
  <c r="Z102" i="3"/>
  <c r="V106" i="3"/>
  <c r="W104" i="3"/>
  <c r="W106" i="3" l="1"/>
  <c r="X104" i="3"/>
  <c r="AB100" i="3"/>
  <c r="AA102" i="3"/>
  <c r="AB102" i="3" l="1"/>
  <c r="AC100" i="3"/>
  <c r="Y104" i="3"/>
  <c r="X106" i="3"/>
  <c r="Z104" i="3" l="1"/>
  <c r="Y106" i="3"/>
  <c r="AC102" i="3"/>
  <c r="AD100" i="3"/>
  <c r="AD102" i="3" l="1"/>
  <c r="AE100" i="3"/>
  <c r="AA104" i="3"/>
  <c r="Z106" i="3"/>
  <c r="AE102" i="3" l="1"/>
  <c r="AF100" i="3"/>
  <c r="AB104" i="3"/>
  <c r="AA106" i="3"/>
  <c r="AC104" i="3" l="1"/>
  <c r="AB106" i="3"/>
  <c r="AF102" i="3"/>
  <c r="AG100" i="3"/>
  <c r="AG102" i="3" l="1"/>
  <c r="AH100" i="3"/>
  <c r="AD104" i="3"/>
  <c r="AC106" i="3"/>
  <c r="AH102" i="3" l="1"/>
  <c r="AI100" i="3"/>
  <c r="AE104" i="3"/>
  <c r="AD106" i="3"/>
  <c r="AE106" i="3" l="1"/>
  <c r="AF104" i="3"/>
  <c r="AI102" i="3"/>
  <c r="AJ100" i="3"/>
  <c r="AK100" i="3" l="1"/>
  <c r="AJ102" i="3"/>
  <c r="AF106" i="3"/>
  <c r="AG104" i="3"/>
  <c r="AG106" i="3" l="1"/>
  <c r="AH104" i="3"/>
  <c r="AL100" i="3"/>
  <c r="AK102" i="3"/>
  <c r="AH106" i="3" l="1"/>
  <c r="AI104" i="3"/>
  <c r="AM100" i="3"/>
  <c r="AL102" i="3"/>
  <c r="AN100" i="3" l="1"/>
  <c r="AM102" i="3"/>
  <c r="AI106" i="3"/>
  <c r="AJ104" i="3"/>
  <c r="AK104" i="3" l="1"/>
  <c r="AJ106" i="3"/>
  <c r="AO100" i="3"/>
  <c r="AN102" i="3"/>
  <c r="AP100" i="3" l="1"/>
  <c r="AO102" i="3"/>
  <c r="AL104" i="3"/>
  <c r="AK106" i="3"/>
  <c r="AM104" i="3" l="1"/>
  <c r="AL106" i="3"/>
  <c r="AQ100" i="3"/>
  <c r="AP102" i="3"/>
  <c r="AQ102" i="3" l="1"/>
  <c r="AR100" i="3"/>
  <c r="AN104" i="3"/>
  <c r="AM106" i="3"/>
  <c r="AO104" i="3" l="1"/>
  <c r="AN106" i="3"/>
  <c r="AR102" i="3"/>
  <c r="AS100" i="3"/>
  <c r="AS102" i="3" l="1"/>
  <c r="AT100" i="3"/>
  <c r="AP104" i="3"/>
  <c r="AO106" i="3"/>
  <c r="AQ104" i="3" l="1"/>
  <c r="AP106" i="3"/>
  <c r="AT102" i="3"/>
  <c r="AU100" i="3"/>
  <c r="AU102" i="3" l="1"/>
  <c r="AV100" i="3"/>
  <c r="AQ106" i="3"/>
  <c r="AR104" i="3"/>
  <c r="AR106" i="3" l="1"/>
  <c r="AS104" i="3"/>
  <c r="AV102" i="3"/>
  <c r="AW100" i="3"/>
  <c r="AW102" i="3" l="1"/>
  <c r="AX100" i="3"/>
  <c r="AS106" i="3"/>
  <c r="AT104" i="3"/>
  <c r="AT106" i="3" l="1"/>
  <c r="AU104" i="3"/>
  <c r="AX102" i="3"/>
  <c r="AY100" i="3"/>
  <c r="AZ100" i="3" l="1"/>
  <c r="AY102" i="3"/>
  <c r="AU106" i="3"/>
  <c r="AV104" i="3"/>
  <c r="AW104" i="3" l="1"/>
  <c r="AV106" i="3"/>
  <c r="BA100" i="3"/>
  <c r="AZ102" i="3"/>
  <c r="BB100" i="3" l="1"/>
  <c r="BB102" i="3" s="1"/>
  <c r="BA102" i="3"/>
  <c r="AX104" i="3"/>
  <c r="AW106" i="3"/>
  <c r="AY104" i="3" l="1"/>
  <c r="AX106" i="3"/>
  <c r="AZ104" i="3" l="1"/>
  <c r="AY106" i="3"/>
  <c r="BA104" i="3" l="1"/>
  <c r="AZ106" i="3"/>
  <c r="BB104" i="3" l="1"/>
  <c r="BB106" i="3" s="1"/>
  <c r="BA106" i="3"/>
</calcChain>
</file>

<file path=xl/sharedStrings.xml><?xml version="1.0" encoding="utf-8"?>
<sst xmlns="http://schemas.openxmlformats.org/spreadsheetml/2006/main" count="2783" uniqueCount="1067">
  <si>
    <t>ENTITY</t>
  </si>
  <si>
    <t>CURR</t>
  </si>
  <si>
    <t>DIMENSION</t>
  </si>
  <si>
    <t>DIMENSION 2</t>
  </si>
  <si>
    <t>IC</t>
  </si>
  <si>
    <t>YEAR</t>
  </si>
  <si>
    <t>PG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</si>
  <si>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</si>
  <si>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</si>
  <si>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</si>
  <si>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</si>
  <si>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</si>
  <si>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</si>
  <si>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</si>
  <si>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</si>
  <si>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</si>
  <si>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</si>
  <si>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</si>
  <si>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</si>
  <si>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 YTD</t>
  </si>
  <si>
    <t>2 YTD</t>
  </si>
  <si>
    <t>3 YTD</t>
  </si>
  <si>
    <t>4 YTD</t>
  </si>
  <si>
    <t>5 YTD</t>
  </si>
  <si>
    <t>6 YTD</t>
  </si>
  <si>
    <t>7 YTD</t>
  </si>
  <si>
    <t>8 YTD</t>
  </si>
  <si>
    <t>9 YTD</t>
  </si>
  <si>
    <t>10 YTD</t>
  </si>
  <si>
    <t>11 YTD</t>
  </si>
  <si>
    <t>12 YTD</t>
  </si>
  <si>
    <t>Q1</t>
  </si>
  <si>
    <t>Q2</t>
  </si>
  <si>
    <t>Q3</t>
  </si>
  <si>
    <t>Q4</t>
  </si>
  <si>
    <t>S1</t>
  </si>
  <si>
    <t>S2</t>
  </si>
  <si>
    <t>VKGRP</t>
  </si>
  <si>
    <t>HYFR</t>
  </si>
  <si>
    <t>EUR</t>
  </si>
  <si>
    <t>ACT</t>
  </si>
  <si>
    <t>OI</t>
  </si>
  <si>
    <t>P034</t>
  </si>
  <si>
    <t>P014</t>
  </si>
  <si>
    <t>P001</t>
  </si>
  <si>
    <t>BrUms</t>
  </si>
  <si>
    <t>OB</t>
  </si>
  <si>
    <t>JZ:</t>
  </si>
  <si>
    <t xml:space="preserve">OB ist der Jahreswert und die Veränderung, damit es zu den Daten aus QlikView passt. 2020 noch nicht aktualisiert. -&gt; Beim nächsten Probelauf prüfen aber eher unkritisch, </t>
  </si>
  <si>
    <t>Im neuen Jahr neue Datei wenn Prozess gleich bleibt. "YEAR" ändern und prüfen.</t>
  </si>
  <si>
    <t>Revenue reconciliation SOLUNE vs SAP</t>
  </si>
  <si>
    <t>Sum</t>
  </si>
  <si>
    <t>Revenue SOLUNE</t>
  </si>
  <si>
    <t>-Booked in SOLUNE but not in SAP</t>
  </si>
  <si>
    <t>Revenue in SOLUNE</t>
  </si>
  <si>
    <t>Revenue in SAP</t>
  </si>
  <si>
    <t xml:space="preserve">+Booked in SAP but not in SOLUNE </t>
  </si>
  <si>
    <t>Revenue SAP</t>
  </si>
  <si>
    <t>Document</t>
  </si>
  <si>
    <t>Date</t>
  </si>
  <si>
    <t>Amount</t>
  </si>
  <si>
    <t>Reconciled</t>
  </si>
  <si>
    <t>Bezeichnung</t>
  </si>
  <si>
    <t>Customer</t>
  </si>
  <si>
    <t>Control</t>
  </si>
  <si>
    <t>difference SAP / SOLUNE</t>
  </si>
  <si>
    <t>reasons</t>
  </si>
  <si>
    <t>correction / void</t>
  </si>
  <si>
    <t>Engineering</t>
  </si>
  <si>
    <t>AIA - Engineering</t>
  </si>
  <si>
    <t>to clarify</t>
  </si>
  <si>
    <t>C O M M A N D E S / O R D E R S</t>
  </si>
  <si>
    <t>L I V R A S O N S</t>
  </si>
  <si>
    <t>Nb. of</t>
  </si>
  <si>
    <t>Client</t>
  </si>
  <si>
    <t>Status</t>
  </si>
  <si>
    <t>CW</t>
  </si>
  <si>
    <t>Date Cmde</t>
  </si>
  <si>
    <t>Cmde N°</t>
  </si>
  <si>
    <t>C Montant € HT</t>
  </si>
  <si>
    <t>Délai (semaines)</t>
  </si>
  <si>
    <t>Date Liv. Réelle</t>
  </si>
  <si>
    <t>Date Liv. Prévue</t>
  </si>
  <si>
    <t>parts</t>
  </si>
  <si>
    <t>Product Description</t>
  </si>
  <si>
    <t>DAILY TRACKING</t>
  </si>
  <si>
    <t>Total</t>
  </si>
  <si>
    <t>FCP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</si>
  <si>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</si>
  <si>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</si>
  <si>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</si>
  <si>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</si>
  <si>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</si>
  <si>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</si>
  <si>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</si>
  <si>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</si>
  <si>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</si>
  <si>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</si>
  <si>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</si>
  <si>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</si>
  <si>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</si>
  <si>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</si>
  <si>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</si>
  <si>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</si>
  <si>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</si>
  <si>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</si>
  <si>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</si>
  <si>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</si>
  <si>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</si>
  <si>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</si>
  <si>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</si>
  <si>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</si>
  <si>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</si>
  <si>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</si>
  <si>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</si>
  <si>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</si>
  <si>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</si>
  <si>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</si>
  <si>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</si>
  <si>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</si>
  <si>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</si>
  <si>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</si>
  <si>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</si>
  <si>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</si>
  <si>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</si>
  <si>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</si>
  <si>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</si>
  <si>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</si>
  <si>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</si>
  <si>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</si>
  <si>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</si>
  <si>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</si>
  <si>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</si>
  <si>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</si>
  <si>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</si>
  <si>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</si>
  <si>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</si>
  <si>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</si>
  <si>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</si>
  <si>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</si>
  <si>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Devis</t>
  </si>
  <si>
    <t>Cmde</t>
  </si>
  <si>
    <t>CA</t>
  </si>
  <si>
    <t>Avge Target Cmde</t>
  </si>
  <si>
    <t>Avge. Target CA</t>
  </si>
  <si>
    <t>Diff Cmde</t>
  </si>
  <si>
    <t>Cum. Devis</t>
  </si>
  <si>
    <t>Cum. Cmde</t>
  </si>
  <si>
    <t>Cum. CA</t>
  </si>
  <si>
    <t>Backlog</t>
  </si>
  <si>
    <t>FCP KPIs</t>
  </si>
  <si>
    <t>Reactivity 
PPU</t>
  </si>
  <si>
    <t>Accu. Average RfQ-Quote</t>
  </si>
  <si>
    <t>Max RfQ-Quote (days)</t>
  </si>
  <si>
    <t>Délai Livraison</t>
  </si>
  <si>
    <t>New Customers 
ABA</t>
  </si>
  <si>
    <t>Cold Calls</t>
  </si>
  <si>
    <t>Visits</t>
  </si>
  <si>
    <t>Quotes</t>
  </si>
  <si>
    <t>MISSING TO TARGET</t>
  </si>
  <si>
    <t>Pending FCP Offers</t>
  </si>
  <si>
    <t>Date Devis</t>
  </si>
  <si>
    <t>Devis N°</t>
  </si>
  <si>
    <t>D Montant € HT</t>
  </si>
  <si>
    <t>O.I GSE (SAP)</t>
  </si>
  <si>
    <t>GSE/Tools</t>
  </si>
  <si>
    <t>Hydro France - 441</t>
  </si>
  <si>
    <t>INTERAPPRO - 393</t>
  </si>
  <si>
    <t>Hydro France - 1 668</t>
  </si>
  <si>
    <t>Hydro France - 318</t>
  </si>
  <si>
    <t>Hydro France - 149 000</t>
  </si>
  <si>
    <t>REEL SAS - 5 995</t>
  </si>
  <si>
    <t>REEL SAS - 2 009</t>
  </si>
  <si>
    <t>ROYAL AIR MAROC - 546</t>
  </si>
  <si>
    <t>ATR - 5 111</t>
  </si>
  <si>
    <t>INTERAPPRO - 57</t>
  </si>
  <si>
    <t>INTERAPPRO - 714</t>
  </si>
  <si>
    <t>INTERAPPRO - 309</t>
  </si>
  <si>
    <t>TCR France - 346</t>
  </si>
  <si>
    <t>Airbus Helicopters - 24 830</t>
  </si>
  <si>
    <t>TUNISAIR TECHNICS - 68 488</t>
  </si>
  <si>
    <t>ROYAL AIR MAROC - 6 952</t>
  </si>
  <si>
    <t>INTERAPPRO - 1 094</t>
  </si>
  <si>
    <t>ROYAL AIR MAROC - 6 117</t>
  </si>
  <si>
    <t>REEL SAS - 298</t>
  </si>
  <si>
    <t xml:space="preserve">Airbus Operations SAS - </t>
  </si>
  <si>
    <t>Egypt Air - 9 120</t>
  </si>
  <si>
    <t>TCR France - 38</t>
  </si>
  <si>
    <t>Air Austral - 642</t>
  </si>
  <si>
    <t>ROYAL AIR MAROC - 1 435</t>
  </si>
  <si>
    <t>TCR France - 33</t>
  </si>
  <si>
    <t>TCR France - 400</t>
  </si>
  <si>
    <t>ATR - 13 897</t>
  </si>
  <si>
    <t>REEL SAS - 1 345</t>
  </si>
  <si>
    <t>TCR France - 241</t>
  </si>
  <si>
    <t>ATR - 886</t>
  </si>
  <si>
    <t>REEL SAS - 2 192</t>
  </si>
  <si>
    <t>Airbus Operations SAS - 13 070</t>
  </si>
  <si>
    <t xml:space="preserve">GOODRICH AEROSPACE EUROPE - </t>
  </si>
  <si>
    <t>South African Airways - 2 309</t>
  </si>
  <si>
    <t>SIRBEM - 84</t>
  </si>
  <si>
    <t xml:space="preserve">Air Caraibes Atlantique - </t>
  </si>
  <si>
    <t>ATR - 13 815</t>
  </si>
  <si>
    <t xml:space="preserve">ATR - </t>
  </si>
  <si>
    <t>ATR - 1 624</t>
  </si>
  <si>
    <t>REEL SAS - 468</t>
  </si>
  <si>
    <t>SIRBEM - 58</t>
  </si>
  <si>
    <t>ATR - 12 512</t>
  </si>
  <si>
    <t>ADF Technologies - Section TN - 403</t>
  </si>
  <si>
    <t>Air Austral - 51 600</t>
  </si>
  <si>
    <t>Safran Landing Systems - 43 810</t>
  </si>
  <si>
    <t>ERAS - 115</t>
  </si>
  <si>
    <t>Ethiopian Airlines S.C. - 2 138</t>
  </si>
  <si>
    <t>Airbus Helicopters - 3 632</t>
  </si>
  <si>
    <t>Airbus Helicopters - 5 292</t>
  </si>
  <si>
    <t>REEL SAS - 1 110</t>
  </si>
  <si>
    <t>TARMAC Aerosave SAS - 6 026</t>
  </si>
  <si>
    <t>Ethiopian Airlines S.C. - 1 120</t>
  </si>
  <si>
    <t>Airbus Helicopters - 1 750</t>
  </si>
  <si>
    <t>REEL SAS - 2 251</t>
  </si>
  <si>
    <t>TARMAC Aerosave SAS - 775</t>
  </si>
  <si>
    <t>Air Caraibes Atlantique - 16 821</t>
  </si>
  <si>
    <t>TARMAC Aerosave SAS - 10 386</t>
  </si>
  <si>
    <t xml:space="preserve">Air France Industries - </t>
  </si>
  <si>
    <t>REEL SAS - 1 451</t>
  </si>
  <si>
    <t>REEL SAS - 1 637</t>
  </si>
  <si>
    <t>HYDRO SYSTEMS France - 4 386</t>
  </si>
  <si>
    <t>Ethiopian Airlines S.C. - 699</t>
  </si>
  <si>
    <t>THALES SIX GTS FRANCE S.S.S. - 1 397</t>
  </si>
  <si>
    <t>Aviapartner Services Lyon - 2 665</t>
  </si>
  <si>
    <t>SIRBEM - 1 280</t>
  </si>
  <si>
    <t xml:space="preserve">Egypt Air - </t>
  </si>
  <si>
    <t xml:space="preserve">South African Airways - </t>
  </si>
  <si>
    <t xml:space="preserve">Safran Landing Systems - </t>
  </si>
  <si>
    <t>Air Tanzania Company Ltd. - 6 715</t>
  </si>
  <si>
    <t>TARMAC Aerosave SAS - 2 006</t>
  </si>
  <si>
    <t>DESHONS HYDRAULIQUE - 28 050</t>
  </si>
  <si>
    <t>Air France Industries - 1 958</t>
  </si>
  <si>
    <t>Egyptair - 97 000</t>
  </si>
  <si>
    <t>HYDRO SYSTEMS France - 60</t>
  </si>
  <si>
    <t>ACTEMIUM - 660</t>
  </si>
  <si>
    <t>Air Mauritius Ltd. - 445</t>
  </si>
  <si>
    <t xml:space="preserve"> - 22 931</t>
  </si>
  <si>
    <t>THALES SIX GTS FRANCE S.S.S. - 99</t>
  </si>
  <si>
    <t xml:space="preserve">HYDRO SYSTEMS France - </t>
  </si>
  <si>
    <t>TARMAC Aerosave SAS - 14 922</t>
  </si>
  <si>
    <t>Ethiopian Airlines S.C. - 600</t>
  </si>
  <si>
    <t>Corsair International - 80 071</t>
  </si>
  <si>
    <t>THALES SIX GTS FRANCE S.S.S. - 1 280</t>
  </si>
  <si>
    <t>Garnet Aviation Systems - 41 356</t>
  </si>
  <si>
    <t>Sabena Technics MIR - 1 725</t>
  </si>
  <si>
    <t>Air France Industries - 9 324</t>
  </si>
  <si>
    <t>Air France Industries - 53 267</t>
  </si>
  <si>
    <t>Air Algerie - 43 238</t>
  </si>
  <si>
    <t>Samsic Assistance - 23 262</t>
  </si>
  <si>
    <t>TARMAC Aerosave SAS - 3 657</t>
  </si>
  <si>
    <t xml:space="preserve">AIRBUS Gron Saint-Nazaire - </t>
  </si>
  <si>
    <t>HYDRO SYSTEMS France - 20 785</t>
  </si>
  <si>
    <t>Kenya Airways - 3 380</t>
  </si>
  <si>
    <t>Egyptair - 394</t>
  </si>
  <si>
    <t>MAZERES AERO - 46 058</t>
  </si>
  <si>
    <t>Aéroport Paris-Vatry - 455</t>
  </si>
  <si>
    <t>TOP 10 INVOICED CUSTOMERS</t>
  </si>
  <si>
    <t>Air Algerie - 6 873</t>
  </si>
  <si>
    <t>Sum of Net value in €</t>
  </si>
  <si>
    <t>Column Labels</t>
  </si>
  <si>
    <t>Row Labels</t>
  </si>
  <si>
    <t>Mrz</t>
  </si>
  <si>
    <t>Apr</t>
  </si>
  <si>
    <t>100048 / REEL SAS</t>
  </si>
  <si>
    <t>100028 / Airbus Operations SAS</t>
  </si>
  <si>
    <t>101022 / TARMAC Aerosave SAS</t>
  </si>
  <si>
    <t>100483 / ROYAL AIR MAROC</t>
  </si>
  <si>
    <t>100403 / Airbus Helicopters</t>
  </si>
  <si>
    <t>101949 / Sabena Technics BOD</t>
  </si>
  <si>
    <t>100021 / Air France Industries</t>
  </si>
  <si>
    <t>100238 / Egyptair</t>
  </si>
  <si>
    <t>100043 / Air Austral</t>
  </si>
  <si>
    <t>107996 / MAZERES AERO</t>
  </si>
  <si>
    <t>weekly</t>
  </si>
  <si>
    <t>ASI</t>
  </si>
  <si>
    <t>ABA</t>
  </si>
  <si>
    <t>Feb</t>
  </si>
  <si>
    <t>Aug</t>
  </si>
  <si>
    <t>Jan</t>
  </si>
  <si>
    <t>Mai</t>
  </si>
  <si>
    <t>Jun</t>
  </si>
  <si>
    <t>Jul</t>
  </si>
  <si>
    <t>Sep</t>
  </si>
  <si>
    <t>Okt</t>
  </si>
  <si>
    <t>Nov</t>
  </si>
  <si>
    <t>Dez</t>
  </si>
  <si>
    <t>O.I GSE</t>
  </si>
  <si>
    <t>O.I. New Customers GSE</t>
  </si>
  <si>
    <t>Planned O.I</t>
  </si>
  <si>
    <t>O.I. Forecast</t>
  </si>
  <si>
    <t>GSE/Tools O.I. Cum</t>
  </si>
  <si>
    <t>O.I. Cum New Cust</t>
  </si>
  <si>
    <t>Plan GSE/Tools O.I</t>
  </si>
  <si>
    <t>Business Area</t>
  </si>
  <si>
    <t>Planning Group Text</t>
  </si>
  <si>
    <t>Value</t>
  </si>
  <si>
    <t>EngSol</t>
  </si>
  <si>
    <t>EH</t>
  </si>
  <si>
    <t>Hardware EngSol</t>
  </si>
  <si>
    <t>GSE</t>
  </si>
  <si>
    <t>EN</t>
  </si>
  <si>
    <t>Engineering EngSol</t>
  </si>
  <si>
    <t>Others</t>
  </si>
  <si>
    <t>GS</t>
  </si>
  <si>
    <t>Axle Jacks Other</t>
  </si>
  <si>
    <t>Service (Repair+Spares)</t>
  </si>
  <si>
    <t>Axle Jacks RT</t>
  </si>
  <si>
    <t>TA</t>
  </si>
  <si>
    <t>COBRA</t>
  </si>
  <si>
    <t>TE (RR-Aftermarket)</t>
  </si>
  <si>
    <t>GSE Others (Büter)</t>
  </si>
  <si>
    <t>TR (RR-Trsp AfterMkt)</t>
  </si>
  <si>
    <t>Newbow Aerospace</t>
  </si>
  <si>
    <t>Tow Bars HG</t>
  </si>
  <si>
    <t>Tripod SET Narrow Bo</t>
  </si>
  <si>
    <t>TOTAL</t>
  </si>
  <si>
    <t>OT</t>
  </si>
  <si>
    <t>SE</t>
  </si>
  <si>
    <t>Repair/Recert/Service</t>
  </si>
  <si>
    <t>Spares</t>
  </si>
  <si>
    <t>Airbus</t>
  </si>
  <si>
    <t>Boeing</t>
  </si>
  <si>
    <t>Tools A - Other</t>
  </si>
  <si>
    <t>TE</t>
  </si>
  <si>
    <t>RR-Aftermarket</t>
  </si>
  <si>
    <t>TR</t>
  </si>
  <si>
    <t>RR-Trsp AfterMkt T1000</t>
  </si>
  <si>
    <t>RR-Trsp AfterMkt XWB</t>
  </si>
  <si>
    <t>Grand Total</t>
  </si>
  <si>
    <t>Planung Thomas Rupp 30/01/2020</t>
  </si>
  <si>
    <t>AIA</t>
  </si>
  <si>
    <t>Service</t>
  </si>
  <si>
    <t>Trading</t>
  </si>
  <si>
    <t>GSE IC</t>
  </si>
  <si>
    <t>Overhead</t>
  </si>
  <si>
    <t>Order Intake</t>
  </si>
  <si>
    <t>New Revenue 2020</t>
  </si>
  <si>
    <t>Backlog 2019</t>
  </si>
  <si>
    <t>Costs</t>
  </si>
  <si>
    <t>Gross Margin</t>
  </si>
  <si>
    <t>Cmde en Cours 2020</t>
  </si>
  <si>
    <t>Devis Service</t>
  </si>
  <si>
    <t>Devis GSE</t>
  </si>
  <si>
    <t>OI Service</t>
  </si>
  <si>
    <t>OI GSE</t>
  </si>
  <si>
    <t>CA Service</t>
  </si>
  <si>
    <t>CA GSE</t>
  </si>
  <si>
    <t>Backlog 2021</t>
  </si>
  <si>
    <t>Margin</t>
  </si>
  <si>
    <t>Sum GSE/Tools Order Intake</t>
  </si>
  <si>
    <t>Monthly Data</t>
  </si>
  <si>
    <t>FCP Revenue</t>
  </si>
  <si>
    <t>Service Revenue</t>
  </si>
  <si>
    <t>Trading Revenue</t>
  </si>
  <si>
    <t>GSE/Tool Revenue for HYKG</t>
  </si>
  <si>
    <t>GSE/Tool Revenue for HYUS $</t>
  </si>
  <si>
    <t>GSE/Tools Revenue Cobra</t>
  </si>
  <si>
    <t>GSE/Tools Commissions Revenue</t>
  </si>
  <si>
    <t>Direct Sales</t>
  </si>
  <si>
    <t>AIA Revenue</t>
  </si>
  <si>
    <t>HYFR Revenue</t>
  </si>
  <si>
    <t>Operational Gross Margin</t>
  </si>
  <si>
    <t>Operational Gross Margin YTD</t>
  </si>
  <si>
    <t>Fixed Costs</t>
  </si>
  <si>
    <t>est. Variable Costs (Travel,..)</t>
  </si>
  <si>
    <t>Costs/Month</t>
  </si>
  <si>
    <t>Costs YTD</t>
  </si>
  <si>
    <t>est. Month EAT</t>
  </si>
  <si>
    <t>Planned Month EAT</t>
  </si>
  <si>
    <t>est. EAT YTD</t>
  </si>
  <si>
    <t>Actual EAT</t>
  </si>
  <si>
    <t>Actual EAT YTD</t>
  </si>
  <si>
    <t>Planned EAT YTD</t>
  </si>
  <si>
    <t>Linear Plan EAT</t>
  </si>
  <si>
    <t>EAT SWING YTD</t>
  </si>
  <si>
    <t>Planned FCP Revenue YTD (2021)</t>
  </si>
  <si>
    <t>Actual FCP Revenue YTD</t>
  </si>
  <si>
    <t>Actual FCP Revenue 2020 YTD</t>
  </si>
  <si>
    <t>Planned Service Revenue YTD (2021) including AIA</t>
  </si>
  <si>
    <t>Actual Service Revenue YTD</t>
  </si>
  <si>
    <t>Actual Service Revenue 2020 YTD</t>
  </si>
  <si>
    <t>Planned Trading Revenue YTD (2021)</t>
  </si>
  <si>
    <t>Actual Trading Revenue YTD</t>
  </si>
  <si>
    <t>Actual Trading Revenue 2020 YTD</t>
  </si>
  <si>
    <t>Planned FCP &amp; Service Revenue YTD (2021)</t>
  </si>
  <si>
    <t>Actual FCP &amp; Service Revenue YTD</t>
  </si>
  <si>
    <t>Actual FCP &amp; Service Revenue 2020 YTD</t>
  </si>
  <si>
    <t>Planned AIA Revenue YTD (2021)</t>
  </si>
  <si>
    <t>Actual AIA Revenue YTD</t>
  </si>
  <si>
    <t>Actual AIA Revenue 2020 YTD</t>
  </si>
  <si>
    <t>Planned GSE/Tools Commissions Revenue YTD (2021)</t>
  </si>
  <si>
    <t>Actual GSE/Tools Commissions Revenue YTD</t>
  </si>
  <si>
    <t>Actual GSE/Tools Commissions Revenue 2020 YTD</t>
  </si>
  <si>
    <t>Planned HYFR Revenue YTD (2021)</t>
  </si>
  <si>
    <t>Actual HYFR Revenue YTD</t>
  </si>
  <si>
    <t>Actual HYFR Revenu 2020 YTD (incl Trading)</t>
  </si>
  <si>
    <t>HYFR OI</t>
  </si>
  <si>
    <t>Planned FCP Order Intake YTD</t>
  </si>
  <si>
    <t>Actual FCP Order Intake YTD</t>
  </si>
  <si>
    <t>Actual FCP Order Intake 2019 YTD</t>
  </si>
  <si>
    <t>Planned Service Order Intake YTD</t>
  </si>
  <si>
    <t>Actual Service Order Intake YTD</t>
  </si>
  <si>
    <t>Actual Service Order Intake 2019 YTD</t>
  </si>
  <si>
    <t>Planned Trading Order Intake YTD</t>
  </si>
  <si>
    <t>Actual Trading Order Intake YTD</t>
  </si>
  <si>
    <t>Actual Trading Order Intake 2019 YTD</t>
  </si>
  <si>
    <t>Planned FCP &amp; Service Order Intake YTD</t>
  </si>
  <si>
    <t>Actual FCP &amp; Service Order Intake YTD</t>
  </si>
  <si>
    <t>Actual FCP &amp; Service Order Intake 2019 YTD</t>
  </si>
  <si>
    <t>Planned GSE/Tools HYKD Order Intake</t>
  </si>
  <si>
    <t>Revised GSE/Tools HYKD Order Intake</t>
  </si>
  <si>
    <t>Actual GSE/Tools HYKG Order Intake</t>
  </si>
  <si>
    <t>Originally Planned GSE/Tools HYKG Order Intake YTD</t>
  </si>
  <si>
    <t>Revised GSE/Tools HYKG Order Intake YTD</t>
  </si>
  <si>
    <t>Revised II GSE/Tools HYKG Order Intake YTD</t>
  </si>
  <si>
    <t>Actual GSE/Tools HYKG Order Intake YTD</t>
  </si>
  <si>
    <t>Actual  GSE/Tools HYKD Order Intake 2019 YTD</t>
  </si>
  <si>
    <t>GSE/Tools HYKG Intercompany Revenue</t>
  </si>
  <si>
    <t>Planned GSE/Tools HYKG Intercompany Revenue</t>
  </si>
  <si>
    <t>Revised GSE/Tools HYKG Intercompany Revenue</t>
  </si>
  <si>
    <t>Actual GSE/Tools HYKG Intercompany Revenue</t>
  </si>
  <si>
    <t>Planned GSE/Tools HYKG Intercompany Revenue YTD</t>
  </si>
  <si>
    <t>Revised GSE/Tools HYKG Intercompany Revenue YTD</t>
  </si>
  <si>
    <t>Revised II GSE/Tools HYKG Intercompany Revenue YTD</t>
  </si>
  <si>
    <t>Actual GSE/Tools HYKG Intercompany Revenue YTD</t>
  </si>
  <si>
    <t>Actual GSE/Tools HYKG Intercopany Revenue 2019 YTD</t>
  </si>
  <si>
    <t>Mar</t>
  </si>
  <si>
    <t>May</t>
  </si>
  <si>
    <t>Oct</t>
  </si>
  <si>
    <t>Dec</t>
  </si>
  <si>
    <t>Devis/Quotes</t>
  </si>
  <si>
    <t>Cmde/O.I</t>
  </si>
  <si>
    <t>CA/Revenue</t>
  </si>
  <si>
    <t>O.I</t>
  </si>
  <si>
    <t>Cum. O.I</t>
  </si>
  <si>
    <t>PLAN</t>
  </si>
  <si>
    <t>Target O.I</t>
  </si>
  <si>
    <t>Cum. Target O.I</t>
  </si>
  <si>
    <t>DEVIATION</t>
  </si>
  <si>
    <t>Cum. Dev. O.I</t>
  </si>
  <si>
    <t>REVENUE</t>
  </si>
  <si>
    <t>Cum. Revenue</t>
  </si>
  <si>
    <t>Target Revenue</t>
  </si>
  <si>
    <t>Cum. Target Revenue</t>
  </si>
  <si>
    <t>Cum. Dev. Revenue</t>
  </si>
  <si>
    <t>Backlog 2020</t>
  </si>
  <si>
    <t>Cmde Distribution</t>
  </si>
  <si>
    <t>CA Distribution</t>
  </si>
  <si>
    <t>Mittigated CA Distribution</t>
  </si>
  <si>
    <t>BU GSE OI</t>
  </si>
  <si>
    <t>BU Tooling OI</t>
  </si>
  <si>
    <t>BU Service OI</t>
  </si>
  <si>
    <t>Intercompany</t>
  </si>
  <si>
    <t>BU GSE OI YTD</t>
  </si>
  <si>
    <t>BU Tooling OI YTD</t>
  </si>
  <si>
    <t>BU Service OI YTD</t>
  </si>
  <si>
    <t>Intercompany OI YTD</t>
  </si>
  <si>
    <t>BU GSE REV.</t>
  </si>
  <si>
    <t>BU Tooling REV.</t>
  </si>
  <si>
    <t>BU Service REV.</t>
  </si>
  <si>
    <t>BU GSE REV. YTD</t>
  </si>
  <si>
    <t>BU Tooling REV. YTD</t>
  </si>
  <si>
    <t>BU Service REV. YTD</t>
  </si>
  <si>
    <t>Intercompany REV. YTD</t>
  </si>
  <si>
    <t>ENGINEERING AIA REVENUE</t>
  </si>
  <si>
    <t>ENGINEERING IC REVENUE</t>
  </si>
  <si>
    <t>FCP AIA REVENUE</t>
  </si>
  <si>
    <t>FCP OTHER AIA REVENUE</t>
  </si>
  <si>
    <t>GSE to AIA REVENUE</t>
  </si>
  <si>
    <t>SERVICE AIA REVENUE</t>
  </si>
  <si>
    <t>SERVICE IC REVENUE</t>
  </si>
  <si>
    <t>SERVICE OTHER AIA REVENUE</t>
  </si>
  <si>
    <t>TRADING OTHER AIA REVENUE</t>
  </si>
  <si>
    <t>TRADING AIA REVENUE</t>
  </si>
  <si>
    <t>ENGINEERING AIA REV.YTD</t>
  </si>
  <si>
    <t>ENGINEERING IC REV.YTD</t>
  </si>
  <si>
    <t>FCP AIA REV.YTD</t>
  </si>
  <si>
    <t>FCP OTHER AIA REV.YTD</t>
  </si>
  <si>
    <t>GSE to AIA REV.YTD</t>
  </si>
  <si>
    <t>SERVICE AIA REV.YTD</t>
  </si>
  <si>
    <t>SERVICE IC REV.YTD</t>
  </si>
  <si>
    <t>SERVICE OTHER AIA REV.YTD</t>
  </si>
  <si>
    <t>TRADING OTHER AIA REV.YTD</t>
  </si>
  <si>
    <t>TRADING AIA REV.YTD</t>
  </si>
  <si>
    <t>ENGINEERING AIA OI</t>
  </si>
  <si>
    <t>ENGINEERING IC OI</t>
  </si>
  <si>
    <t>FCP AIA OI</t>
  </si>
  <si>
    <t>FCP OTHER AIA OI</t>
  </si>
  <si>
    <t>GSE to AIA OI</t>
  </si>
  <si>
    <t>SERVICE AIA OI</t>
  </si>
  <si>
    <t>SERVICE IC OI</t>
  </si>
  <si>
    <t>SERVICE OTHER AIA OI</t>
  </si>
  <si>
    <t>TRADING OTHER AIA OI</t>
  </si>
  <si>
    <t>TRADING AIA OI</t>
  </si>
  <si>
    <t>ENGINEERING AIA OI YTD</t>
  </si>
  <si>
    <t>ENGINEERING IC OI YTD</t>
  </si>
  <si>
    <t>FCP AIA OI YTD</t>
  </si>
  <si>
    <t>FCP OTHER AIA OI YTD</t>
  </si>
  <si>
    <t>GSE to AIA OI YTD</t>
  </si>
  <si>
    <t>SERVICE AIA OI YTD</t>
  </si>
  <si>
    <t>SERVICE IC OI YTD</t>
  </si>
  <si>
    <t>SERVICE OTHER AIA OI YTD</t>
  </si>
  <si>
    <t>TRADING OTHER AIA OI YTD</t>
  </si>
  <si>
    <t>TRADING AIA OI YTD</t>
  </si>
  <si>
    <t>Year</t>
  </si>
  <si>
    <t>Month</t>
  </si>
  <si>
    <t>ø</t>
  </si>
  <si>
    <t>Ø 2020</t>
  </si>
  <si>
    <t>Ø 2021</t>
  </si>
  <si>
    <t>6 2021</t>
  </si>
  <si>
    <t>7 2021</t>
  </si>
  <si>
    <t>8 2021</t>
  </si>
  <si>
    <t>9 2021</t>
  </si>
  <si>
    <t>10 2021</t>
  </si>
  <si>
    <t>11 2021</t>
  </si>
  <si>
    <t>12 2021</t>
  </si>
  <si>
    <t>05 2021</t>
  </si>
  <si>
    <t>06 2021</t>
  </si>
  <si>
    <t>07 2021</t>
  </si>
  <si>
    <t>08 2021</t>
  </si>
  <si>
    <t>09 2021</t>
  </si>
  <si>
    <t>UNIT</t>
  </si>
  <si>
    <t>FCST</t>
  </si>
  <si>
    <t xml:space="preserve">ACT </t>
  </si>
  <si>
    <t xml:space="preserve">PLAN </t>
  </si>
  <si>
    <t>∆  ACT PLAN</t>
  </si>
  <si>
    <t>ORDER INTAKE</t>
  </si>
  <si>
    <t>TT-CP-00107-20</t>
  </si>
  <si>
    <t>ENGINEERING AIA</t>
  </si>
  <si>
    <t>k €</t>
  </si>
  <si>
    <t>TT-CP-00108-20</t>
  </si>
  <si>
    <t>ENGINEERING IC</t>
  </si>
  <si>
    <t>FCP AIA</t>
  </si>
  <si>
    <t>TT-CP-00103-20</t>
  </si>
  <si>
    <t>FCP OTHER AIA</t>
  </si>
  <si>
    <t>TT-CP-00109-20</t>
  </si>
  <si>
    <t>GSE to AIA</t>
  </si>
  <si>
    <t>TT-CP-00101-20</t>
  </si>
  <si>
    <t>SERVICE AIA</t>
  </si>
  <si>
    <t>TT-CP-00102-20</t>
  </si>
  <si>
    <t>SERVICE IC</t>
  </si>
  <si>
    <t>TT-CP-00100-20</t>
  </si>
  <si>
    <t>SERVICE OTHER AIA</t>
  </si>
  <si>
    <t>TT-CP-00110-20</t>
  </si>
  <si>
    <t>TRADING OTHER AIA</t>
  </si>
  <si>
    <t>TRADING AIA</t>
  </si>
  <si>
    <t>TOTAL HYFR</t>
  </si>
  <si>
    <t>GSE (HYKG)</t>
  </si>
  <si>
    <t>TOTAL HYFR + GSE (HYKG)</t>
  </si>
  <si>
    <t>CURRENT OI CUMULATED</t>
  </si>
  <si>
    <t>BUDGET OI</t>
  </si>
  <si>
    <t>01 2021</t>
  </si>
  <si>
    <t>02 2021</t>
  </si>
  <si>
    <t>03 2021</t>
  </si>
  <si>
    <t>4 2021</t>
  </si>
  <si>
    <t>5 2021</t>
  </si>
  <si>
    <t>CURRENT REVENUE CUMULATED</t>
  </si>
  <si>
    <t>PRIMAY COST / CM2 Serv Station / Revenue Service Station</t>
  </si>
  <si>
    <t>Primary Costs</t>
  </si>
  <si>
    <t>m€</t>
  </si>
  <si>
    <t>Primary Costs Cumulated</t>
  </si>
  <si>
    <t>Primary Costs Budget</t>
  </si>
  <si>
    <t>CM2 Service Station</t>
  </si>
  <si>
    <t>k€</t>
  </si>
  <si>
    <t>CM2 Service Station Cumulated</t>
  </si>
  <si>
    <t>CM2 Service Station Budget</t>
  </si>
  <si>
    <t>Revenue Service Station</t>
  </si>
  <si>
    <t>Revenue Service Current Cumulated</t>
  </si>
  <si>
    <t>Revenue Service Station Budget</t>
  </si>
  <si>
    <t>Ø 2022</t>
  </si>
  <si>
    <t>Order Intake by Business Field</t>
  </si>
  <si>
    <t>BU GSE</t>
  </si>
  <si>
    <t>TOO</t>
  </si>
  <si>
    <t>BU Tooling</t>
  </si>
  <si>
    <t>SER</t>
  </si>
  <si>
    <t>BU Service</t>
  </si>
  <si>
    <t>INT</t>
  </si>
  <si>
    <t>Order Intake by PSP HYFR Group</t>
  </si>
  <si>
    <t>Revenue by Business Field</t>
  </si>
  <si>
    <t>04 2021</t>
  </si>
  <si>
    <t>Expected Target OI</t>
  </si>
  <si>
    <t>Expected Target Revenue</t>
  </si>
  <si>
    <t>Diff O.I</t>
  </si>
  <si>
    <t>Cum. Quotes</t>
  </si>
  <si>
    <t>Target Cmd</t>
  </si>
  <si>
    <t>Target CA</t>
  </si>
  <si>
    <t>3-month mittigation</t>
  </si>
  <si>
    <t>Cmd</t>
  </si>
  <si>
    <t>Backlog excluding AIA</t>
  </si>
  <si>
    <t>Cum.</t>
  </si>
  <si>
    <t>Diff</t>
  </si>
  <si>
    <t>Mittigated Cum.</t>
  </si>
  <si>
    <t xml:space="preserve">MITT. OI CUM </t>
  </si>
  <si>
    <t>MITT. REV CUM</t>
  </si>
  <si>
    <t>LINEAR</t>
  </si>
  <si>
    <t>RfQ</t>
  </si>
  <si>
    <t>D E V I S / Q U O T E S</t>
  </si>
  <si>
    <t>F A C T U R A T I O N / I N V O I C E S</t>
  </si>
  <si>
    <t>Si Rejeté</t>
  </si>
  <si>
    <t xml:space="preserve">Raison pour </t>
  </si>
  <si>
    <t>BU_Key</t>
  </si>
  <si>
    <t>Index</t>
  </si>
  <si>
    <t>End Client</t>
  </si>
  <si>
    <t>ASM</t>
  </si>
  <si>
    <t>Categorie</t>
  </si>
  <si>
    <t>Spalte2</t>
  </si>
  <si>
    <t>CW ORDER</t>
  </si>
  <si>
    <t>OI_Year</t>
  </si>
  <si>
    <t>OI_Month</t>
  </si>
  <si>
    <t>Montant Restant €</t>
  </si>
  <si>
    <t>Délai (semaine)</t>
  </si>
  <si>
    <t>Spalte4</t>
  </si>
  <si>
    <t>Date réelle réception matériel</t>
  </si>
  <si>
    <t>CW REV</t>
  </si>
  <si>
    <t>Revenue_Year</t>
  </si>
  <si>
    <t>Revenue_Month</t>
  </si>
  <si>
    <t>Facture N°</t>
  </si>
  <si>
    <t>Date Facture</t>
  </si>
  <si>
    <t>F Montant HT</t>
  </si>
  <si>
    <t>In-house/
On-site</t>
  </si>
  <si>
    <t>Raison</t>
  </si>
  <si>
    <t>Spalte7</t>
  </si>
  <si>
    <t>Spalte8</t>
  </si>
  <si>
    <t>Commentaire</t>
  </si>
  <si>
    <t>Spalte9</t>
  </si>
  <si>
    <t>l'externalisation</t>
  </si>
  <si>
    <t>Spalte10</t>
  </si>
  <si>
    <t>Lien dossier</t>
  </si>
  <si>
    <t>Spalte11</t>
  </si>
  <si>
    <t>Contact Person</t>
  </si>
  <si>
    <t>Spalte12</t>
  </si>
  <si>
    <t>Coûts achats</t>
  </si>
  <si>
    <t>Coûts main d'œuvre</t>
  </si>
  <si>
    <t>Marge</t>
  </si>
  <si>
    <t>Marge %</t>
  </si>
  <si>
    <t>A</t>
  </si>
  <si>
    <t>En Attente</t>
  </si>
  <si>
    <t>Roulettes</t>
  </si>
  <si>
    <t>L:\KL_CO\110_HYFR\AFFAIRES 2021\AIA\Devis n°4524-Renseignement roulettes</t>
  </si>
  <si>
    <t>HYDRO SYSTEMS KG</t>
  </si>
  <si>
    <t>Accepté</t>
  </si>
  <si>
    <t>2021-016</t>
  </si>
  <si>
    <t>Modification de 4 Cobra</t>
  </si>
  <si>
    <t>SABENA</t>
  </si>
  <si>
    <t>Annulé</t>
  </si>
  <si>
    <t>Essais en charge liste de crics et vérins sur site Dinard</t>
  </si>
  <si>
    <t>Négo contrat cadre en cours-Décalé plus Q3 2021</t>
  </si>
  <si>
    <t>L:\KL_CO\110_HYFR\AFFAIRES 2021\SABENA DNR\Devis n°4537A_Essais en charge liste vérins+crics</t>
  </si>
  <si>
    <t>KAWNEER</t>
  </si>
  <si>
    <t>Réparation sur outil n°107</t>
  </si>
  <si>
    <t>Ne fait plus partie de notre gamme de produits</t>
  </si>
  <si>
    <t>Rejeté</t>
  </si>
  <si>
    <t>Conception et fabrication plateformes NH90 Caïman</t>
  </si>
  <si>
    <t>Offre irrégulière car 100% du 1er poste doit être fait par Hydro</t>
  </si>
  <si>
    <t>L:\KL_CO\110_HYFR\AFFAIRES 2021\AIA\Devis n° 4555A - réf. 21047_Plateformes mobiles pour NH90_Caïman</t>
  </si>
  <si>
    <t>Entretien préventif et curatif des moyens de levage - Candidature</t>
  </si>
  <si>
    <t>Phase candidature déposée le 03/05 - Pour étude faisabilité uniquement</t>
  </si>
  <si>
    <t>L:\KL_CO\110_HYFR\AFFAIRES 2021\AIA\Devis n° 4561A - 21005 - Entretien préventif et curatif des moyens de levage</t>
  </si>
  <si>
    <t>BASE AERIENNE ROMORANTIN</t>
  </si>
  <si>
    <t>2021-080</t>
  </si>
  <si>
    <t>Devis lot spares</t>
  </si>
  <si>
    <t>L:\KL_CO\110_HYFR\AFFAIRES 2021\BASE AERIENNE ROMORANTIN\Devis n° 4569A - Devis Hengstler</t>
  </si>
  <si>
    <t>2021-030</t>
  </si>
  <si>
    <t>Modification Safety kit</t>
  </si>
  <si>
    <t>L:\KL_CO\110_HYFR\AFFAIRES 2021\HYDRO KG\Devis n° 4571A - modification Safety Kit</t>
  </si>
  <si>
    <t>ROLLS ROYCE</t>
  </si>
  <si>
    <t>2021-051</t>
  </si>
  <si>
    <t>Réparation RRT068182</t>
  </si>
  <si>
    <t>L:\KL_CO\110_HYFR\AFFAIRES 2021\ROLLS ROYCE\Devis n° 4604A - Réparation Draining Tool</t>
  </si>
  <si>
    <t>Crics C130 - RC3515B5A0A03</t>
  </si>
  <si>
    <t>L:\KL_CO\110_HYFR\AFFAIRES 2021\AIA\Devis n°4605A - DCE-REC8 LOT 1 - crics RC3515B5A0A03</t>
  </si>
  <si>
    <t>Réparation sur outil n°106</t>
  </si>
  <si>
    <t>Réparation sur outil n°125</t>
  </si>
  <si>
    <t>B</t>
  </si>
  <si>
    <t>BASE AERIENNE ISTRES</t>
  </si>
  <si>
    <t>Inspection outillages LANGA (A330-92010-0001)</t>
  </si>
  <si>
    <t>Devis transféré à la DMAé, en attente de retour (relancé sem47)</t>
  </si>
  <si>
    <t>L:\KL_CO\110_HYFR\AFFAIRES 2021\BASE AERIENNE ISTRES\Devis n°4626A - Inspection outillage LANGA</t>
  </si>
  <si>
    <t>Maintenance annuelle palan AGSE</t>
  </si>
  <si>
    <t>L:\KL_CO\110_HYFR\AFFAIRES 2021\BASE AERIENNE ISTRES\Devis n°4627A - Maintenance annuelle AGSE-Y002-G01</t>
  </si>
  <si>
    <t>VALLAIR</t>
  </si>
  <si>
    <t>Calibration palans et cric</t>
  </si>
  <si>
    <t>Besoin plus d'actualité</t>
  </si>
  <si>
    <t>L:\KL_CO\110_HYFR\AFFAIRES 2021\VALLAIR\Devis n°4630 - Calibration palans et cric TMH</t>
  </si>
  <si>
    <t>Remplacement pièces MLGTMULTI-1-AA + VGP</t>
  </si>
  <si>
    <t>Relancé semaine 44</t>
  </si>
  <si>
    <t>L:\KL_CO\110_HYFR\AFFAIRES 2021\VALLAIR\Devis N°4631 - Réparation et Recertification MLGTMULTI</t>
  </si>
  <si>
    <t>C</t>
  </si>
  <si>
    <t>LATECOERE</t>
  </si>
  <si>
    <t>Réparation chariots</t>
  </si>
  <si>
    <t>Plus besoin</t>
  </si>
  <si>
    <t>L:\KL_CO\110_HYFR\AFFAIRES 2021\LATECOERE\Devis n°4633A - Réparation chariots (Qty 13)</t>
  </si>
  <si>
    <t>BASE DE DEFENSE DE TOULON</t>
  </si>
  <si>
    <t>Vérification et maintenance d'appareils de levage</t>
  </si>
  <si>
    <t>Phase de candidature remise</t>
  </si>
  <si>
    <t>L:\KL_CO\110_HYFR\AFFAIRES 2021\BASE DE DEFENSE DE TOULON\Devis n°4634 - Vérification et maintenance des appareils de levage Toulon</t>
  </si>
  <si>
    <t>2022-033</t>
  </si>
  <si>
    <t>Recertification MLGTMULTI</t>
  </si>
  <si>
    <t>Attente réception moyen + moyen de test HYKG</t>
  </si>
  <si>
    <t>L:\KL_CO\110_HYFR\AFFAIRES 2021\VALLAIR\Devis n°4641 - Essais en charge MLGTMULTI HYFR</t>
  </si>
  <si>
    <t>ELECTROIMPACT</t>
  </si>
  <si>
    <t>Fab chariot acier et bâti alu</t>
  </si>
  <si>
    <t>150 € remise si livraison groupée</t>
  </si>
  <si>
    <t>L:\KL_CO\110_HYFR\AFFAIRES 2021\ELECTROIMPACT\Devis n° 4656 - Fourniture de châssis suivant plans</t>
  </si>
  <si>
    <t>AIA BORDEAUX</t>
  </si>
  <si>
    <t>fournisseurs externes contactés (Blix)</t>
  </si>
  <si>
    <t>L:\KL_CO\110_HYFR\AFFAIRES 2021\AIA BORDEAUX\Devis n°4663A - Fabrication caisses plastique</t>
  </si>
  <si>
    <t>IGO</t>
  </si>
  <si>
    <t>Recertification FEN122A21</t>
  </si>
  <si>
    <t>Attente réception moyen</t>
  </si>
  <si>
    <t>L:\KL_CO\110_HYFR\AFFAIRES 2021\IGO\Devis n°4666 - Recertification FEN122A21</t>
  </si>
  <si>
    <t>2021-098</t>
  </si>
  <si>
    <t>Vérification crics et vérins</t>
  </si>
  <si>
    <t>Noria n°5 remise en service</t>
  </si>
  <si>
    <t>L:\KL_CO\110_HYFR\AFFAIRES 2021\AIA CF\Devis n°4668 - Maintenance Noria n°5</t>
  </si>
  <si>
    <t>ABA+ASI</t>
  </si>
  <si>
    <t>Stockage container MERO</t>
  </si>
  <si>
    <t>Fourniture d'outillages et de moyens d'accès pour C130</t>
  </si>
  <si>
    <t>Attente retour fournisseurs - Remise de l'offre 15/11 - Déclaré sans suite le 18/02/2022</t>
  </si>
  <si>
    <t>L:\KL_CO\110_HYFR\AFFAIRES 2021\AIA CF\Devis n°4671A - DCE_Rec9_lot 1 - Fourniture d'outillages pour C130</t>
  </si>
  <si>
    <t>2022-023</t>
  </si>
  <si>
    <t>Conception d'un chariot ATL2</t>
  </si>
  <si>
    <t>L:\KL_CO\110_HYFR\AFFAIRES 2021\AIA CF\Devis n°4673 -  réf. 4172117 - Conception et réalisation chariots ATL2</t>
  </si>
  <si>
    <t>Réalisation d'un chariot ATL2</t>
  </si>
  <si>
    <t>Confection caissons</t>
  </si>
  <si>
    <t>Remise de l'offre 16/11</t>
  </si>
  <si>
    <t>L:\KL_CO\110_HYFR\AFFAIRES 2021\AIA CF\Devis n°4674 - réf. 417216 - Confection de caissons</t>
  </si>
  <si>
    <t>AIRBUS OPERATIONS</t>
  </si>
  <si>
    <t>2021-101</t>
  </si>
  <si>
    <t>Intervention sur TTR correction hauteur enrouleurs</t>
  </si>
  <si>
    <t>L:\KL_CO\110_HYFR\AFFAIRES 2021\AIRBUS OPERATIONS SAS\Devis n°4677A - Guide Câble TTRs M67</t>
  </si>
  <si>
    <t>2021-104</t>
  </si>
  <si>
    <t>L:\KL_CO\110_HYFR\AFFAIRES 2021\HYDRO KG\Devis n°4678A - Fourniture oil reservoir</t>
  </si>
  <si>
    <t>L:\KL_CO\110_HYFR\AFFAIRES 2021\HYDRO KG\Devis n°4679A - manille lyre</t>
  </si>
  <si>
    <t>COLLINS AEROSPACE</t>
  </si>
  <si>
    <t xml:space="preserve">Lot de Balls Transfer </t>
  </si>
  <si>
    <t>Attente chiffrage HYKG</t>
  </si>
  <si>
    <t>L:\KL_CO\110_HYFR\AFFAIRES 2021\COLLINS\Devis n°4681 - Marquage au sol pedestal A350</t>
  </si>
  <si>
    <t>2021-106</t>
  </si>
  <si>
    <t>Remise en service crics et vérins</t>
  </si>
  <si>
    <t>Noria n°6 remise en service</t>
  </si>
  <si>
    <t>\\HY07\Public\KL_CO\110_HYFR\AFFAIRES 2021\AIA CF\Devis n°4683 - Maintenance Noria n°6</t>
  </si>
  <si>
    <t>2022-003</t>
  </si>
  <si>
    <t>29/02</t>
  </si>
  <si>
    <t>Maintenance curative crics et vérins</t>
  </si>
  <si>
    <t>Noria n°6 maintenance curative devis à remettre le 21/12</t>
  </si>
  <si>
    <t>\\HY07\Public\KL_CO\110_HYFR\AFFAIRES 2021\AIA CF\Devis n°4684 - Curatif Noria n°6</t>
  </si>
  <si>
    <t>2022-006</t>
  </si>
  <si>
    <t>Noria n°6 (anciennement n°7) remise en service - 2ème partie</t>
  </si>
  <si>
    <t>\\HY07\Public\KL_CO\110_HYFR\AFFAIRES 2021\AIA CF\Devis n°4685 - Maintenance Noria n°6</t>
  </si>
  <si>
    <t>Noria n°6 (anciennement n°7) remise en service - 1ère partie</t>
  </si>
  <si>
    <t>2022-015</t>
  </si>
  <si>
    <t>Noria n°6 (anciennement n°7) maintenance curative - 2 moyens non réparables</t>
  </si>
  <si>
    <t>\\HY07\Public\KL_CO\110_HYFR\AFFAIRES 2021\AIA CF\Devis n°4686 - Curatif Noria n°6</t>
  </si>
  <si>
    <t>HOP</t>
  </si>
  <si>
    <t>2021-099</t>
  </si>
  <si>
    <t>Réparation cric RT4550-001</t>
  </si>
  <si>
    <t>Attente chiffrage pour mise à jour PO</t>
  </si>
  <si>
    <t>L:\KL_CO\110_HYFR\AFFAIRES 2021\HOP\Devis n°4687A - Réparation RT4550-001</t>
  </si>
  <si>
    <t>ADF</t>
  </si>
  <si>
    <t>Changement joints pompes + VGP sur site client</t>
  </si>
  <si>
    <t>Retard de paiement à régler</t>
  </si>
  <si>
    <t>L:\KL_CO\110_HYFR\AFFAIRES 2021\ADF\Devis n°4690A - Changement kit de joints pompe</t>
  </si>
  <si>
    <t>Pré-paiement</t>
  </si>
  <si>
    <t>2022-046</t>
  </si>
  <si>
    <t>Attention Pré-paiement - pas d'appro sans réception du paiement client</t>
  </si>
  <si>
    <t>Changement joints pompes + VGP in-house</t>
  </si>
  <si>
    <t>L:\KL_CO\110_HYFR\AFFAIRES 2021\ADF\Devis n°4691A  - Changement kit de joints pompe in-house</t>
  </si>
  <si>
    <t>Opportunité</t>
  </si>
  <si>
    <t>Conception et facbrication chariot roues C130</t>
  </si>
  <si>
    <t>Date et heure limite de remise des plis : 13/01/2022 17:30</t>
  </si>
  <si>
    <t>L:\KL_CO\110_HYFR\AFFAIRES 2021\AIA CF\Devis N°4692 - Conception et fabrication chariots de stockage roues C130</t>
  </si>
  <si>
    <t>DALE</t>
  </si>
  <si>
    <t>2021-102</t>
  </si>
  <si>
    <t>Recertification et entretien hoist</t>
  </si>
  <si>
    <t>Validé par le client, en attente de réception PO - Nouveau devis repair : attente mise à jour PO</t>
  </si>
  <si>
    <t>L:\KL_CO\110_HYFR\AFFAIRES 2021\DALE\Devis n°4693A - Calibration hoist</t>
  </si>
  <si>
    <t>Recertification A400M tripod set</t>
  </si>
  <si>
    <t>L:\KL_CO\110_HYFR\AFFAIRES 2021\AIRBUS DEFENCE AND SPACE\Devis n°4694 - Recertification vérins A400M</t>
  </si>
  <si>
    <t>2021-109</t>
  </si>
  <si>
    <t>Fabrication flans en contreplaqué</t>
  </si>
  <si>
    <t>Délai 5 semaines sous réserve disponibilité panneaux</t>
  </si>
  <si>
    <t>L:\KL_CO\110_HYFR\AFFAIRES 2021\AIA BORDEAUX\Devis n°4695A - Fabrication flans en contreplaqué</t>
  </si>
  <si>
    <t>INEO ENGIE</t>
  </si>
  <si>
    <t>Recertification crics</t>
  </si>
  <si>
    <t>Liste des moyens demandés avec S/N</t>
  </si>
  <si>
    <t>L:\KL_CO\110_HYFR\AFFAIRES 2021\ENGIE SOLUTIONS\Devis n°4697A - Calibration crics RS0609A1A1A01</t>
  </si>
  <si>
    <t>Recertification cric RT4550-001</t>
  </si>
  <si>
    <t>Moyen non conforme</t>
  </si>
  <si>
    <t>L:\KL_CO\110_HYFR\AFFAIRES 2021\HOP\Devis n°4698A - Recertification RT4550-001</t>
  </si>
  <si>
    <t>2021-107</t>
  </si>
  <si>
    <t>Recertification cric RT4550-001 non conforme</t>
  </si>
  <si>
    <t>Devis neuf envoyé : le client a choisi la réparation</t>
  </si>
  <si>
    <t>DASSAULT</t>
  </si>
  <si>
    <t>Prix</t>
  </si>
  <si>
    <t>Test statique sur site client rome</t>
  </si>
  <si>
    <t>L:\KL_CO\110_HYFR\AFFAIRES 2021\DASSAULT\Devis n° 4699A - Recertification vérins Nice et Rome</t>
  </si>
  <si>
    <t>AIRBUS DEFENSE &amp; SPACE</t>
  </si>
  <si>
    <t>2022-018</t>
  </si>
  <si>
    <t>Repair + Test statique sur site client orleans</t>
  </si>
  <si>
    <t>L:\KL_CO\110_HYFR\AFFAIRES 2021\AIRBUS DEFENCE AND SPACE\Devis n°4700 - Recertification vérins A400M_2ème partie</t>
  </si>
  <si>
    <t>AIR ARABIA MAROC</t>
  </si>
  <si>
    <t>Réparation RT6050</t>
  </si>
  <si>
    <t>L:\KL_CO\110_HYFR\AFFAIRES 2021\AIR ARABIA MAROC\Devis n° 4701 - Réparation RT6050</t>
  </si>
  <si>
    <t>VGP cric F7XC203259602</t>
  </si>
  <si>
    <t>Fait par HYKG car pas possible de créer fournisseur HYFR</t>
  </si>
  <si>
    <t>L:\KL_CO\110_HYFR\AFFAIRES 2021\DASSAULT\Devis n°4702A - Cric F7XC203259602</t>
  </si>
  <si>
    <t>2022-004</t>
  </si>
  <si>
    <t>Réparation RRT095945</t>
  </si>
  <si>
    <t>L:\KL_CO\110_HYFR\AFFAIRES 2022\ROLLS ROYCE\Devis n° 4704 - Réparation RRT095945</t>
  </si>
  <si>
    <t>ACTEMIUM</t>
  </si>
  <si>
    <t>2022-007</t>
  </si>
  <si>
    <t>Calibraion PVTP91</t>
  </si>
  <si>
    <t>L:\KL_CO\110_HYFR\AFFAIRES 2022\ACTEMIUM\Devis n°4705_Calibration PVTP91-100</t>
  </si>
  <si>
    <t>2022-005</t>
  </si>
  <si>
    <t>Travaux peinture outillage chez Air France</t>
  </si>
  <si>
    <t>L:\KL_CO\110_HYFR\AFFAIRES 2022\HYDRO SYSTEMS KG\Devis n°4706_Intervention Air France</t>
  </si>
  <si>
    <t>AIR France</t>
  </si>
  <si>
    <t>Retrofit RRT111117-1</t>
  </si>
  <si>
    <t>Fait par HYKG</t>
  </si>
  <si>
    <t>L:\KL_CO\110_HYFR\AFFAIRES 2022\AIR FRANCE\Devis n°4707_Retrofit RRT111117-1</t>
  </si>
  <si>
    <t>AIRBUS</t>
  </si>
  <si>
    <t>2022-010</t>
  </si>
  <si>
    <t>Modification cric SG278-001</t>
  </si>
  <si>
    <t>L:\KL_CO\110_HYFR\AFFAIRES 2022\AIRBUS\Devis n°4708 - Modification SG278-001</t>
  </si>
  <si>
    <t>2022-016</t>
  </si>
  <si>
    <t>Noria n°7 - Remise en service 3ème partie</t>
  </si>
  <si>
    <t>L:\KL_CO\110_HYFR\AFFAIRES 2022\AIA\Devis n°4709 - Maintenance Noria n°7</t>
  </si>
  <si>
    <t>Noria n°7 - Remise en service 1ère partie (moyen non réparable)</t>
  </si>
  <si>
    <t>Noria n°7 - Remise en service 2ème partie (moyen non réparable)</t>
  </si>
  <si>
    <t>2022-027</t>
  </si>
  <si>
    <t>Noria n°7 - devis maintenance curative à remettre le 02/03/2022 - Envoyé le 23/02/2022</t>
  </si>
  <si>
    <t>L:\KL_CO\110_HYFR\AFFAIRES 2022\AIA\Devis n°4710 - Curatif Noria n°7</t>
  </si>
  <si>
    <t>Noria n° 7 - devis maintenance curative à remettre le 02/03/2022 - Envoyé le 23/02/2022</t>
  </si>
  <si>
    <t>SABENA NIMES</t>
  </si>
  <si>
    <t>2022-013</t>
  </si>
  <si>
    <t>Réparation RT6050-001</t>
  </si>
  <si>
    <t>Attente mise à jour PO client</t>
  </si>
  <si>
    <t>L:\KL_CO\110_HYFR\AFFAIRES 2022\SABENA NIMES\Devis n° 4711 - Réparation RT6050-001</t>
  </si>
  <si>
    <t>2022-008</t>
  </si>
  <si>
    <t>Réparation RRT050571-3 S/N 10</t>
  </si>
  <si>
    <t>L:\KL_CO\110_HYFR\AFFAIRES 2022\ROLLS ROYCE\Devis n° 4712 - Réparation RRT050571-3</t>
  </si>
  <si>
    <t>2022-009</t>
  </si>
  <si>
    <t>L:\KL_CO\110_HYFR\AFFAIRES 2022\HOP\Devis n°4713 - Recertification RT4550</t>
  </si>
  <si>
    <t>Recertification vérins A400M Clermont-Ferrand</t>
  </si>
  <si>
    <t>Commande ADS reçue à HYKG</t>
  </si>
  <si>
    <t>L:\KL_CO\110_HYFR\AFFAIRES 2022\HYDRO SYSTEMS KG\Devis n°4714 - Maintenance pour ADS vérins A400M CF</t>
  </si>
  <si>
    <t>2022-024</t>
  </si>
  <si>
    <t>Intervention semaine 10</t>
  </si>
  <si>
    <t>D</t>
  </si>
  <si>
    <t>2022-025</t>
  </si>
  <si>
    <t>Recertificatino vérins A400M Clermont-Ferrand</t>
  </si>
  <si>
    <t>Date intervention à confirmer</t>
  </si>
  <si>
    <t>DMAé</t>
  </si>
  <si>
    <t>Docks de nez AWACS</t>
  </si>
  <si>
    <t>L:\KL_CO\110_HYFR\AFFAIRES 2022\DMAé\Devis n° 4715 - Acquisition d'un dock de nez AWACS</t>
  </si>
  <si>
    <t>ROYAL AIR MAROC</t>
  </si>
  <si>
    <t>Recertification outillages</t>
  </si>
  <si>
    <t>L:\KL_CO\110_HYFR\AFFAIRES 2022\ROYAL AIR MAROC\Devis n°4716 - Calibration outillages</t>
  </si>
  <si>
    <t>Réparation vérins</t>
  </si>
  <si>
    <t>L:\KL_CO\110_HYFR\AFFAIRES 2022\ROYAL AIR MAROC\Devis n°4717 - Réparation vérins</t>
  </si>
  <si>
    <t>2022-040</t>
  </si>
  <si>
    <t>Recertification bootstrap</t>
  </si>
  <si>
    <t>L:\KL_CO\110_HYFR\AFFAIRES 2022\ROYAL AIR MAROC\Devis n°4718 - Calibration outillages Boeing</t>
  </si>
  <si>
    <t>Calibration outillages</t>
  </si>
  <si>
    <t>P/N non identifié, manuel demandé au client</t>
  </si>
  <si>
    <t>L:\KL_CO\110_HYFR\AFFAIRES 2022\ROYAL AIR MAROC\Devis n°4719 - Calibration outillages</t>
  </si>
  <si>
    <t>2AS</t>
  </si>
  <si>
    <t>in-house. Client a demandé chiffrage sur site, mais trop cher</t>
  </si>
  <si>
    <t>L:\KL_CO\110_HYFR\AFFAIRES 2022\2AS\Devis n°4720 - Recertification crics</t>
  </si>
  <si>
    <t>TARMAC</t>
  </si>
  <si>
    <t>2022-017</t>
  </si>
  <si>
    <t>Recertification cric et vérin</t>
  </si>
  <si>
    <t>Réception moyen prévue semaine 7</t>
  </si>
  <si>
    <t>L:\KL_CO\110_HYFR\AFFAIRES 2022\TARMAC\Devis n°4721 - Recertifiation cric et vérin</t>
  </si>
  <si>
    <t>Réception moyen prévue semaine 8-9</t>
  </si>
  <si>
    <t>Calibration hoist K20008-55</t>
  </si>
  <si>
    <t>L:\KL_CO\110_HYFR\AFFAIRES 2022\ROYAL AIR MAROC\Devis n°4722 - Calibration hoist</t>
  </si>
  <si>
    <t>Calibration manomètre</t>
  </si>
  <si>
    <t>Offre envoyée en précisant hors transport, hors frais de douanes</t>
  </si>
  <si>
    <t>L:\KL_CO\110_HYFR\AFFAIRES 2022\ROYAL AIR MAROC\Devis n°4723 - Calibration mano</t>
  </si>
  <si>
    <t>Calibration sling equipment</t>
  </si>
  <si>
    <t>L:\KL_CO\110_HYFR\AFFAIRES 2022\ROYAL AIR MAROC\Devis n°4724 - Calibration Sling</t>
  </si>
  <si>
    <t>DGA</t>
  </si>
  <si>
    <t>DT0623K1D1B01A0 en remplacement D01258</t>
  </si>
  <si>
    <t>L:\KL_CO\110_HYFR\AFFAIRES 2022\DGA\Devis n°4725 -  DT0623K1D1B01A0 en remplacement du D01258</t>
  </si>
  <si>
    <t>Commissioning SG248</t>
  </si>
  <si>
    <t>L:\KL_CO\110_HYFR\AFFAIRES 2022\HYDRO SYSTEMS KG\Devis n°4726 - Commissioning pour ADS kits SG248</t>
  </si>
  <si>
    <t>Formation COBRA</t>
  </si>
  <si>
    <t>L:\KL_CO\110_HYFR\AFFAIRES 2022\AIRBUS\Devis n°4727 - Formation COBRA</t>
  </si>
  <si>
    <t>2022-020</t>
  </si>
  <si>
    <t>Recertifications moyens on-site Azereix</t>
  </si>
  <si>
    <t>Intervention demandée courant avril</t>
  </si>
  <si>
    <t>L:\KL_CO\110_HYFR\AFFAIRES 2022\TARMAC\Devis n°4728 - Recertification on-site</t>
  </si>
  <si>
    <t>2022-031</t>
  </si>
  <si>
    <t>Noria n°8 - Remise en service - PO à confirmer, en attente modification AIA</t>
  </si>
  <si>
    <t>L:\KL_CO\110_HYFR\AFFAIRES 2022\AIA\Devis n°4729 - Maintenance Noria n°8</t>
  </si>
  <si>
    <t>Noria n°8 - Remise en service - Moyens non réparables</t>
  </si>
  <si>
    <t>2022-039</t>
  </si>
  <si>
    <t>Noria n°8 - Maintenance curative</t>
  </si>
  <si>
    <t>L:\KL_CO\110_HYFR\AFFAIRES 2022\AIA\Devis n°4730 - Curatif Noria n°8</t>
  </si>
  <si>
    <t>SPIE</t>
  </si>
  <si>
    <t>Maintenance moyens Hydro sur Airbus SNZ</t>
  </si>
  <si>
    <t>L:\KL_CO\110_HYFR\AFFAIRES 2022\SPIE\Devis n°4731 - Maintenance moyens HYDRO</t>
  </si>
  <si>
    <t>Manuels non fournis par le client qui a envoyé l'outillage chez un autre fournisseur</t>
  </si>
  <si>
    <t>L:\KL_CO\110_HYFR\AFFAIRES 2022\ROYAL AIR MAROC\Devis n°4732 - Calibration Sling</t>
  </si>
  <si>
    <t>2022-021</t>
  </si>
  <si>
    <t>Recertification cric</t>
  </si>
  <si>
    <t>Réception prévue semaine 8</t>
  </si>
  <si>
    <t>L:\KL_CO\110_HYFR\AFFAIRES 2022\TARMAC\Devis n°4733 - Réparation et recertification</t>
  </si>
  <si>
    <t>Réparation palan</t>
  </si>
  <si>
    <t>2022-022</t>
  </si>
  <si>
    <t xml:space="preserve">Réparation et recertification crics in-house </t>
  </si>
  <si>
    <t>L:\KL_CO\110_HYFR\AFFAIRES 2022\IGO\Devis n°4734 - Réparation crics et palans</t>
  </si>
  <si>
    <t xml:space="preserve">Réparation palans in-house </t>
  </si>
  <si>
    <t xml:space="preserve">Recertification palans in-house </t>
  </si>
  <si>
    <t>SABENA PERPIGNAN</t>
  </si>
  <si>
    <t>2022-026</t>
  </si>
  <si>
    <t xml:space="preserve">Réparation cric RH1029A1A0A01 in-house </t>
  </si>
  <si>
    <t>L:\KL_CO\110_HYFR\AFFAIRES 2022\SABENA PERPIGNAN\Devis n° 4738 - Réparation cric RH1029A1A0A01</t>
  </si>
  <si>
    <t>AIR CORSICA</t>
  </si>
  <si>
    <t>Calibration in-house crics</t>
  </si>
  <si>
    <t>Offre budgétaire : le client utilisera ces tarifs tout au long de l'année</t>
  </si>
  <si>
    <t>L:\KL_CO\110_HYFR\AFFAIRES 2022\AIR CORSICA\Devis n°4739 - Calibration in-house crics</t>
  </si>
  <si>
    <t>Calibration on-site vérins</t>
  </si>
  <si>
    <t>L:\KL_CO\110_HYFR\AFFAIRES 2022\AIR CORSICA\Devis n°4740 - Calibration on-site vérins</t>
  </si>
  <si>
    <t>TOOLING AIA</t>
  </si>
  <si>
    <t>2022-041</t>
  </si>
  <si>
    <t>Fourniture shearpins</t>
  </si>
  <si>
    <t>Réponse envoyée le 08/03/22</t>
  </si>
  <si>
    <t>L:\KL_CO\110_HYFR\AFFAIRES 2022\AIA\Devis n°4741 - Fourniture spare</t>
  </si>
  <si>
    <t>2022-029</t>
  </si>
  <si>
    <t>Calibration cric RA4510K2A0A10</t>
  </si>
  <si>
    <t>L:\KL_CO\110_HYFR\AFFAIRES 2022\AIR CORSICA\Devis n°4742 - Calibration in-house cric</t>
  </si>
  <si>
    <t>Réparation cric RA4510K2A0A10</t>
  </si>
  <si>
    <t>2022-028</t>
  </si>
  <si>
    <t xml:space="preserve">Calibration cric RT4550-001 in-house </t>
  </si>
  <si>
    <t>L:\KL_CO\110_HYFR\AFFAIRES 2022\HOP\Devis n°4743 - Calibration RT4550</t>
  </si>
  <si>
    <t>Changement flexibles et vidange suite calibration RT4550-001</t>
  </si>
  <si>
    <t>ASL AIRLINES</t>
  </si>
  <si>
    <t>2022-030</t>
  </si>
  <si>
    <t xml:space="preserve">Réparation et calibration circs in-house </t>
  </si>
  <si>
    <t>L:\KL_CO\110_HYFR\AFFAIRES 2022\ASL AIRLINES\Devis n°4744 - Recertification et réparation crics</t>
  </si>
  <si>
    <t xml:space="preserve">Réparation et calibration circ in-house </t>
  </si>
  <si>
    <t xml:space="preserve">Calibration outillages in-house </t>
  </si>
  <si>
    <t>L:\KL_CO\110_HYFR\AFFAIRES 2022\ROYAL AIR MAROC\Devis n°4747 - Calibration outillages</t>
  </si>
  <si>
    <t>2022-032</t>
  </si>
  <si>
    <t xml:space="preserve">Calibration TR19-00-00 in-house </t>
  </si>
  <si>
    <t>L:\KL_CO\110_HYFR\AFFAIRES 2022\TARMAC\Devis n°4749 - Calibration TR19-10-00</t>
  </si>
  <si>
    <t>2022-034</t>
  </si>
  <si>
    <t xml:space="preserve">Recertification cric in-house </t>
  </si>
  <si>
    <t>Moyen à recevoir</t>
  </si>
  <si>
    <t>L:\KL_CO\110_HYFR\AFFAIRES 2022\AIR CORSICA\Devis n°4750 - Calibration in-house cric</t>
  </si>
  <si>
    <t>2022-035</t>
  </si>
  <si>
    <t>L:\KL_CO\110_HYFR\AFFAIRES 2022\AIR CORSICA\Devis n°4751 - Calibration in-house cric</t>
  </si>
  <si>
    <t>2022-038</t>
  </si>
  <si>
    <t>Noria n°9 - Remise en service</t>
  </si>
  <si>
    <t>L:\KL_CO\110_HYFR\AFFAIRES 2022\AIA\Devis n°4752 - Maintenance Noria n°9</t>
  </si>
  <si>
    <t>2022-049</t>
  </si>
  <si>
    <t>Noria n°9 - Maintenance curative - Devis curatif à remettre le 12/04/2022</t>
  </si>
  <si>
    <t>L:\KL_CO\110_HYFR\AFFAIRES 2022\AIA\Devis n°4753 - Curatif Noria n°9</t>
  </si>
  <si>
    <t xml:space="preserve">Calibration TR-36 in-house </t>
  </si>
  <si>
    <t>L:\KL_CO\110_HYFR\AFFAIRES 2022\ROYAL AIR MAROC\Devis n°4754 - Calibration test set_TR-36</t>
  </si>
  <si>
    <t xml:space="preserve">Calibration 43 in-house </t>
  </si>
  <si>
    <t>L:\KL_CO\110_HYFR\AFFAIRES 2022\ROYAL AIR MAROC\Devis n°4755 - Calibration wattmetre_43</t>
  </si>
  <si>
    <t xml:space="preserve">Caliration AP6108 in-house </t>
  </si>
  <si>
    <t>L:\KL_CO\110_HYFR\AFFAIRES 2022\ROYAL AIR MAROC\Devis n°4756 - Calibration chain drive hoist_AP6108-6-25</t>
  </si>
  <si>
    <t xml:space="preserve">Calibration DRA707 in-house </t>
  </si>
  <si>
    <t>L:\KL_CO\110_HYFR\AFFAIRES 2022\ROYAL AIR MAROC\Devis n°4757 - Calibration altimètre_DRA707</t>
  </si>
  <si>
    <t>2022-036</t>
  </si>
  <si>
    <t xml:space="preserve">Réparation RT4550-001 in-house </t>
  </si>
  <si>
    <t>L:\KL_CO\110_HYFR\AFFAIRES 2022\HOP\Devis n°4758 - Réparation RT4550</t>
  </si>
  <si>
    <t>BABCOCK</t>
  </si>
  <si>
    <t>Réparation vérin in-house D00406C1B1A02A0</t>
  </si>
  <si>
    <t>L:\KL_CO\110_HYFR\AFFAIRES 2022\BABCOCK\Devis n°4759 - Réparation vérins</t>
  </si>
  <si>
    <t>JET AVIATION</t>
  </si>
  <si>
    <t>Recertification strut Service tool</t>
  </si>
  <si>
    <t>L:\KL_CO\110_HYFR\AFFAIRES 2022\JET AVIATION\Devis n°4760 - Recertification cric Tronair</t>
  </si>
  <si>
    <t>Demande spares</t>
  </si>
  <si>
    <t>L:\KL_CO\110_HYFR\AFFAIRES 2022\HYDRO SYSTEMS KG\Devis n°4761 - fourniture spares</t>
  </si>
  <si>
    <t>Calibration pesons</t>
  </si>
  <si>
    <t>L:\KL_CO\110_HYFR\AFFAIRES 2022\ROYAL AIR MAROC\Devis n°4762 - calibration COFRAC</t>
  </si>
  <si>
    <t>Calibration outillage cassé</t>
  </si>
  <si>
    <t>L:\KL_CO\110_HYFR\AFFAIRES 2022\ROYAL AIR MAROC\Devis n°4763 - CERTIFIED REPAIR_C15292</t>
  </si>
  <si>
    <t>2022-047</t>
  </si>
  <si>
    <t>Noria n°10</t>
  </si>
  <si>
    <t>L:\KL_CO\110_HYFR\AFFAIRES 2022\AIA\Devis n°4764 - Maintenance Noria n°10</t>
  </si>
  <si>
    <t>Noria n°10 - curatif à remettre le 29/04/22</t>
  </si>
  <si>
    <t>L:\KL_CO\110_HYFR\AFFAIRES 2022\AIA\Devis n°4765 - Curatif Noria n°10</t>
  </si>
  <si>
    <t>CORSAIR</t>
  </si>
  <si>
    <t>Réparation bâche RRT102433</t>
  </si>
  <si>
    <t>L:\KL_CO\110_HYFR\AFFAIRES 2022\CORSAIR\Devis n°4766 - Réparation bâche RRT102433</t>
  </si>
  <si>
    <t>Inspection outillages</t>
  </si>
  <si>
    <t>L:\KL_CO\110_HYFR\AFFAIRES 2022\ROYAL AIR MAROC\Devis n°4767 - CERTIFIED INSPECTION</t>
  </si>
  <si>
    <t>Calibration cric TMHCP13</t>
  </si>
  <si>
    <t>Moyen non reçu - Client relancé semaine 15</t>
  </si>
  <si>
    <t>L:\KL_CO\110_HYFR\AFFAIRES 2022\AIR CORSICA\Devis n°4768 - Calibration in-hous cric TMHCP13</t>
  </si>
  <si>
    <t>Non identifiés et outillage ATR</t>
  </si>
  <si>
    <t>L:\KL_CO\110_HYFR\AFFAIRES 2022\ROYAL AIR MAROC\Devis n°4769 - CERTIFIED PERIODIC CALIBRATION</t>
  </si>
  <si>
    <t>EMBRAER</t>
  </si>
  <si>
    <t>Recertification in-house</t>
  </si>
  <si>
    <t>L:\KL_CO\110_HYFR\AFFAIRES 2022\EMBRAER\Devis n°4770 - recertification in-house SG177</t>
  </si>
  <si>
    <t>2022-048</t>
  </si>
  <si>
    <t>Moyen reçu semaine 15</t>
  </si>
  <si>
    <t>L:\KL_CO\110_HYFR\AFFAIRES 2022\AIR CORSICA\Devis n°4771 - Calibration in house RH1030</t>
  </si>
  <si>
    <t>Calibration SG248-001 en Turquie</t>
  </si>
  <si>
    <t>L:\KL_CO\110_HYFR\AFFAIRES 2022\HYDRO SYSTEMS KG\Devis n°4772 - Calibration SG0248 en Turquie</t>
  </si>
  <si>
    <t>ATI</t>
  </si>
  <si>
    <t>2022-050</t>
  </si>
  <si>
    <t>Réparation vérin Hydro</t>
  </si>
  <si>
    <t>Devis à faire pour acceptation client - Cde créé pour ouverture OF</t>
  </si>
  <si>
    <t>L:\KL_CO\110_HYFR\AFFAIRES 2022\AIRBUS\Devis n°4773 - Réparation vérin</t>
  </si>
  <si>
    <t>ASI+ABA</t>
  </si>
  <si>
    <t>2021-012</t>
  </si>
  <si>
    <t>Services pour clients HYKG</t>
  </si>
  <si>
    <t>OPCO 2I</t>
  </si>
  <si>
    <t>NA</t>
  </si>
  <si>
    <t>2022-011</t>
  </si>
  <si>
    <t>Habilitation électrique</t>
  </si>
  <si>
    <t>2022-014</t>
  </si>
  <si>
    <t>Autorisation de conduite R484</t>
  </si>
  <si>
    <t>AIR CARAIBES</t>
  </si>
  <si>
    <t>2021-093</t>
  </si>
  <si>
    <t>Annulation facture 5177</t>
  </si>
  <si>
    <t>L:\KL_CO\110_HYFR\AFFAIRES 2021\AIR CARAIBES\Devis 4661 - Réparation sur site N3</t>
  </si>
  <si>
    <t>Refacturation facture 5177 sans TVA</t>
  </si>
  <si>
    <t>2022-044</t>
  </si>
  <si>
    <t>Formation</t>
  </si>
  <si>
    <t>2022-043</t>
  </si>
  <si>
    <t>2022-042</t>
  </si>
  <si>
    <t>Calibration moyens de levage</t>
  </si>
  <si>
    <t>L:\KL_CO\110_HYFR\AFFAIRES 2022\ROYAL AIR MAROC\Devis n°4774 - certified inspection TMHNA01-00-00</t>
  </si>
  <si>
    <t>Recertifaction on-site client</t>
  </si>
  <si>
    <t>L:\KL_CO\110_HYFR\AFFAIRES 2022\IGO\Devis n°4775- Vérification verins tripodes</t>
  </si>
  <si>
    <t>Calibration outillage</t>
  </si>
  <si>
    <t>L:\KL_CO\110_HYFR\AFFAIRES 2022\ROYAL AIR MAROC\Devis n° 4776 - Certified inspection DIG TURBINE TEST SET TT1000A</t>
  </si>
  <si>
    <t>26/02/2022</t>
  </si>
  <si>
    <t>2044-69</t>
  </si>
  <si>
    <t xml:space="preserve"> </t>
  </si>
  <si>
    <t>27/02/2022</t>
  </si>
  <si>
    <t>28/02/2022</t>
  </si>
  <si>
    <t>BU</t>
  </si>
  <si>
    <t>Spalte1</t>
  </si>
  <si>
    <t>D-Status</t>
  </si>
  <si>
    <t>Refuse Raison</t>
  </si>
  <si>
    <t>externalisation</t>
  </si>
  <si>
    <t>Certification</t>
  </si>
  <si>
    <t>In-House</t>
  </si>
  <si>
    <t>Délai</t>
  </si>
  <si>
    <t>Compétence</t>
  </si>
  <si>
    <t>On-Site</t>
  </si>
  <si>
    <t>N/A</t>
  </si>
  <si>
    <t>Machine</t>
  </si>
  <si>
    <t>Qualité</t>
  </si>
  <si>
    <t>Outils</t>
  </si>
  <si>
    <t>Part. Accepté</t>
  </si>
  <si>
    <t>Client-interne</t>
  </si>
  <si>
    <t>Personnel</t>
  </si>
  <si>
    <t>Place</t>
  </si>
  <si>
    <t>PLT (PV)</t>
  </si>
  <si>
    <t>TOOLING OTHER 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</si>
</sst>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"/>
    <numFmt numFmtId="165" formatCode="dd/mm/yy"/>
    <numFmt numFmtId="166" formatCode="\$#,##0_);\(\$#,##0\)"/>
    <numFmt numFmtId="167" formatCode="#,##0.0"/>
    <numFmt numFmtId="168" formatCode="#,##0%"/>
    <numFmt numFmtId="169" formatCode="\$#,##0.0000000000_);\(\$#,##0.0000000000\)"/>
    <numFmt numFmtId="170" formatCode="#,##0.00%"/>
    <numFmt numFmtId="171" formatCode="#,##0.0,"/>
    <numFmt numFmtId="172" formatCode="#,##0,"/>
    <numFmt numFmtId="173" formatCode="#,##0.0,,,"/>
  </numFmts>
  <fonts count="2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Calibri"/>
      <family val="2"/>
    </font>
    <font>
      <sz val="8"/>
      <color rgb="FFFF0000"/>
      <name val="Arial"/>
      <family val="2"/>
    </font>
    <font>
      <sz val="11"/>
      <color theme="1"/>
      <name val="Calibri"/>
      <family val="2"/>
    </font>
    <font>
      <sz val="8"/>
      <color rgb="FFFF0000"/>
      <name val="Calibri"/>
      <family val="2"/>
    </font>
    <font>
      <sz val="14"/>
      <color rgb="FF000000"/>
      <name val="Calibri"/>
      <family val="2"/>
    </font>
    <font>
      <sz val="10"/>
      <color theme="1"/>
      <name val="Arial"/>
      <family val="2"/>
    </font>
    <font>
      <sz val="11"/>
      <color rgb="FF262626"/>
      <name val="Calibri"/>
      <family val="2"/>
    </font>
    <font>
      <sz val="11"/>
      <color rgb="FF0070C0"/>
      <name val="Calibri"/>
      <family val="2"/>
    </font>
    <font>
      <sz val="12"/>
      <color rgb="FF303030"/>
      <name val="Arial"/>
      <family val="2"/>
    </font>
    <font>
      <u/>
      <sz val="11"/>
      <color rgb="FF000000"/>
      <name val="Calibri"/>
      <family val="2"/>
    </font>
    <font>
      <sz val="11"/>
      <color rgb="FF92D050"/>
      <name val="Calibri"/>
      <family val="2"/>
    </font>
    <font>
      <sz val="11"/>
      <color rgb="FFFFC000"/>
      <name val="Calibri"/>
      <family val="2"/>
    </font>
    <font>
      <sz val="11"/>
      <color rgb="FF0D0D0D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7030A0"/>
      </patternFill>
    </fill>
    <fill>
      <patternFill patternType="solid">
        <fgColor rgb="FFE6E0EC"/>
      </patternFill>
    </fill>
    <fill>
      <patternFill patternType="solid">
        <fgColor rgb="FFFFFF00"/>
      </patternFill>
    </fill>
    <fill>
      <patternFill patternType="solid">
        <fgColor rgb="FFEBF1DE"/>
      </patternFill>
    </fill>
    <fill>
      <patternFill patternType="solid">
        <fgColor rgb="FFD7E4BD"/>
      </patternFill>
    </fill>
    <fill>
      <patternFill patternType="solid">
        <fgColor rgb="FFB9CDE5"/>
      </patternFill>
    </fill>
    <fill>
      <patternFill patternType="solid">
        <fgColor rgb="FFDCE6F2"/>
      </patternFill>
    </fill>
    <fill>
      <patternFill patternType="solid">
        <fgColor rgb="FFE6B9B8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77933C"/>
      </patternFill>
    </fill>
    <fill>
      <patternFill patternType="solid">
        <fgColor rgb="FFD9D9D9"/>
      </patternFill>
    </fill>
    <fill>
      <patternFill patternType="solid">
        <fgColor rgb="FF93CDDD"/>
      </patternFill>
    </fill>
    <fill>
      <patternFill patternType="solid">
        <fgColor rgb="FFBFBFBF"/>
      </patternFill>
    </fill>
    <fill>
      <patternFill patternType="solid">
        <fgColor rgb="FFFABF2B"/>
      </patternFill>
    </fill>
    <fill>
      <patternFill patternType="solid">
        <fgColor rgb="FFC6D9F1"/>
      </patternFill>
    </fill>
    <fill>
      <patternFill patternType="solid">
        <fgColor rgb="FF92D050"/>
      </patternFill>
    </fill>
    <fill>
      <patternFill patternType="solid">
        <fgColor rgb="FFB7DEE8"/>
      </patternFill>
    </fill>
    <fill>
      <patternFill patternType="solid">
        <fgColor rgb="FF00B0F0"/>
      </patternFill>
    </fill>
    <fill>
      <patternFill patternType="solid">
        <fgColor rgb="FFC5D9F1"/>
      </patternFill>
    </fill>
    <fill>
      <patternFill patternType="solid">
        <fgColor rgb="FFFAC090"/>
      </patternFill>
    </fill>
    <fill>
      <patternFill patternType="solid">
        <fgColor rgb="FFFF0000"/>
      </patternFill>
    </fill>
    <fill>
      <patternFill patternType="solid">
        <fgColor rgb="FFC3D69B"/>
      </patternFill>
    </fill>
    <fill>
      <patternFill patternType="solid">
        <fgColor rgb="FFCCC1DA"/>
      </patternFill>
    </fill>
    <fill>
      <patternFill patternType="solid">
        <fgColor rgb="FF8DB4E2"/>
      </patternFill>
    </fill>
    <fill>
      <patternFill patternType="solid">
        <fgColor rgb="FFB3A2C7"/>
      </patternFill>
    </fill>
    <fill>
      <patternFill patternType="solid">
        <fgColor rgb="FF538DD5"/>
      </patternFill>
    </fill>
    <fill>
      <patternFill patternType="solid">
        <fgColor rgb="FFB4C6E7"/>
      </patternFill>
    </fill>
    <fill>
      <patternFill patternType="solid">
        <fgColor rgb="FF203764"/>
      </patternFill>
    </fill>
    <fill>
      <patternFill patternType="solid">
        <fgColor rgb="FF254061"/>
      </patternFill>
    </fill>
    <fill>
      <patternFill patternType="solid">
        <fgColor rgb="FFFFC000"/>
      </patternFill>
    </fill>
    <fill>
      <patternFill patternType="solid">
        <fgColor rgb="FFB7B5DD"/>
      </patternFill>
    </fill>
    <fill>
      <patternFill patternType="solid">
        <fgColor rgb="FFDCE6F1"/>
      </patternFill>
    </fill>
    <fill>
      <patternFill patternType="solid">
        <fgColor rgb="FFC4D79B"/>
      </patternFill>
    </fill>
    <fill>
      <patternFill patternType="solid">
        <fgColor rgb="FF002060"/>
      </patternFill>
    </fill>
    <fill>
      <patternFill patternType="solid">
        <fgColor rgb="FFF79646"/>
      </patternFill>
    </fill>
    <fill>
      <patternFill patternType="solid">
        <fgColor rgb="FFA6A6A6"/>
      </patternFill>
    </fill>
    <fill>
      <patternFill patternType="solid">
        <fgColor rgb="FFFDEADA"/>
      </patternFill>
    </fill>
    <fill>
      <patternFill patternType="solid">
        <fgColor rgb="FF8EB4E3"/>
      </patternFill>
    </fill>
    <fill>
      <patternFill patternType="solid">
        <fgColor rgb="FFFCD5B5"/>
      </patternFill>
    </fill>
    <fill>
      <patternFill patternType="solid">
        <fgColor rgb="FF558ED5"/>
      </patternFill>
    </fill>
    <fill>
      <patternFill patternType="solid">
        <fgColor rgb="FF31859C"/>
      </patternFill>
    </fill>
  </fills>
  <borders count="6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95B3D7"/>
      </bottom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95B3D7"/>
      </bottom>
      <diagonal/>
    </border>
    <border>
      <left style="thin">
        <color rgb="FFC6C6C6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95B3D7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 style="medium">
        <color rgb="FFE7E9E9"/>
      </top>
      <bottom/>
      <diagonal/>
    </border>
    <border>
      <left/>
      <right/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</borders>
  <cellStyleXfs count="1">
    <xf numFmtId="0" fontId="0" fillId="0" borderId="0"/>
  </cellStyleXfs>
  <cellXfs count="678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0" fontId="0" fillId="0" borderId="0" xfId="0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3" fontId="0" fillId="0" borderId="0" xfId="0" applyNumberFormat="1" applyAlignment="1"/>
    <xf numFmtId="3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4" borderId="2" xfId="0" applyNumberFormat="1" applyFont="1" applyFill="1" applyBorder="1" applyAlignment="1">
      <alignment horizontal="right"/>
    </xf>
    <xf numFmtId="4" fontId="2" fillId="4" borderId="3" xfId="0" applyNumberFormat="1" applyFont="1" applyFill="1" applyBorder="1" applyAlignment="1">
      <alignment horizontal="right"/>
    </xf>
    <xf numFmtId="4" fontId="2" fillId="4" borderId="1" xfId="0" applyNumberFormat="1" applyFont="1" applyFill="1" applyBorder="1" applyAlignment="1">
      <alignment horizontal="right"/>
    </xf>
    <xf numFmtId="4" fontId="2" fillId="4" borderId="6" xfId="0" applyNumberFormat="1" applyFont="1" applyFill="1" applyBorder="1" applyAlignment="1">
      <alignment horizontal="right"/>
    </xf>
    <xf numFmtId="4" fontId="2" fillId="4" borderId="7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0" fontId="0" fillId="0" borderId="0" xfId="0" applyAlignment="1"/>
    <xf numFmtId="3" fontId="0" fillId="0" borderId="0" xfId="0" applyNumberFormat="1" applyAlignment="1"/>
    <xf numFmtId="0" fontId="3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4" fontId="0" fillId="0" borderId="0" xfId="0" applyNumberFormat="1" applyAlignment="1"/>
    <xf numFmtId="0" fontId="2" fillId="6" borderId="4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4" fontId="2" fillId="7" borderId="4" xfId="0" applyNumberFormat="1" applyFont="1" applyFill="1" applyBorder="1" applyAlignment="1">
      <alignment horizontal="right"/>
    </xf>
    <xf numFmtId="0" fontId="2" fillId="8" borderId="4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4" fontId="2" fillId="8" borderId="4" xfId="0" applyNumberFormat="1" applyFont="1" applyFill="1" applyBorder="1" applyAlignment="1">
      <alignment horizontal="right"/>
    </xf>
    <xf numFmtId="4" fontId="2" fillId="6" borderId="4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14" fontId="2" fillId="0" borderId="5" xfId="0" applyNumberFormat="1" applyFont="1" applyBorder="1" applyAlignment="1">
      <alignment horizontal="left"/>
    </xf>
    <xf numFmtId="4" fontId="2" fillId="6" borderId="4" xfId="0" applyNumberFormat="1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4" fontId="4" fillId="0" borderId="5" xfId="0" applyNumberFormat="1" applyFont="1" applyBorder="1" applyAlignment="1">
      <alignment horizontal="right"/>
    </xf>
    <xf numFmtId="164" fontId="0" fillId="0" borderId="0" xfId="0" applyNumberFormat="1" applyAlignment="1"/>
    <xf numFmtId="0" fontId="2" fillId="5" borderId="4" xfId="0" applyFont="1" applyFill="1" applyBorder="1" applyAlignment="1">
      <alignment horizontal="right"/>
    </xf>
    <xf numFmtId="14" fontId="2" fillId="5" borderId="4" xfId="0" applyNumberFormat="1" applyFont="1" applyFill="1" applyBorder="1" applyAlignment="1">
      <alignment horizontal="left"/>
    </xf>
    <xf numFmtId="4" fontId="2" fillId="5" borderId="4" xfId="0" applyNumberFormat="1" applyFont="1" applyFill="1" applyBorder="1" applyAlignment="1">
      <alignment horizontal="right"/>
    </xf>
    <xf numFmtId="0" fontId="2" fillId="10" borderId="4" xfId="0" applyFont="1" applyFill="1" applyBorder="1" applyAlignment="1">
      <alignment horizontal="left"/>
    </xf>
    <xf numFmtId="4" fontId="2" fillId="10" borderId="4" xfId="0" applyNumberFormat="1" applyFont="1" applyFill="1" applyBorder="1" applyAlignment="1">
      <alignment horizontal="right"/>
    </xf>
    <xf numFmtId="0" fontId="2" fillId="11" borderId="4" xfId="0" applyFont="1" applyFill="1" applyBorder="1" applyAlignment="1">
      <alignment horizontal="left"/>
    </xf>
    <xf numFmtId="14" fontId="2" fillId="11" borderId="4" xfId="0" applyNumberFormat="1" applyFont="1" applyFill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left"/>
    </xf>
    <xf numFmtId="4" fontId="2" fillId="11" borderId="4" xfId="0" applyNumberFormat="1" applyFont="1" applyFill="1" applyBorder="1" applyAlignment="1">
      <alignment horizontal="right"/>
    </xf>
    <xf numFmtId="4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6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left"/>
    </xf>
    <xf numFmtId="1" fontId="2" fillId="6" borderId="4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 wrapText="1"/>
    </xf>
    <xf numFmtId="3" fontId="4" fillId="7" borderId="8" xfId="0" applyNumberFormat="1" applyFont="1" applyFill="1" applyBorder="1" applyAlignment="1">
      <alignment horizontal="center" wrapText="1"/>
    </xf>
    <xf numFmtId="0" fontId="4" fillId="12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 wrapText="1"/>
    </xf>
    <xf numFmtId="0" fontId="2" fillId="14" borderId="4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right"/>
    </xf>
    <xf numFmtId="3" fontId="2" fillId="11" borderId="4" xfId="0" applyNumberFormat="1" applyFont="1" applyFill="1" applyBorder="1" applyAlignment="1">
      <alignment horizontal="right"/>
    </xf>
    <xf numFmtId="1" fontId="2" fillId="11" borderId="4" xfId="0" applyNumberFormat="1" applyFont="1" applyFill="1" applyBorder="1" applyAlignment="1">
      <alignment horizontal="center"/>
    </xf>
    <xf numFmtId="165" fontId="2" fillId="11" borderId="4" xfId="0" applyNumberFormat="1" applyFont="1" applyFill="1" applyBorder="1" applyAlignment="1">
      <alignment horizontal="left"/>
    </xf>
    <xf numFmtId="1" fontId="2" fillId="14" borderId="4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/>
    <xf numFmtId="0" fontId="5" fillId="0" borderId="9" xfId="0" applyFont="1" applyBorder="1" applyAlignment="1">
      <alignment horizontal="center"/>
    </xf>
    <xf numFmtId="3" fontId="5" fillId="15" borderId="8" xfId="0" applyNumberFormat="1" applyFont="1" applyFill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166" fontId="5" fillId="0" borderId="9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16" borderId="8" xfId="0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1" fontId="5" fillId="0" borderId="11" xfId="0" applyNumberFormat="1" applyFont="1" applyBorder="1" applyAlignment="1">
      <alignment horizontal="left"/>
    </xf>
    <xf numFmtId="1" fontId="5" fillId="0" borderId="5" xfId="0" applyNumberFormat="1" applyFont="1" applyBorder="1" applyAlignment="1">
      <alignment horizontal="left"/>
    </xf>
    <xf numFmtId="1" fontId="5" fillId="16" borderId="4" xfId="0" applyNumberFormat="1" applyFont="1" applyFill="1" applyBorder="1" applyAlignment="1">
      <alignment horizontal="left"/>
    </xf>
    <xf numFmtId="1" fontId="5" fillId="0" borderId="5" xfId="0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right"/>
    </xf>
    <xf numFmtId="1" fontId="5" fillId="0" borderId="12" xfId="0" applyNumberFormat="1" applyFont="1" applyBorder="1" applyAlignment="1">
      <alignment horizontal="left"/>
    </xf>
    <xf numFmtId="166" fontId="5" fillId="0" borderId="9" xfId="0" applyNumberFormat="1" applyFont="1" applyBorder="1" applyAlignment="1">
      <alignment horizontal="right"/>
    </xf>
    <xf numFmtId="166" fontId="7" fillId="0" borderId="9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left"/>
    </xf>
    <xf numFmtId="1" fontId="5" fillId="0" borderId="9" xfId="0" applyNumberFormat="1" applyFont="1" applyBorder="1" applyAlignment="1">
      <alignment horizontal="left"/>
    </xf>
    <xf numFmtId="1" fontId="5" fillId="16" borderId="8" xfId="0" applyNumberFormat="1" applyFont="1" applyFill="1" applyBorder="1" applyAlignment="1">
      <alignment horizontal="left"/>
    </xf>
    <xf numFmtId="1" fontId="5" fillId="0" borderId="9" xfId="0" applyNumberFormat="1" applyFont="1" applyBorder="1" applyAlignment="1">
      <alignment horizontal="center"/>
    </xf>
    <xf numFmtId="166" fontId="5" fillId="5" borderId="14" xfId="0" applyNumberFormat="1" applyFont="1" applyFill="1" applyBorder="1" applyAlignment="1">
      <alignment horizontal="right"/>
    </xf>
    <xf numFmtId="166" fontId="5" fillId="0" borderId="10" xfId="0" applyNumberFormat="1" applyFont="1" applyBorder="1" applyAlignment="1">
      <alignment horizontal="right"/>
    </xf>
    <xf numFmtId="4" fontId="5" fillId="0" borderId="5" xfId="0" applyNumberFormat="1" applyFont="1" applyBorder="1" applyAlignment="1">
      <alignment horizontal="center"/>
    </xf>
    <xf numFmtId="167" fontId="5" fillId="0" borderId="16" xfId="0" applyNumberFormat="1" applyFont="1" applyBorder="1" applyAlignment="1">
      <alignment horizontal="center"/>
    </xf>
    <xf numFmtId="167" fontId="8" fillId="0" borderId="5" xfId="0" applyNumberFormat="1" applyFont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167" fontId="5" fillId="0" borderId="10" xfId="0" applyNumberFormat="1" applyFont="1" applyBorder="1" applyAlignment="1">
      <alignment horizontal="center"/>
    </xf>
    <xf numFmtId="167" fontId="6" fillId="0" borderId="9" xfId="0" applyNumberFormat="1" applyFont="1" applyBorder="1" applyAlignment="1">
      <alignment horizontal="center"/>
    </xf>
    <xf numFmtId="167" fontId="8" fillId="0" borderId="9" xfId="0" applyNumberFormat="1" applyFont="1" applyBorder="1" applyAlignment="1">
      <alignment horizontal="center"/>
    </xf>
    <xf numFmtId="167" fontId="5" fillId="0" borderId="9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left"/>
    </xf>
    <xf numFmtId="0" fontId="4" fillId="17" borderId="4" xfId="0" applyFont="1" applyFill="1" applyBorder="1" applyAlignment="1">
      <alignment horizontal="left"/>
    </xf>
    <xf numFmtId="166" fontId="9" fillId="17" borderId="4" xfId="0" applyNumberFormat="1" applyFont="1" applyFill="1" applyBorder="1" applyAlignment="1">
      <alignment horizontal="center"/>
    </xf>
    <xf numFmtId="1" fontId="4" fillId="0" borderId="5" xfId="0" applyNumberFormat="1" applyFont="1" applyBorder="1" applyAlignment="1">
      <alignment horizontal="left"/>
    </xf>
    <xf numFmtId="166" fontId="4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6" fontId="2" fillId="0" borderId="5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left"/>
    </xf>
    <xf numFmtId="3" fontId="5" fillId="0" borderId="9" xfId="0" applyNumberFormat="1" applyFont="1" applyBorder="1" applyAlignment="1">
      <alignment horizontal="left"/>
    </xf>
    <xf numFmtId="166" fontId="5" fillId="0" borderId="9" xfId="0" applyNumberFormat="1" applyFont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5" fillId="14" borderId="4" xfId="0" applyNumberFormat="1" applyFont="1" applyFill="1" applyBorder="1" applyAlignment="1">
      <alignment horizontal="left"/>
    </xf>
    <xf numFmtId="14" fontId="2" fillId="14" borderId="4" xfId="0" applyNumberFormat="1" applyFont="1" applyFill="1" applyBorder="1" applyAlignment="1">
      <alignment horizontal="left"/>
    </xf>
    <xf numFmtId="166" fontId="2" fillId="14" borderId="4" xfId="0" applyNumberFormat="1" applyFont="1" applyFill="1" applyBorder="1" applyAlignment="1">
      <alignment horizontal="center"/>
    </xf>
    <xf numFmtId="14" fontId="9" fillId="14" borderId="4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right"/>
    </xf>
    <xf numFmtId="166" fontId="5" fillId="14" borderId="4" xfId="0" applyNumberFormat="1" applyFont="1" applyFill="1" applyBorder="1" applyAlignment="1">
      <alignment horizontal="left"/>
    </xf>
    <xf numFmtId="0" fontId="5" fillId="14" borderId="4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3" fontId="5" fillId="11" borderId="4" xfId="0" applyNumberFormat="1" applyFont="1" applyFill="1" applyBorder="1" applyAlignment="1">
      <alignment horizontal="left"/>
    </xf>
    <xf numFmtId="166" fontId="2" fillId="11" borderId="4" xfId="0" applyNumberFormat="1" applyFont="1" applyFill="1" applyBorder="1" applyAlignment="1">
      <alignment horizontal="center"/>
    </xf>
    <xf numFmtId="14" fontId="2" fillId="6" borderId="8" xfId="0" applyNumberFormat="1" applyFont="1" applyFill="1" applyBorder="1" applyAlignment="1">
      <alignment horizontal="left"/>
    </xf>
    <xf numFmtId="166" fontId="2" fillId="6" borderId="8" xfId="0" applyNumberFormat="1" applyFont="1" applyFill="1" applyBorder="1" applyAlignment="1">
      <alignment horizontal="left"/>
    </xf>
    <xf numFmtId="3" fontId="2" fillId="6" borderId="8" xfId="0" applyNumberFormat="1" applyFont="1" applyFill="1" applyBorder="1" applyAlignment="1">
      <alignment horizontal="right"/>
    </xf>
    <xf numFmtId="166" fontId="5" fillId="11" borderId="4" xfId="0" applyNumberFormat="1" applyFont="1" applyFill="1" applyBorder="1" applyAlignment="1">
      <alignment horizontal="left"/>
    </xf>
    <xf numFmtId="0" fontId="5" fillId="11" borderId="4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14" fontId="2" fillId="4" borderId="17" xfId="0" applyNumberFormat="1" applyFont="1" applyFill="1" applyBorder="1" applyAlignment="1">
      <alignment horizontal="left"/>
    </xf>
    <xf numFmtId="166" fontId="2" fillId="4" borderId="17" xfId="0" applyNumberFormat="1" applyFont="1" applyFill="1" applyBorder="1" applyAlignment="1">
      <alignment horizontal="left"/>
    </xf>
    <xf numFmtId="3" fontId="2" fillId="4" borderId="17" xfId="0" applyNumberFormat="1" applyFont="1" applyFill="1" applyBorder="1" applyAlignment="1">
      <alignment horizontal="right"/>
    </xf>
    <xf numFmtId="0" fontId="2" fillId="4" borderId="4" xfId="0" applyFont="1" applyFill="1" applyBorder="1" applyAlignment="1">
      <alignment horizontal="left"/>
    </xf>
    <xf numFmtId="14" fontId="2" fillId="4" borderId="4" xfId="0" applyNumberFormat="1" applyFont="1" applyFill="1" applyBorder="1" applyAlignment="1">
      <alignment horizontal="left"/>
    </xf>
    <xf numFmtId="166" fontId="2" fillId="4" borderId="4" xfId="0" applyNumberFormat="1" applyFont="1" applyFill="1" applyBorder="1" applyAlignment="1">
      <alignment horizontal="left"/>
    </xf>
    <xf numFmtId="3" fontId="2" fillId="4" borderId="4" xfId="0" applyNumberFormat="1" applyFont="1" applyFill="1" applyBorder="1" applyAlignment="1">
      <alignment horizontal="right"/>
    </xf>
    <xf numFmtId="0" fontId="2" fillId="18" borderId="8" xfId="0" applyFont="1" applyFill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3" fontId="2" fillId="0" borderId="9" xfId="0" applyNumberFormat="1" applyFont="1" applyBorder="1" applyAlignment="1">
      <alignment horizontal="right"/>
    </xf>
    <xf numFmtId="166" fontId="2" fillId="0" borderId="5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left"/>
    </xf>
    <xf numFmtId="166" fontId="2" fillId="0" borderId="9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left"/>
    </xf>
    <xf numFmtId="166" fontId="2" fillId="5" borderId="4" xfId="0" applyNumberFormat="1" applyFont="1" applyFill="1" applyBorder="1" applyAlignment="1">
      <alignment horizontal="left"/>
    </xf>
    <xf numFmtId="3" fontId="4" fillId="5" borderId="4" xfId="0" applyNumberFormat="1" applyFont="1" applyFill="1" applyBorder="1" applyAlignment="1">
      <alignment horizontal="right"/>
    </xf>
    <xf numFmtId="3" fontId="2" fillId="0" borderId="5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right"/>
    </xf>
    <xf numFmtId="166" fontId="2" fillId="0" borderId="9" xfId="0" applyNumberFormat="1" applyFont="1" applyBorder="1" applyAlignment="1">
      <alignment horizontal="right"/>
    </xf>
    <xf numFmtId="166" fontId="2" fillId="0" borderId="13" xfId="0" applyNumberFormat="1" applyFont="1" applyBorder="1" applyAlignment="1">
      <alignment horizontal="right"/>
    </xf>
    <xf numFmtId="168" fontId="5" fillId="0" borderId="5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left" wrapText="1"/>
    </xf>
    <xf numFmtId="166" fontId="10" fillId="0" borderId="5" xfId="0" applyNumberFormat="1" applyFont="1" applyBorder="1" applyAlignment="1">
      <alignment horizontal="left" wrapText="1"/>
    </xf>
    <xf numFmtId="166" fontId="10" fillId="0" borderId="5" xfId="0" applyNumberFormat="1" applyFont="1" applyBorder="1" applyAlignment="1">
      <alignment horizontal="left"/>
    </xf>
    <xf numFmtId="0" fontId="10" fillId="0" borderId="5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4" fontId="11" fillId="0" borderId="5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left" wrapText="1"/>
    </xf>
    <xf numFmtId="0" fontId="10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left"/>
    </xf>
    <xf numFmtId="1" fontId="4" fillId="19" borderId="4" xfId="0" applyNumberFormat="1" applyFont="1" applyFill="1" applyBorder="1" applyAlignment="1">
      <alignment horizontal="left"/>
    </xf>
    <xf numFmtId="166" fontId="9" fillId="19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3" fontId="2" fillId="19" borderId="4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166" fontId="11" fillId="0" borderId="5" xfId="0" applyNumberFormat="1" applyFont="1" applyBorder="1" applyAlignment="1">
      <alignment horizontal="left" wrapText="1"/>
    </xf>
    <xf numFmtId="3" fontId="11" fillId="0" borderId="5" xfId="0" applyNumberFormat="1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3" fontId="13" fillId="0" borderId="5" xfId="0" applyNumberFormat="1" applyFont="1" applyBorder="1" applyAlignment="1">
      <alignment horizontal="left" wrapText="1"/>
    </xf>
    <xf numFmtId="4" fontId="10" fillId="0" borderId="5" xfId="0" applyNumberFormat="1" applyFont="1" applyBorder="1" applyAlignment="1">
      <alignment horizontal="right" wrapText="1"/>
    </xf>
    <xf numFmtId="3" fontId="14" fillId="0" borderId="5" xfId="0" applyNumberFormat="1" applyFont="1" applyBorder="1" applyAlignment="1">
      <alignment horizontal="left"/>
    </xf>
    <xf numFmtId="166" fontId="9" fillId="0" borderId="5" xfId="0" applyNumberFormat="1" applyFont="1" applyBorder="1" applyAlignment="1">
      <alignment horizontal="left"/>
    </xf>
    <xf numFmtId="3" fontId="2" fillId="0" borderId="5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5" fillId="0" borderId="5" xfId="0" applyFont="1" applyBorder="1" applyAlignment="1">
      <alignment horizontal="center" wrapText="1"/>
    </xf>
    <xf numFmtId="3" fontId="9" fillId="0" borderId="5" xfId="0" applyNumberFormat="1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3" fontId="4" fillId="0" borderId="9" xfId="0" applyNumberFormat="1" applyFont="1" applyBorder="1" applyAlignment="1">
      <alignment horizontal="center"/>
    </xf>
    <xf numFmtId="0" fontId="2" fillId="18" borderId="4" xfId="0" applyFont="1" applyFill="1" applyBorder="1" applyAlignment="1">
      <alignment horizontal="right"/>
    </xf>
    <xf numFmtId="3" fontId="2" fillId="18" borderId="4" xfId="0" applyNumberFormat="1" applyFont="1" applyFill="1" applyBorder="1" applyAlignment="1">
      <alignment horizontal="left"/>
    </xf>
    <xf numFmtId="0" fontId="2" fillId="18" borderId="4" xfId="0" applyFont="1" applyFill="1" applyBorder="1" applyAlignment="1">
      <alignment horizontal="left"/>
    </xf>
    <xf numFmtId="3" fontId="4" fillId="0" borderId="5" xfId="0" applyNumberFormat="1" applyFont="1" applyBorder="1" applyAlignment="1">
      <alignment horizontal="left"/>
    </xf>
    <xf numFmtId="3" fontId="2" fillId="18" borderId="4" xfId="0" applyNumberFormat="1" applyFont="1" applyFill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/>
    <xf numFmtId="3" fontId="4" fillId="0" borderId="18" xfId="0" applyNumberFormat="1" applyFont="1" applyBorder="1" applyAlignment="1">
      <alignment horizontal="center"/>
    </xf>
    <xf numFmtId="166" fontId="4" fillId="0" borderId="19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3" fontId="2" fillId="0" borderId="21" xfId="0" applyNumberFormat="1" applyFont="1" applyBorder="1" applyAlignment="1">
      <alignment horizontal="left"/>
    </xf>
    <xf numFmtId="166" fontId="2" fillId="0" borderId="22" xfId="0" applyNumberFormat="1" applyFont="1" applyBorder="1" applyAlignment="1">
      <alignment horizontal="right"/>
    </xf>
    <xf numFmtId="166" fontId="2" fillId="0" borderId="23" xfId="0" applyNumberFormat="1" applyFont="1" applyBorder="1" applyAlignment="1">
      <alignment horizontal="right"/>
    </xf>
    <xf numFmtId="3" fontId="2" fillId="0" borderId="24" xfId="0" applyNumberFormat="1" applyFont="1" applyBorder="1" applyAlignment="1">
      <alignment horizontal="left"/>
    </xf>
    <xf numFmtId="166" fontId="2" fillId="0" borderId="25" xfId="0" applyNumberFormat="1" applyFont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3" fontId="2" fillId="0" borderId="27" xfId="0" applyNumberFormat="1" applyFont="1" applyBorder="1" applyAlignment="1">
      <alignment horizontal="left"/>
    </xf>
    <xf numFmtId="166" fontId="2" fillId="0" borderId="28" xfId="0" applyNumberFormat="1" applyFont="1" applyBorder="1" applyAlignment="1">
      <alignment horizontal="right"/>
    </xf>
    <xf numFmtId="166" fontId="2" fillId="0" borderId="29" xfId="0" applyNumberFormat="1" applyFont="1" applyBorder="1" applyAlignment="1">
      <alignment horizontal="right"/>
    </xf>
    <xf numFmtId="3" fontId="2" fillId="0" borderId="18" xfId="0" applyNumberFormat="1" applyFont="1" applyBorder="1" applyAlignment="1">
      <alignment horizontal="left"/>
    </xf>
    <xf numFmtId="166" fontId="2" fillId="0" borderId="19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166" fontId="2" fillId="0" borderId="31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164" fontId="2" fillId="11" borderId="32" xfId="0" applyNumberFormat="1" applyFont="1" applyFill="1" applyBorder="1" applyAlignment="1">
      <alignment horizontal="center"/>
    </xf>
    <xf numFmtId="164" fontId="2" fillId="11" borderId="8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2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0" borderId="11" xfId="0" applyNumberFormat="1" applyFont="1" applyBorder="1" applyAlignment="1">
      <alignment horizontal="right"/>
    </xf>
    <xf numFmtId="3" fontId="2" fillId="0" borderId="33" xfId="0" applyNumberFormat="1" applyFont="1" applyBorder="1" applyAlignment="1">
      <alignment horizontal="right"/>
    </xf>
    <xf numFmtId="3" fontId="2" fillId="0" borderId="34" xfId="0" applyNumberFormat="1" applyFont="1" applyBorder="1" applyAlignment="1">
      <alignment horizontal="right"/>
    </xf>
    <xf numFmtId="3" fontId="2" fillId="12" borderId="8" xfId="0" applyNumberFormat="1" applyFont="1" applyFill="1" applyBorder="1" applyAlignment="1">
      <alignment horizontal="left"/>
    </xf>
    <xf numFmtId="3" fontId="2" fillId="0" borderId="10" xfId="0" applyNumberFormat="1" applyFont="1" applyBorder="1" applyAlignment="1">
      <alignment horizontal="right"/>
    </xf>
    <xf numFmtId="3" fontId="2" fillId="20" borderId="4" xfId="0" applyNumberFormat="1" applyFont="1" applyFill="1" applyBorder="1" applyAlignment="1">
      <alignment horizontal="right"/>
    </xf>
    <xf numFmtId="3" fontId="2" fillId="20" borderId="35" xfId="0" applyNumberFormat="1" applyFont="1" applyFill="1" applyBorder="1" applyAlignment="1">
      <alignment horizontal="right"/>
    </xf>
    <xf numFmtId="166" fontId="2" fillId="20" borderId="8" xfId="0" applyNumberFormat="1" applyFont="1" applyFill="1" applyBorder="1" applyAlignment="1">
      <alignment horizontal="right"/>
    </xf>
    <xf numFmtId="3" fontId="2" fillId="20" borderId="32" xfId="0" applyNumberFormat="1" applyFont="1" applyFill="1" applyBorder="1" applyAlignment="1">
      <alignment horizontal="right"/>
    </xf>
    <xf numFmtId="3" fontId="4" fillId="21" borderId="8" xfId="0" applyNumberFormat="1" applyFont="1" applyFill="1" applyBorder="1" applyAlignment="1">
      <alignment horizontal="right"/>
    </xf>
    <xf numFmtId="3" fontId="2" fillId="19" borderId="4" xfId="0" applyNumberFormat="1" applyFont="1" applyFill="1" applyBorder="1" applyAlignment="1">
      <alignment horizontal="right"/>
    </xf>
    <xf numFmtId="3" fontId="2" fillId="19" borderId="36" xfId="0" applyNumberFormat="1" applyFont="1" applyFill="1" applyBorder="1" applyAlignment="1">
      <alignment horizontal="right"/>
    </xf>
    <xf numFmtId="3" fontId="2" fillId="19" borderId="8" xfId="0" applyNumberFormat="1" applyFont="1" applyFill="1" applyBorder="1" applyAlignment="1">
      <alignment horizontal="right"/>
    </xf>
    <xf numFmtId="169" fontId="2" fillId="19" borderId="8" xfId="0" applyNumberFormat="1" applyFont="1" applyFill="1" applyBorder="1" applyAlignment="1">
      <alignment horizontal="right"/>
    </xf>
    <xf numFmtId="3" fontId="2" fillId="19" borderId="32" xfId="0" applyNumberFormat="1" applyFont="1" applyFill="1" applyBorder="1" applyAlignment="1">
      <alignment horizontal="right"/>
    </xf>
    <xf numFmtId="3" fontId="4" fillId="19" borderId="8" xfId="0" applyNumberFormat="1" applyFont="1" applyFill="1" applyBorder="1" applyAlignment="1">
      <alignment horizontal="right"/>
    </xf>
    <xf numFmtId="164" fontId="2" fillId="0" borderId="12" xfId="0" applyNumberFormat="1" applyFont="1" applyBorder="1" applyAlignment="1">
      <alignment horizontal="left"/>
    </xf>
    <xf numFmtId="170" fontId="4" fillId="0" borderId="9" xfId="0" applyNumberFormat="1" applyFont="1" applyBorder="1" applyAlignment="1">
      <alignment horizontal="center"/>
    </xf>
    <xf numFmtId="164" fontId="4" fillId="11" borderId="32" xfId="0" applyNumberFormat="1" applyFont="1" applyFill="1" applyBorder="1" applyAlignment="1">
      <alignment horizontal="center"/>
    </xf>
    <xf numFmtId="164" fontId="4" fillId="11" borderId="8" xfId="0" applyNumberFormat="1" applyFont="1" applyFill="1" applyBorder="1" applyAlignment="1">
      <alignment horizontal="center"/>
    </xf>
    <xf numFmtId="164" fontId="4" fillId="11" borderId="14" xfId="0" applyNumberFormat="1" applyFont="1" applyFill="1" applyBorder="1" applyAlignment="1">
      <alignment horizontal="center"/>
    </xf>
    <xf numFmtId="164" fontId="4" fillId="11" borderId="37" xfId="0" applyNumberFormat="1" applyFont="1" applyFill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left"/>
    </xf>
    <xf numFmtId="170" fontId="4" fillId="0" borderId="5" xfId="0" applyNumberFormat="1" applyFont="1" applyBorder="1" applyAlignment="1">
      <alignment horizontal="center"/>
    </xf>
    <xf numFmtId="164" fontId="4" fillId="11" borderId="35" xfId="0" applyNumberFormat="1" applyFont="1" applyFill="1" applyBorder="1" applyAlignment="1">
      <alignment horizontal="center"/>
    </xf>
    <xf numFmtId="164" fontId="4" fillId="11" borderId="4" xfId="0" applyNumberFormat="1" applyFont="1" applyFill="1" applyBorder="1" applyAlignment="1">
      <alignment horizontal="center"/>
    </xf>
    <xf numFmtId="164" fontId="4" fillId="11" borderId="17" xfId="0" applyNumberFormat="1" applyFont="1" applyFill="1" applyBorder="1" applyAlignment="1">
      <alignment horizontal="center"/>
    </xf>
    <xf numFmtId="164" fontId="4" fillId="11" borderId="36" xfId="0" applyNumberFormat="1" applyFont="1" applyFill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2" fillId="22" borderId="4" xfId="0" applyNumberFormat="1" applyFont="1" applyFill="1" applyBorder="1" applyAlignment="1">
      <alignment horizontal="left"/>
    </xf>
    <xf numFmtId="168" fontId="4" fillId="22" borderId="4" xfId="0" applyNumberFormat="1" applyFont="1" applyFill="1" applyBorder="1" applyAlignment="1">
      <alignment horizontal="right"/>
    </xf>
    <xf numFmtId="3" fontId="4" fillId="22" borderId="4" xfId="0" applyNumberFormat="1" applyFont="1" applyFill="1" applyBorder="1" applyAlignment="1">
      <alignment horizontal="right"/>
    </xf>
    <xf numFmtId="3" fontId="2" fillId="22" borderId="4" xfId="0" applyNumberFormat="1" applyFont="1" applyFill="1" applyBorder="1" applyAlignment="1">
      <alignment horizontal="right"/>
    </xf>
    <xf numFmtId="3" fontId="2" fillId="22" borderId="17" xfId="0" applyNumberFormat="1" applyFont="1" applyFill="1" applyBorder="1" applyAlignment="1">
      <alignment horizontal="left"/>
    </xf>
    <xf numFmtId="170" fontId="4" fillId="22" borderId="38" xfId="0" applyNumberFormat="1" applyFont="1" applyFill="1" applyBorder="1" applyAlignment="1">
      <alignment horizontal="right"/>
    </xf>
    <xf numFmtId="3" fontId="4" fillId="22" borderId="36" xfId="0" applyNumberFormat="1" applyFont="1" applyFill="1" applyBorder="1" applyAlignment="1">
      <alignment horizontal="right"/>
    </xf>
    <xf numFmtId="3" fontId="4" fillId="22" borderId="17" xfId="0" applyNumberFormat="1" applyFont="1" applyFill="1" applyBorder="1" applyAlignment="1">
      <alignment horizontal="right"/>
    </xf>
    <xf numFmtId="3" fontId="4" fillId="22" borderId="38" xfId="0" applyNumberFormat="1" applyFont="1" applyFill="1" applyBorder="1" applyAlignment="1">
      <alignment horizontal="right"/>
    </xf>
    <xf numFmtId="166" fontId="4" fillId="0" borderId="39" xfId="0" applyNumberFormat="1" applyFont="1" applyBorder="1" applyAlignment="1">
      <alignment horizontal="right"/>
    </xf>
    <xf numFmtId="170" fontId="4" fillId="22" borderId="14" xfId="0" applyNumberFormat="1" applyFont="1" applyFill="1" applyBorder="1" applyAlignment="1">
      <alignment horizontal="right"/>
    </xf>
    <xf numFmtId="3" fontId="4" fillId="22" borderId="35" xfId="0" applyNumberFormat="1" applyFont="1" applyFill="1" applyBorder="1" applyAlignment="1">
      <alignment horizontal="right"/>
    </xf>
    <xf numFmtId="3" fontId="4" fillId="22" borderId="14" xfId="0" applyNumberFormat="1" applyFont="1" applyFill="1" applyBorder="1" applyAlignment="1">
      <alignment horizontal="right"/>
    </xf>
    <xf numFmtId="166" fontId="4" fillId="0" borderId="28" xfId="0" applyNumberFormat="1" applyFont="1" applyBorder="1" applyAlignment="1">
      <alignment horizontal="right"/>
    </xf>
    <xf numFmtId="3" fontId="4" fillId="0" borderId="39" xfId="0" applyNumberFormat="1" applyFont="1" applyBorder="1" applyAlignment="1">
      <alignment horizontal="right"/>
    </xf>
    <xf numFmtId="3" fontId="2" fillId="22" borderId="8" xfId="0" applyNumberFormat="1" applyFont="1" applyFill="1" applyBorder="1" applyAlignment="1">
      <alignment horizontal="left"/>
    </xf>
    <xf numFmtId="170" fontId="4" fillId="22" borderId="37" xfId="0" applyNumberFormat="1" applyFont="1" applyFill="1" applyBorder="1" applyAlignment="1">
      <alignment horizontal="right"/>
    </xf>
    <xf numFmtId="3" fontId="4" fillId="22" borderId="32" xfId="0" applyNumberFormat="1" applyFont="1" applyFill="1" applyBorder="1" applyAlignment="1">
      <alignment horizontal="right"/>
    </xf>
    <xf numFmtId="3" fontId="4" fillId="22" borderId="8" xfId="0" applyNumberFormat="1" applyFont="1" applyFill="1" applyBorder="1" applyAlignment="1">
      <alignment horizontal="right"/>
    </xf>
    <xf numFmtId="3" fontId="4" fillId="22" borderId="37" xfId="0" applyNumberFormat="1" applyFont="1" applyFill="1" applyBorder="1" applyAlignment="1">
      <alignment horizontal="right"/>
    </xf>
    <xf numFmtId="3" fontId="4" fillId="0" borderId="40" xfId="0" applyNumberFormat="1" applyFont="1" applyBorder="1" applyAlignment="1">
      <alignment horizontal="right"/>
    </xf>
    <xf numFmtId="3" fontId="4" fillId="22" borderId="4" xfId="0" applyNumberFormat="1" applyFont="1" applyFill="1" applyBorder="1" applyAlignment="1">
      <alignment horizontal="left"/>
    </xf>
    <xf numFmtId="170" fontId="4" fillId="22" borderId="4" xfId="0" applyNumberFormat="1" applyFont="1" applyFill="1" applyBorder="1" applyAlignment="1">
      <alignment horizontal="right"/>
    </xf>
    <xf numFmtId="3" fontId="2" fillId="22" borderId="35" xfId="0" applyNumberFormat="1" applyFont="1" applyFill="1" applyBorder="1" applyAlignment="1">
      <alignment horizontal="right"/>
    </xf>
    <xf numFmtId="170" fontId="4" fillId="22" borderId="8" xfId="0" applyNumberFormat="1" applyFont="1" applyFill="1" applyBorder="1" applyAlignment="1">
      <alignment horizontal="right"/>
    </xf>
    <xf numFmtId="3" fontId="2" fillId="22" borderId="32" xfId="0" applyNumberFormat="1" applyFont="1" applyFill="1" applyBorder="1" applyAlignment="1">
      <alignment horizontal="right"/>
    </xf>
    <xf numFmtId="3" fontId="2" fillId="22" borderId="8" xfId="0" applyNumberFormat="1" applyFont="1" applyFill="1" applyBorder="1" applyAlignment="1">
      <alignment horizontal="right"/>
    </xf>
    <xf numFmtId="170" fontId="2" fillId="22" borderId="38" xfId="0" applyNumberFormat="1" applyFont="1" applyFill="1" applyBorder="1" applyAlignment="1">
      <alignment horizontal="left"/>
    </xf>
    <xf numFmtId="3" fontId="2" fillId="22" borderId="14" xfId="0" applyNumberFormat="1" applyFont="1" applyFill="1" applyBorder="1" applyAlignment="1">
      <alignment horizontal="right"/>
    </xf>
    <xf numFmtId="170" fontId="4" fillId="0" borderId="10" xfId="0" applyNumberFormat="1" applyFont="1" applyBorder="1" applyAlignment="1">
      <alignment horizontal="right"/>
    </xf>
    <xf numFmtId="3" fontId="2" fillId="0" borderId="41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center"/>
    </xf>
    <xf numFmtId="3" fontId="2" fillId="5" borderId="42" xfId="0" applyNumberFormat="1" applyFont="1" applyFill="1" applyBorder="1" applyAlignment="1">
      <alignment horizontal="right"/>
    </xf>
    <xf numFmtId="170" fontId="4" fillId="23" borderId="43" xfId="0" applyNumberFormat="1" applyFont="1" applyFill="1" applyBorder="1" applyAlignment="1">
      <alignment horizontal="right"/>
    </xf>
    <xf numFmtId="3" fontId="2" fillId="5" borderId="44" xfId="0" applyNumberFormat="1" applyFont="1" applyFill="1" applyBorder="1" applyAlignment="1">
      <alignment horizontal="right"/>
    </xf>
    <xf numFmtId="3" fontId="2" fillId="5" borderId="43" xfId="0" applyNumberFormat="1" applyFont="1" applyFill="1" applyBorder="1" applyAlignment="1">
      <alignment horizontal="right"/>
    </xf>
    <xf numFmtId="3" fontId="2" fillId="24" borderId="4" xfId="0" applyNumberFormat="1" applyFont="1" applyFill="1" applyBorder="1" applyAlignment="1">
      <alignment horizontal="left"/>
    </xf>
    <xf numFmtId="168" fontId="2" fillId="24" borderId="4" xfId="0" applyNumberFormat="1" applyFont="1" applyFill="1" applyBorder="1" applyAlignment="1">
      <alignment horizontal="right"/>
    </xf>
    <xf numFmtId="3" fontId="2" fillId="24" borderId="35" xfId="0" applyNumberFormat="1" applyFont="1" applyFill="1" applyBorder="1" applyAlignment="1">
      <alignment horizontal="right"/>
    </xf>
    <xf numFmtId="3" fontId="2" fillId="24" borderId="17" xfId="0" applyNumberFormat="1" applyFont="1" applyFill="1" applyBorder="1" applyAlignment="1">
      <alignment horizontal="right"/>
    </xf>
    <xf numFmtId="3" fontId="2" fillId="24" borderId="14" xfId="0" applyNumberFormat="1" applyFont="1" applyFill="1" applyBorder="1" applyAlignment="1">
      <alignment horizontal="right"/>
    </xf>
    <xf numFmtId="3" fontId="2" fillId="24" borderId="4" xfId="0" applyNumberFormat="1" applyFont="1" applyFill="1" applyBorder="1" applyAlignment="1">
      <alignment horizontal="right"/>
    </xf>
    <xf numFmtId="3" fontId="2" fillId="24" borderId="45" xfId="0" applyNumberFormat="1" applyFont="1" applyFill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2" fillId="24" borderId="8" xfId="0" applyNumberFormat="1" applyFont="1" applyFill="1" applyBorder="1" applyAlignment="1">
      <alignment horizontal="left"/>
    </xf>
    <xf numFmtId="168" fontId="2" fillId="24" borderId="8" xfId="0" applyNumberFormat="1" applyFont="1" applyFill="1" applyBorder="1" applyAlignment="1">
      <alignment horizontal="right"/>
    </xf>
    <xf numFmtId="3" fontId="2" fillId="24" borderId="32" xfId="0" applyNumberFormat="1" applyFont="1" applyFill="1" applyBorder="1" applyAlignment="1">
      <alignment horizontal="right"/>
    </xf>
    <xf numFmtId="3" fontId="4" fillId="24" borderId="4" xfId="0" applyNumberFormat="1" applyFont="1" applyFill="1" applyBorder="1" applyAlignment="1">
      <alignment horizontal="left"/>
    </xf>
    <xf numFmtId="3" fontId="2" fillId="0" borderId="11" xfId="0" applyNumberFormat="1" applyFont="1" applyBorder="1" applyAlignment="1">
      <alignment horizontal="left"/>
    </xf>
    <xf numFmtId="170" fontId="2" fillId="12" borderId="17" xfId="0" applyNumberFormat="1" applyFont="1" applyFill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170" fontId="2" fillId="12" borderId="8" xfId="0" applyNumberFormat="1" applyFont="1" applyFill="1" applyBorder="1" applyAlignment="1">
      <alignment horizontal="left"/>
    </xf>
    <xf numFmtId="3" fontId="17" fillId="0" borderId="12" xfId="0" applyNumberFormat="1" applyFont="1" applyBorder="1" applyAlignment="1">
      <alignment horizontal="right"/>
    </xf>
    <xf numFmtId="3" fontId="17" fillId="0" borderId="9" xfId="0" applyNumberFormat="1" applyFont="1" applyBorder="1" applyAlignment="1">
      <alignment horizontal="right"/>
    </xf>
    <xf numFmtId="3" fontId="17" fillId="0" borderId="10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left"/>
    </xf>
    <xf numFmtId="170" fontId="2" fillId="12" borderId="4" xfId="0" applyNumberFormat="1" applyFont="1" applyFill="1" applyBorder="1" applyAlignment="1">
      <alignment horizontal="left"/>
    </xf>
    <xf numFmtId="3" fontId="2" fillId="0" borderId="16" xfId="0" applyNumberFormat="1" applyFont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3" fontId="2" fillId="16" borderId="4" xfId="0" applyNumberFormat="1" applyFont="1" applyFill="1" applyBorder="1" applyAlignment="1">
      <alignment horizontal="right"/>
    </xf>
    <xf numFmtId="3" fontId="4" fillId="0" borderId="12" xfId="0" applyNumberFormat="1" applyFont="1" applyBorder="1" applyAlignment="1">
      <alignment horizontal="left"/>
    </xf>
    <xf numFmtId="170" fontId="4" fillId="12" borderId="4" xfId="0" applyNumberFormat="1" applyFont="1" applyFill="1" applyBorder="1" applyAlignment="1">
      <alignment horizontal="left"/>
    </xf>
    <xf numFmtId="3" fontId="4" fillId="16" borderId="4" xfId="0" applyNumberFormat="1" applyFont="1" applyFill="1" applyBorder="1" applyAlignment="1">
      <alignment horizontal="right"/>
    </xf>
    <xf numFmtId="3" fontId="17" fillId="0" borderId="5" xfId="0" applyNumberFormat="1" applyFont="1" applyBorder="1" applyAlignment="1">
      <alignment horizontal="right"/>
    </xf>
    <xf numFmtId="170" fontId="0" fillId="0" borderId="0" xfId="0" applyNumberFormat="1" applyAlignment="1"/>
    <xf numFmtId="3" fontId="18" fillId="0" borderId="5" xfId="0" applyNumberFormat="1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3" fontId="2" fillId="25" borderId="4" xfId="0" applyNumberFormat="1" applyFont="1" applyFill="1" applyBorder="1" applyAlignment="1">
      <alignment horizontal="right"/>
    </xf>
    <xf numFmtId="3" fontId="2" fillId="25" borderId="14" xfId="0" applyNumberFormat="1" applyFont="1" applyFill="1" applyBorder="1" applyAlignment="1">
      <alignment horizontal="right"/>
    </xf>
    <xf numFmtId="170" fontId="4" fillId="0" borderId="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3" fontId="4" fillId="0" borderId="46" xfId="0" applyNumberFormat="1" applyFont="1" applyBorder="1" applyAlignment="1">
      <alignment horizontal="right"/>
    </xf>
    <xf numFmtId="3" fontId="2" fillId="26" borderId="4" xfId="0" applyNumberFormat="1" applyFont="1" applyFill="1" applyBorder="1" applyAlignment="1">
      <alignment horizontal="left"/>
    </xf>
    <xf numFmtId="170" fontId="2" fillId="26" borderId="4" xfId="0" applyNumberFormat="1" applyFont="1" applyFill="1" applyBorder="1" applyAlignment="1">
      <alignment horizontal="left"/>
    </xf>
    <xf numFmtId="3" fontId="2" fillId="26" borderId="4" xfId="0" applyNumberFormat="1" applyFont="1" applyFill="1" applyBorder="1" applyAlignment="1">
      <alignment horizontal="right"/>
    </xf>
    <xf numFmtId="3" fontId="2" fillId="26" borderId="14" xfId="0" applyNumberFormat="1" applyFont="1" applyFill="1" applyBorder="1" applyAlignment="1">
      <alignment horizontal="right"/>
    </xf>
    <xf numFmtId="3" fontId="19" fillId="26" borderId="4" xfId="0" applyNumberFormat="1" applyFont="1" applyFill="1" applyBorder="1" applyAlignment="1">
      <alignment horizontal="left"/>
    </xf>
    <xf numFmtId="170" fontId="19" fillId="26" borderId="4" xfId="0" applyNumberFormat="1" applyFont="1" applyFill="1" applyBorder="1" applyAlignment="1">
      <alignment horizontal="left"/>
    </xf>
    <xf numFmtId="3" fontId="19" fillId="26" borderId="8" xfId="0" applyNumberFormat="1" applyFont="1" applyFill="1" applyBorder="1" applyAlignment="1">
      <alignment horizontal="left"/>
    </xf>
    <xf numFmtId="170" fontId="2" fillId="26" borderId="8" xfId="0" applyNumberFormat="1" applyFont="1" applyFill="1" applyBorder="1" applyAlignment="1">
      <alignment horizontal="left"/>
    </xf>
    <xf numFmtId="3" fontId="4" fillId="26" borderId="4" xfId="0" applyNumberFormat="1" applyFont="1" applyFill="1" applyBorder="1" applyAlignment="1">
      <alignment horizontal="left"/>
    </xf>
    <xf numFmtId="3" fontId="4" fillId="26" borderId="4" xfId="0" applyNumberFormat="1" applyFont="1" applyFill="1" applyBorder="1" applyAlignment="1">
      <alignment horizontal="right"/>
    </xf>
    <xf numFmtId="170" fontId="4" fillId="26" borderId="8" xfId="0" applyNumberFormat="1" applyFont="1" applyFill="1" applyBorder="1" applyAlignment="1">
      <alignment horizontal="left"/>
    </xf>
    <xf numFmtId="3" fontId="19" fillId="26" borderId="8" xfId="0" applyNumberFormat="1" applyFont="1" applyFill="1" applyBorder="1" applyAlignment="1">
      <alignment horizontal="right"/>
    </xf>
    <xf numFmtId="3" fontId="2" fillId="5" borderId="4" xfId="0" applyNumberFormat="1" applyFont="1" applyFill="1" applyBorder="1" applyAlignment="1">
      <alignment horizontal="right"/>
    </xf>
    <xf numFmtId="3" fontId="19" fillId="26" borderId="37" xfId="0" applyNumberFormat="1" applyFont="1" applyFill="1" applyBorder="1" applyAlignment="1">
      <alignment horizontal="right"/>
    </xf>
    <xf numFmtId="3" fontId="4" fillId="26" borderId="47" xfId="0" applyNumberFormat="1" applyFont="1" applyFill="1" applyBorder="1" applyAlignment="1">
      <alignment horizontal="left"/>
    </xf>
    <xf numFmtId="170" fontId="4" fillId="26" borderId="4" xfId="0" applyNumberFormat="1" applyFont="1" applyFill="1" applyBorder="1" applyAlignment="1">
      <alignment horizontal="left"/>
    </xf>
    <xf numFmtId="3" fontId="4" fillId="26" borderId="14" xfId="0" applyNumberFormat="1" applyFont="1" applyFill="1" applyBorder="1" applyAlignment="1">
      <alignment horizontal="right"/>
    </xf>
    <xf numFmtId="3" fontId="19" fillId="26" borderId="48" xfId="0" applyNumberFormat="1" applyFont="1" applyFill="1" applyBorder="1" applyAlignment="1">
      <alignment horizontal="left"/>
    </xf>
    <xf numFmtId="170" fontId="2" fillId="26" borderId="48" xfId="0" applyNumberFormat="1" applyFont="1" applyFill="1" applyBorder="1" applyAlignment="1">
      <alignment horizontal="left"/>
    </xf>
    <xf numFmtId="3" fontId="19" fillId="26" borderId="48" xfId="0" applyNumberFormat="1" applyFont="1" applyFill="1" applyBorder="1" applyAlignment="1">
      <alignment horizontal="right"/>
    </xf>
    <xf numFmtId="3" fontId="2" fillId="27" borderId="4" xfId="0" applyNumberFormat="1" applyFont="1" applyFill="1" applyBorder="1" applyAlignment="1">
      <alignment horizontal="left"/>
    </xf>
    <xf numFmtId="170" fontId="14" fillId="27" borderId="4" xfId="0" applyNumberFormat="1" applyFont="1" applyFill="1" applyBorder="1" applyAlignment="1">
      <alignment horizontal="left"/>
    </xf>
    <xf numFmtId="3" fontId="2" fillId="27" borderId="4" xfId="0" applyNumberFormat="1" applyFont="1" applyFill="1" applyBorder="1" applyAlignment="1">
      <alignment horizontal="right"/>
    </xf>
    <xf numFmtId="3" fontId="2" fillId="27" borderId="14" xfId="0" applyNumberFormat="1" applyFont="1" applyFill="1" applyBorder="1" applyAlignment="1">
      <alignment horizontal="right"/>
    </xf>
    <xf numFmtId="170" fontId="2" fillId="27" borderId="4" xfId="0" applyNumberFormat="1" applyFont="1" applyFill="1" applyBorder="1" applyAlignment="1">
      <alignment horizontal="left"/>
    </xf>
    <xf numFmtId="3" fontId="19" fillId="27" borderId="4" xfId="0" applyNumberFormat="1" applyFont="1" applyFill="1" applyBorder="1" applyAlignment="1">
      <alignment horizontal="left"/>
    </xf>
    <xf numFmtId="3" fontId="19" fillId="27" borderId="4" xfId="0" applyNumberFormat="1" applyFont="1" applyFill="1" applyBorder="1" applyAlignment="1">
      <alignment horizontal="right"/>
    </xf>
    <xf numFmtId="3" fontId="19" fillId="27" borderId="14" xfId="0" applyNumberFormat="1" applyFont="1" applyFill="1" applyBorder="1" applyAlignment="1">
      <alignment horizontal="right"/>
    </xf>
    <xf numFmtId="3" fontId="19" fillId="27" borderId="8" xfId="0" applyNumberFormat="1" applyFont="1" applyFill="1" applyBorder="1" applyAlignment="1">
      <alignment horizontal="left"/>
    </xf>
    <xf numFmtId="170" fontId="2" fillId="27" borderId="8" xfId="0" applyNumberFormat="1" applyFont="1" applyFill="1" applyBorder="1" applyAlignment="1">
      <alignment horizontal="left"/>
    </xf>
    <xf numFmtId="3" fontId="19" fillId="27" borderId="8" xfId="0" applyNumberFormat="1" applyFont="1" applyFill="1" applyBorder="1" applyAlignment="1">
      <alignment horizontal="right"/>
    </xf>
    <xf numFmtId="3" fontId="4" fillId="27" borderId="4" xfId="0" applyNumberFormat="1" applyFont="1" applyFill="1" applyBorder="1" applyAlignment="1">
      <alignment horizontal="left"/>
    </xf>
    <xf numFmtId="170" fontId="4" fillId="27" borderId="4" xfId="0" applyNumberFormat="1" applyFont="1" applyFill="1" applyBorder="1" applyAlignment="1">
      <alignment horizontal="left"/>
    </xf>
    <xf numFmtId="3" fontId="4" fillId="27" borderId="4" xfId="0" applyNumberFormat="1" applyFont="1" applyFill="1" applyBorder="1" applyAlignment="1">
      <alignment horizontal="right"/>
    </xf>
    <xf numFmtId="170" fontId="4" fillId="27" borderId="8" xfId="0" applyNumberFormat="1" applyFont="1" applyFill="1" applyBorder="1" applyAlignment="1">
      <alignment horizontal="left"/>
    </xf>
    <xf numFmtId="168" fontId="2" fillId="27" borderId="4" xfId="0" applyNumberFormat="1" applyFont="1" applyFill="1" applyBorder="1" applyAlignment="1">
      <alignment horizontal="right"/>
    </xf>
    <xf numFmtId="3" fontId="2" fillId="5" borderId="4" xfId="0" applyNumberFormat="1" applyFont="1" applyFill="1" applyBorder="1" applyAlignment="1">
      <alignment horizontal="left"/>
    </xf>
    <xf numFmtId="170" fontId="2" fillId="5" borderId="4" xfId="0" applyNumberFormat="1" applyFont="1" applyFill="1" applyBorder="1" applyAlignment="1">
      <alignment horizontal="left"/>
    </xf>
    <xf numFmtId="3" fontId="4" fillId="5" borderId="14" xfId="0" applyNumberFormat="1" applyFont="1" applyFill="1" applyBorder="1" applyAlignment="1">
      <alignment horizontal="right"/>
    </xf>
    <xf numFmtId="3" fontId="4" fillId="27" borderId="14" xfId="0" applyNumberFormat="1" applyFont="1" applyFill="1" applyBorder="1" applyAlignment="1">
      <alignment horizontal="right"/>
    </xf>
    <xf numFmtId="3" fontId="9" fillId="27" borderId="4" xfId="0" applyNumberFormat="1" applyFont="1" applyFill="1" applyBorder="1" applyAlignment="1">
      <alignment horizontal="left"/>
    </xf>
    <xf numFmtId="170" fontId="9" fillId="27" borderId="4" xfId="0" applyNumberFormat="1" applyFont="1" applyFill="1" applyBorder="1" applyAlignment="1">
      <alignment horizontal="left"/>
    </xf>
    <xf numFmtId="3" fontId="9" fillId="27" borderId="4" xfId="0" applyNumberFormat="1" applyFont="1" applyFill="1" applyBorder="1" applyAlignment="1">
      <alignment horizontal="right"/>
    </xf>
    <xf numFmtId="3" fontId="9" fillId="27" borderId="14" xfId="0" applyNumberFormat="1" applyFont="1" applyFill="1" applyBorder="1" applyAlignment="1">
      <alignment horizontal="right"/>
    </xf>
    <xf numFmtId="168" fontId="9" fillId="27" borderId="4" xfId="0" applyNumberFormat="1" applyFont="1" applyFill="1" applyBorder="1" applyAlignment="1">
      <alignment horizontal="right"/>
    </xf>
    <xf numFmtId="3" fontId="4" fillId="5" borderId="4" xfId="0" applyNumberFormat="1" applyFont="1" applyFill="1" applyBorder="1" applyAlignment="1">
      <alignment horizontal="left"/>
    </xf>
    <xf numFmtId="170" fontId="4" fillId="5" borderId="4" xfId="0" applyNumberFormat="1" applyFont="1" applyFill="1" applyBorder="1" applyAlignment="1">
      <alignment horizontal="left"/>
    </xf>
    <xf numFmtId="168" fontId="4" fillId="0" borderId="5" xfId="0" applyNumberFormat="1" applyFont="1" applyBorder="1" applyAlignment="1">
      <alignment horizontal="right"/>
    </xf>
    <xf numFmtId="3" fontId="2" fillId="28" borderId="4" xfId="0" applyNumberFormat="1" applyFont="1" applyFill="1" applyBorder="1" applyAlignment="1">
      <alignment horizontal="left"/>
    </xf>
    <xf numFmtId="170" fontId="2" fillId="28" borderId="4" xfId="0" applyNumberFormat="1" applyFont="1" applyFill="1" applyBorder="1" applyAlignment="1">
      <alignment horizontal="left"/>
    </xf>
    <xf numFmtId="3" fontId="2" fillId="28" borderId="4" xfId="0" applyNumberFormat="1" applyFont="1" applyFill="1" applyBorder="1" applyAlignment="1">
      <alignment horizontal="right"/>
    </xf>
    <xf numFmtId="3" fontId="2" fillId="28" borderId="14" xfId="0" applyNumberFormat="1" applyFont="1" applyFill="1" applyBorder="1" applyAlignment="1">
      <alignment horizontal="right"/>
    </xf>
    <xf numFmtId="3" fontId="4" fillId="28" borderId="4" xfId="0" applyNumberFormat="1" applyFont="1" applyFill="1" applyBorder="1" applyAlignment="1">
      <alignment horizontal="left"/>
    </xf>
    <xf numFmtId="170" fontId="4" fillId="28" borderId="4" xfId="0" applyNumberFormat="1" applyFont="1" applyFill="1" applyBorder="1" applyAlignment="1">
      <alignment horizontal="left"/>
    </xf>
    <xf numFmtId="3" fontId="4" fillId="28" borderId="4" xfId="0" applyNumberFormat="1" applyFont="1" applyFill="1" applyBorder="1" applyAlignment="1">
      <alignment horizontal="right"/>
    </xf>
    <xf numFmtId="3" fontId="4" fillId="28" borderId="14" xfId="0" applyNumberFormat="1" applyFont="1" applyFill="1" applyBorder="1" applyAlignment="1">
      <alignment horizontal="right"/>
    </xf>
    <xf numFmtId="3" fontId="19" fillId="28" borderId="4" xfId="0" applyNumberFormat="1" applyFont="1" applyFill="1" applyBorder="1" applyAlignment="1">
      <alignment horizontal="left"/>
    </xf>
    <xf numFmtId="3" fontId="19" fillId="28" borderId="4" xfId="0" applyNumberFormat="1" applyFont="1" applyFill="1" applyBorder="1" applyAlignment="1">
      <alignment horizontal="right"/>
    </xf>
    <xf numFmtId="3" fontId="19" fillId="28" borderId="14" xfId="0" applyNumberFormat="1" applyFont="1" applyFill="1" applyBorder="1" applyAlignment="1">
      <alignment horizontal="right"/>
    </xf>
    <xf numFmtId="3" fontId="2" fillId="0" borderId="16" xfId="0" applyNumberFormat="1" applyFont="1" applyBorder="1" applyAlignment="1">
      <alignment horizontal="left"/>
    </xf>
    <xf numFmtId="170" fontId="0" fillId="0" borderId="0" xfId="0" applyNumberFormat="1" applyAlignment="1"/>
    <xf numFmtId="0" fontId="4" fillId="0" borderId="9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3" fontId="4" fillId="18" borderId="4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166" fontId="2" fillId="11" borderId="4" xfId="0" applyNumberFormat="1" applyFont="1" applyFill="1" applyBorder="1" applyAlignment="1">
      <alignment horizontal="right"/>
    </xf>
    <xf numFmtId="3" fontId="14" fillId="11" borderId="4" xfId="0" applyNumberFormat="1" applyFont="1" applyFill="1" applyBorder="1" applyAlignment="1">
      <alignment horizontal="right"/>
    </xf>
    <xf numFmtId="166" fontId="2" fillId="11" borderId="8" xfId="0" applyNumberFormat="1" applyFont="1" applyFill="1" applyBorder="1" applyAlignment="1">
      <alignment horizontal="right"/>
    </xf>
    <xf numFmtId="3" fontId="14" fillId="11" borderId="8" xfId="0" applyNumberFormat="1" applyFont="1" applyFill="1" applyBorder="1" applyAlignment="1">
      <alignment horizontal="right"/>
    </xf>
    <xf numFmtId="3" fontId="4" fillId="11" borderId="35" xfId="0" applyNumberFormat="1" applyFont="1" applyFill="1" applyBorder="1" applyAlignment="1">
      <alignment horizontal="right"/>
    </xf>
    <xf numFmtId="3" fontId="4" fillId="11" borderId="32" xfId="0" applyNumberFormat="1" applyFont="1" applyFill="1" applyBorder="1" applyAlignment="1">
      <alignment horizontal="right"/>
    </xf>
    <xf numFmtId="166" fontId="2" fillId="0" borderId="15" xfId="0" applyNumberFormat="1" applyFont="1" applyBorder="1" applyAlignment="1">
      <alignment horizontal="right"/>
    </xf>
    <xf numFmtId="166" fontId="2" fillId="0" borderId="15" xfId="0" applyNumberFormat="1" applyFont="1" applyBorder="1" applyAlignment="1">
      <alignment horizontal="left"/>
    </xf>
    <xf numFmtId="3" fontId="2" fillId="0" borderId="15" xfId="0" applyNumberFormat="1" applyFont="1" applyBorder="1" applyAlignment="1">
      <alignment horizontal="right"/>
    </xf>
    <xf numFmtId="0" fontId="4" fillId="29" borderId="4" xfId="0" applyFont="1" applyFill="1" applyBorder="1" applyAlignment="1">
      <alignment horizontal="center"/>
    </xf>
    <xf numFmtId="166" fontId="4" fillId="0" borderId="5" xfId="0" applyNumberFormat="1" applyFont="1" applyBorder="1" applyAlignment="1">
      <alignment horizontal="left"/>
    </xf>
    <xf numFmtId="0" fontId="2" fillId="29" borderId="4" xfId="0" applyFont="1" applyFill="1" applyBorder="1" applyAlignment="1">
      <alignment horizontal="center"/>
    </xf>
    <xf numFmtId="0" fontId="2" fillId="29" borderId="8" xfId="0" applyFont="1" applyFill="1" applyBorder="1" applyAlignment="1">
      <alignment horizontal="left"/>
    </xf>
    <xf numFmtId="3" fontId="9" fillId="0" borderId="9" xfId="0" applyNumberFormat="1" applyFont="1" applyBorder="1" applyAlignment="1">
      <alignment horizontal="right"/>
    </xf>
    <xf numFmtId="166" fontId="9" fillId="0" borderId="9" xfId="0" applyNumberFormat="1" applyFont="1" applyBorder="1" applyAlignment="1">
      <alignment horizontal="right"/>
    </xf>
    <xf numFmtId="0" fontId="4" fillId="19" borderId="4" xfId="0" applyFont="1" applyFill="1" applyBorder="1" applyAlignment="1">
      <alignment horizontal="center"/>
    </xf>
    <xf numFmtId="167" fontId="14" fillId="0" borderId="5" xfId="0" applyNumberFormat="1" applyFont="1" applyBorder="1" applyAlignment="1">
      <alignment horizontal="right"/>
    </xf>
    <xf numFmtId="0" fontId="2" fillId="19" borderId="4" xfId="0" applyFont="1" applyFill="1" applyBorder="1" applyAlignment="1">
      <alignment horizontal="center"/>
    </xf>
    <xf numFmtId="3" fontId="14" fillId="0" borderId="5" xfId="0" applyNumberFormat="1" applyFont="1" applyBorder="1" applyAlignment="1">
      <alignment horizontal="right"/>
    </xf>
    <xf numFmtId="0" fontId="2" fillId="19" borderId="8" xfId="0" applyFont="1" applyFill="1" applyBorder="1" applyAlignment="1">
      <alignment horizontal="left"/>
    </xf>
    <xf numFmtId="166" fontId="4" fillId="0" borderId="5" xfId="0" applyNumberFormat="1" applyFont="1" applyBorder="1" applyAlignment="1">
      <alignment horizontal="right"/>
    </xf>
    <xf numFmtId="170" fontId="2" fillId="0" borderId="5" xfId="0" applyNumberFormat="1" applyFont="1" applyBorder="1" applyAlignment="1">
      <alignment horizontal="right"/>
    </xf>
    <xf numFmtId="0" fontId="20" fillId="0" borderId="49" xfId="0" applyFont="1" applyBorder="1" applyAlignment="1">
      <alignment horizontal="left"/>
    </xf>
    <xf numFmtId="166" fontId="4" fillId="0" borderId="50" xfId="0" applyNumberFormat="1" applyFont="1" applyBorder="1" applyAlignment="1">
      <alignment horizontal="center"/>
    </xf>
    <xf numFmtId="3" fontId="2" fillId="0" borderId="50" xfId="0" applyNumberFormat="1" applyFont="1" applyBorder="1" applyAlignment="1">
      <alignment horizontal="right"/>
    </xf>
    <xf numFmtId="3" fontId="2" fillId="0" borderId="51" xfId="0" applyNumberFormat="1" applyFont="1" applyBorder="1" applyAlignment="1">
      <alignment horizontal="right"/>
    </xf>
    <xf numFmtId="3" fontId="2" fillId="0" borderId="52" xfId="0" applyNumberFormat="1" applyFont="1" applyBorder="1" applyAlignment="1">
      <alignment horizontal="right"/>
    </xf>
    <xf numFmtId="166" fontId="2" fillId="0" borderId="53" xfId="0" applyNumberFormat="1" applyFont="1" applyBorder="1" applyAlignment="1">
      <alignment horizontal="left"/>
    </xf>
    <xf numFmtId="3" fontId="2" fillId="0" borderId="52" xfId="0" applyNumberFormat="1" applyFont="1" applyBorder="1" applyAlignment="1">
      <alignment horizontal="left"/>
    </xf>
    <xf numFmtId="3" fontId="2" fillId="0" borderId="54" xfId="0" applyNumberFormat="1" applyFont="1" applyBorder="1" applyAlignment="1">
      <alignment horizontal="right"/>
    </xf>
    <xf numFmtId="3" fontId="2" fillId="0" borderId="55" xfId="0" applyNumberFormat="1" applyFont="1" applyBorder="1" applyAlignment="1">
      <alignment horizontal="right"/>
    </xf>
    <xf numFmtId="166" fontId="0" fillId="0" borderId="0" xfId="0" applyNumberFormat="1" applyAlignment="1">
      <alignment horizontal="center"/>
    </xf>
    <xf numFmtId="3" fontId="4" fillId="0" borderId="5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71" fontId="2" fillId="0" borderId="5" xfId="0" applyNumberFormat="1" applyFont="1" applyBorder="1" applyAlignment="1">
      <alignment horizontal="center"/>
    </xf>
    <xf numFmtId="1" fontId="0" fillId="0" borderId="0" xfId="0" applyNumberFormat="1" applyAlignment="1"/>
    <xf numFmtId="17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4" fontId="4" fillId="0" borderId="5" xfId="0" applyNumberFormat="1" applyFont="1" applyBorder="1" applyAlignment="1">
      <alignment horizontal="center"/>
    </xf>
    <xf numFmtId="3" fontId="4" fillId="30" borderId="4" xfId="0" applyNumberFormat="1" applyFont="1" applyFill="1" applyBorder="1" applyAlignment="1">
      <alignment horizontal="center"/>
    </xf>
    <xf numFmtId="3" fontId="1" fillId="31" borderId="4" xfId="0" applyNumberFormat="1" applyFont="1" applyFill="1" applyBorder="1" applyAlignment="1">
      <alignment horizontal="center"/>
    </xf>
    <xf numFmtId="3" fontId="4" fillId="12" borderId="4" xfId="0" applyNumberFormat="1" applyFont="1" applyFill="1" applyBorder="1" applyAlignment="1">
      <alignment horizontal="center"/>
    </xf>
    <xf numFmtId="1" fontId="1" fillId="31" borderId="4" xfId="0" applyNumberFormat="1" applyFont="1" applyFill="1" applyBorder="1" applyAlignment="1">
      <alignment horizontal="center"/>
    </xf>
    <xf numFmtId="1" fontId="1" fillId="32" borderId="4" xfId="0" applyNumberFormat="1" applyFont="1" applyFill="1" applyBorder="1" applyAlignment="1">
      <alignment horizontal="center"/>
    </xf>
    <xf numFmtId="171" fontId="1" fillId="31" borderId="4" xfId="0" applyNumberFormat="1" applyFont="1" applyFill="1" applyBorder="1" applyAlignment="1">
      <alignment horizontal="center"/>
    </xf>
    <xf numFmtId="171" fontId="4" fillId="33" borderId="4" xfId="0" applyNumberFormat="1" applyFont="1" applyFill="1" applyBorder="1" applyAlignment="1">
      <alignment horizontal="center"/>
    </xf>
    <xf numFmtId="1" fontId="4" fillId="33" borderId="4" xfId="0" applyNumberFormat="1" applyFont="1" applyFill="1" applyBorder="1" applyAlignment="1">
      <alignment horizontal="center"/>
    </xf>
    <xf numFmtId="172" fontId="4" fillId="11" borderId="4" xfId="0" applyNumberFormat="1" applyFont="1" applyFill="1" applyBorder="1" applyAlignment="1">
      <alignment horizontal="center"/>
    </xf>
    <xf numFmtId="1" fontId="4" fillId="12" borderId="4" xfId="0" applyNumberFormat="1" applyFont="1" applyFill="1" applyBorder="1" applyAlignment="1">
      <alignment horizontal="center"/>
    </xf>
    <xf numFmtId="1" fontId="4" fillId="34" borderId="4" xfId="0" applyNumberFormat="1" applyFont="1" applyFill="1" applyBorder="1" applyAlignment="1">
      <alignment horizontal="center"/>
    </xf>
    <xf numFmtId="1" fontId="4" fillId="22" borderId="4" xfId="0" applyNumberFormat="1" applyFont="1" applyFill="1" applyBorder="1" applyAlignment="1">
      <alignment horizontal="center"/>
    </xf>
    <xf numFmtId="171" fontId="4" fillId="22" borderId="4" xfId="0" applyNumberFormat="1" applyFont="1" applyFill="1" applyBorder="1" applyAlignment="1">
      <alignment horizontal="center"/>
    </xf>
    <xf numFmtId="171" fontId="4" fillId="12" borderId="4" xfId="0" applyNumberFormat="1" applyFont="1" applyFill="1" applyBorder="1" applyAlignment="1">
      <alignment horizontal="center"/>
    </xf>
    <xf numFmtId="0" fontId="21" fillId="11" borderId="4" xfId="0" applyFont="1" applyFill="1" applyBorder="1" applyAlignment="1">
      <alignment horizontal="left"/>
    </xf>
    <xf numFmtId="173" fontId="2" fillId="11" borderId="4" xfId="0" applyNumberFormat="1" applyFont="1" applyFill="1" applyBorder="1" applyAlignment="1">
      <alignment horizontal="center"/>
    </xf>
    <xf numFmtId="173" fontId="22" fillId="11" borderId="4" xfId="0" applyNumberFormat="1" applyFont="1" applyFill="1" applyBorder="1" applyAlignment="1">
      <alignment horizontal="center"/>
    </xf>
    <xf numFmtId="172" fontId="2" fillId="11" borderId="4" xfId="0" applyNumberFormat="1" applyFont="1" applyFill="1" applyBorder="1" applyAlignment="1">
      <alignment horizontal="center"/>
    </xf>
    <xf numFmtId="1" fontId="22" fillId="11" borderId="4" xfId="0" applyNumberFormat="1" applyFont="1" applyFill="1" applyBorder="1" applyAlignment="1">
      <alignment horizontal="center"/>
    </xf>
    <xf numFmtId="1" fontId="23" fillId="11" borderId="4" xfId="0" applyNumberFormat="1" applyFont="1" applyFill="1" applyBorder="1" applyAlignment="1">
      <alignment horizontal="center"/>
    </xf>
    <xf numFmtId="1" fontId="9" fillId="11" borderId="4" xfId="0" applyNumberFormat="1" applyFont="1" applyFill="1" applyBorder="1" applyAlignment="1">
      <alignment horizontal="center"/>
    </xf>
    <xf numFmtId="171" fontId="2" fillId="11" borderId="4" xfId="0" applyNumberFormat="1" applyFont="1" applyFill="1" applyBorder="1" applyAlignment="1">
      <alignment horizontal="center"/>
    </xf>
    <xf numFmtId="171" fontId="2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/>
    </xf>
    <xf numFmtId="171" fontId="4" fillId="11" borderId="4" xfId="0" applyNumberFormat="1" applyFont="1" applyFill="1" applyBorder="1" applyAlignment="1">
      <alignment horizontal="center"/>
    </xf>
    <xf numFmtId="0" fontId="4" fillId="14" borderId="4" xfId="0" applyFont="1" applyFill="1" applyBorder="1" applyAlignment="1">
      <alignment horizontal="left"/>
    </xf>
    <xf numFmtId="171" fontId="2" fillId="14" borderId="4" xfId="0" applyNumberFormat="1" applyFont="1" applyFill="1" applyBorder="1" applyAlignment="1">
      <alignment horizontal="center"/>
    </xf>
    <xf numFmtId="171" fontId="2" fillId="14" borderId="4" xfId="0" applyNumberFormat="1" applyFont="1" applyFill="1" applyBorder="1" applyAlignment="1">
      <alignment horizontal="right"/>
    </xf>
    <xf numFmtId="171" fontId="4" fillId="11" borderId="4" xfId="0" applyNumberFormat="1" applyFont="1" applyFill="1" applyBorder="1" applyAlignment="1">
      <alignment horizontal="right"/>
    </xf>
    <xf numFmtId="173" fontId="4" fillId="0" borderId="5" xfId="0" applyNumberFormat="1" applyFont="1" applyBorder="1" applyAlignment="1">
      <alignment horizontal="center"/>
    </xf>
    <xf numFmtId="173" fontId="2" fillId="0" borderId="5" xfId="0" applyNumberFormat="1" applyFont="1" applyBorder="1" applyAlignment="1">
      <alignment horizontal="center"/>
    </xf>
    <xf numFmtId="171" fontId="2" fillId="0" borderId="5" xfId="0" applyNumberFormat="1" applyFont="1" applyBorder="1" applyAlignment="1">
      <alignment horizontal="right"/>
    </xf>
    <xf numFmtId="173" fontId="4" fillId="11" borderId="4" xfId="0" applyNumberFormat="1" applyFont="1" applyFill="1" applyBorder="1" applyAlignment="1">
      <alignment horizontal="center"/>
    </xf>
    <xf numFmtId="0" fontId="4" fillId="11" borderId="4" xfId="0" applyFont="1" applyFill="1" applyBorder="1" applyAlignment="1">
      <alignment horizontal="left"/>
    </xf>
    <xf numFmtId="173" fontId="2" fillId="14" borderId="4" xfId="0" applyNumberFormat="1" applyFont="1" applyFill="1" applyBorder="1" applyAlignment="1">
      <alignment horizontal="center"/>
    </xf>
    <xf numFmtId="169" fontId="2" fillId="0" borderId="5" xfId="0" applyNumberFormat="1" applyFont="1" applyBorder="1" applyAlignment="1">
      <alignment horizontal="center"/>
    </xf>
    <xf numFmtId="1" fontId="4" fillId="11" borderId="4" xfId="0" applyNumberFormat="1" applyFont="1" applyFill="1" applyBorder="1" applyAlignment="1">
      <alignment horizontal="center"/>
    </xf>
    <xf numFmtId="0" fontId="1" fillId="31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71" fontId="0" fillId="0" borderId="0" xfId="0" applyNumberFormat="1" applyAlignment="1"/>
    <xf numFmtId="172" fontId="4" fillId="33" borderId="4" xfId="0" applyNumberFormat="1" applyFont="1" applyFill="1" applyBorder="1" applyAlignment="1">
      <alignment horizontal="center"/>
    </xf>
    <xf numFmtId="173" fontId="9" fillId="11" borderId="4" xfId="0" applyNumberFormat="1" applyFont="1" applyFill="1" applyBorder="1" applyAlignment="1">
      <alignment horizontal="center"/>
    </xf>
    <xf numFmtId="171" fontId="4" fillId="14" borderId="4" xfId="0" applyNumberFormat="1" applyFont="1" applyFill="1" applyBorder="1" applyAlignment="1">
      <alignment horizontal="center"/>
    </xf>
    <xf numFmtId="171" fontId="4" fillId="0" borderId="5" xfId="0" applyNumberFormat="1" applyFont="1" applyBorder="1" applyAlignment="1">
      <alignment horizontal="center"/>
    </xf>
    <xf numFmtId="171" fontId="0" fillId="0" borderId="0" xfId="0" applyNumberFormat="1" applyAlignment="1"/>
    <xf numFmtId="0" fontId="4" fillId="11" borderId="8" xfId="0" applyFont="1" applyFill="1" applyBorder="1" applyAlignment="1">
      <alignment horizontal="center"/>
    </xf>
    <xf numFmtId="170" fontId="4" fillId="11" borderId="8" xfId="0" applyNumberFormat="1" applyFont="1" applyFill="1" applyBorder="1" applyAlignment="1">
      <alignment horizontal="center"/>
    </xf>
    <xf numFmtId="3" fontId="4" fillId="11" borderId="8" xfId="0" applyNumberFormat="1" applyFont="1" applyFill="1" applyBorder="1" applyAlignment="1">
      <alignment horizontal="center"/>
    </xf>
    <xf numFmtId="3" fontId="14" fillId="11" borderId="8" xfId="0" applyNumberFormat="1" applyFont="1" applyFill="1" applyBorder="1" applyAlignment="1">
      <alignment horizontal="center"/>
    </xf>
    <xf numFmtId="170" fontId="14" fillId="35" borderId="8" xfId="0" applyNumberFormat="1" applyFont="1" applyFill="1" applyBorder="1" applyAlignment="1">
      <alignment horizontal="center"/>
    </xf>
    <xf numFmtId="3" fontId="4" fillId="35" borderId="8" xfId="0" applyNumberFormat="1" applyFont="1" applyFill="1" applyBorder="1" applyAlignment="1">
      <alignment horizontal="center"/>
    </xf>
    <xf numFmtId="3" fontId="14" fillId="35" borderId="8" xfId="0" applyNumberFormat="1" applyFont="1" applyFill="1" applyBorder="1" applyAlignment="1">
      <alignment horizontal="center"/>
    </xf>
    <xf numFmtId="170" fontId="14" fillId="11" borderId="8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166" fontId="4" fillId="36" borderId="4" xfId="0" applyNumberFormat="1" applyFont="1" applyFill="1" applyBorder="1" applyAlignment="1">
      <alignment horizontal="right"/>
    </xf>
    <xf numFmtId="0" fontId="4" fillId="36" borderId="4" xfId="0" applyFont="1" applyFill="1" applyBorder="1" applyAlignment="1">
      <alignment horizontal="right"/>
    </xf>
    <xf numFmtId="0" fontId="4" fillId="36" borderId="4" xfId="0" applyFont="1" applyFill="1" applyBorder="1" applyAlignment="1">
      <alignment horizontal="left"/>
    </xf>
    <xf numFmtId="0" fontId="4" fillId="36" borderId="8" xfId="0" applyFont="1" applyFill="1" applyBorder="1" applyAlignment="1">
      <alignment horizontal="left"/>
    </xf>
    <xf numFmtId="0" fontId="4" fillId="36" borderId="8" xfId="0" applyFont="1" applyFill="1" applyBorder="1" applyAlignment="1">
      <alignment horizontal="right"/>
    </xf>
    <xf numFmtId="166" fontId="4" fillId="0" borderId="9" xfId="0" applyNumberFormat="1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166" fontId="14" fillId="0" borderId="5" xfId="0" applyNumberFormat="1" applyFont="1" applyBorder="1" applyAlignment="1">
      <alignment horizontal="right"/>
    </xf>
    <xf numFmtId="3" fontId="2" fillId="6" borderId="4" xfId="0" applyNumberFormat="1" applyFont="1" applyFill="1" applyBorder="1" applyAlignment="1">
      <alignment horizontal="center"/>
    </xf>
    <xf numFmtId="3" fontId="2" fillId="7" borderId="4" xfId="0" applyNumberFormat="1" applyFont="1" applyFill="1" applyBorder="1" applyAlignment="1">
      <alignment horizontal="center"/>
    </xf>
    <xf numFmtId="3" fontId="2" fillId="25" borderId="4" xfId="0" applyNumberFormat="1" applyFont="1" applyFill="1" applyBorder="1" applyAlignment="1">
      <alignment horizontal="center"/>
    </xf>
    <xf numFmtId="170" fontId="2" fillId="0" borderId="5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2" fillId="0" borderId="53" xfId="0" applyFont="1" applyBorder="1" applyAlignment="1">
      <alignment horizontal="left"/>
    </xf>
    <xf numFmtId="170" fontId="2" fillId="0" borderId="52" xfId="0" applyNumberFormat="1" applyFont="1" applyBorder="1" applyAlignment="1">
      <alignment horizontal="left"/>
    </xf>
    <xf numFmtId="170" fontId="2" fillId="0" borderId="56" xfId="0" applyNumberFormat="1" applyFont="1" applyBorder="1" applyAlignment="1">
      <alignment horizontal="left"/>
    </xf>
    <xf numFmtId="3" fontId="2" fillId="0" borderId="57" xfId="0" applyNumberFormat="1" applyFont="1" applyBorder="1" applyAlignment="1">
      <alignment horizontal="right"/>
    </xf>
    <xf numFmtId="170" fontId="14" fillId="0" borderId="5" xfId="0" applyNumberFormat="1" applyFont="1" applyBorder="1" applyAlignment="1">
      <alignment horizontal="right"/>
    </xf>
    <xf numFmtId="170" fontId="14" fillId="0" borderId="5" xfId="0" applyNumberFormat="1" applyFont="1" applyBorder="1" applyAlignment="1">
      <alignment horizontal="left"/>
    </xf>
    <xf numFmtId="170" fontId="4" fillId="6" borderId="4" xfId="0" applyNumberFormat="1" applyFont="1" applyFill="1" applyBorder="1" applyAlignment="1">
      <alignment horizontal="right"/>
    </xf>
    <xf numFmtId="170" fontId="4" fillId="7" borderId="4" xfId="0" applyNumberFormat="1" applyFont="1" applyFill="1" applyBorder="1" applyAlignment="1">
      <alignment horizontal="right"/>
    </xf>
    <xf numFmtId="170" fontId="4" fillId="25" borderId="4" xfId="0" applyNumberFormat="1" applyFont="1" applyFill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5" fontId="4" fillId="13" borderId="4" xfId="0" applyNumberFormat="1" applyFont="1" applyFill="1" applyBorder="1" applyAlignment="1">
      <alignment horizontal="center" wrapText="1"/>
    </xf>
    <xf numFmtId="0" fontId="4" fillId="33" borderId="4" xfId="0" applyFont="1" applyFill="1" applyBorder="1" applyAlignment="1">
      <alignment horizontal="left"/>
    </xf>
    <xf numFmtId="3" fontId="4" fillId="6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" fillId="37" borderId="4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38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4" fontId="4" fillId="20" borderId="4" xfId="0" applyNumberFormat="1" applyFont="1" applyFill="1" applyBorder="1" applyAlignment="1">
      <alignment horizontal="center"/>
    </xf>
    <xf numFmtId="1" fontId="1" fillId="14" borderId="6" xfId="0" applyNumberFormat="1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1" fontId="1" fillId="6" borderId="6" xfId="0" applyNumberFormat="1" applyFont="1" applyFill="1" applyBorder="1" applyAlignment="1">
      <alignment horizontal="center"/>
    </xf>
    <xf numFmtId="3" fontId="24" fillId="6" borderId="6" xfId="0" applyNumberFormat="1" applyFont="1" applyFill="1" applyBorder="1" applyAlignment="1">
      <alignment horizontal="center"/>
    </xf>
    <xf numFmtId="0" fontId="24" fillId="6" borderId="6" xfId="0" applyFont="1" applyFill="1" applyBorder="1" applyAlignment="1">
      <alignment horizontal="center"/>
    </xf>
    <xf numFmtId="0" fontId="24" fillId="6" borderId="6" xfId="0" applyFont="1" applyFill="1" applyBorder="1" applyAlignment="1">
      <alignment horizontal="center" wrapText="1"/>
    </xf>
    <xf numFmtId="3" fontId="24" fillId="6" borderId="6" xfId="0" applyNumberFormat="1" applyFont="1" applyFill="1" applyBorder="1" applyAlignment="1">
      <alignment horizontal="center" wrapText="1"/>
    </xf>
    <xf numFmtId="0" fontId="24" fillId="12" borderId="6" xfId="0" applyFont="1" applyFill="1" applyBorder="1" applyAlignment="1">
      <alignment horizontal="center"/>
    </xf>
    <xf numFmtId="0" fontId="24" fillId="7" borderId="6" xfId="0" applyFont="1" applyFill="1" applyBorder="1" applyAlignment="1">
      <alignment horizontal="center" wrapText="1"/>
    </xf>
    <xf numFmtId="14" fontId="24" fillId="7" borderId="6" xfId="0" applyNumberFormat="1" applyFont="1" applyFill="1" applyBorder="1" applyAlignment="1">
      <alignment horizontal="center" wrapText="1"/>
    </xf>
    <xf numFmtId="3" fontId="24" fillId="7" borderId="6" xfId="0" applyNumberFormat="1" applyFont="1" applyFill="1" applyBorder="1" applyAlignment="1">
      <alignment horizontal="center" wrapText="1"/>
    </xf>
    <xf numFmtId="14" fontId="1" fillId="13" borderId="6" xfId="0" applyNumberFormat="1" applyFont="1" applyFill="1" applyBorder="1" applyAlignment="1">
      <alignment horizontal="center" wrapText="1"/>
    </xf>
    <xf numFmtId="0" fontId="1" fillId="13" borderId="6" xfId="0" applyFont="1" applyFill="1" applyBorder="1" applyAlignment="1">
      <alignment horizontal="center"/>
    </xf>
    <xf numFmtId="3" fontId="1" fillId="13" borderId="6" xfId="0" applyNumberFormat="1" applyFont="1" applyFill="1" applyBorder="1" applyAlignment="1">
      <alignment horizontal="center"/>
    </xf>
    <xf numFmtId="14" fontId="1" fillId="13" borderId="6" xfId="0" applyNumberFormat="1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 wrapText="1"/>
    </xf>
    <xf numFmtId="0" fontId="1" fillId="33" borderId="6" xfId="0" applyFont="1" applyFill="1" applyBorder="1" applyAlignment="1">
      <alignment horizontal="center"/>
    </xf>
    <xf numFmtId="3" fontId="1" fillId="6" borderId="6" xfId="0" applyNumberFormat="1" applyFont="1" applyFill="1" applyBorder="1" applyAlignment="1">
      <alignment horizontal="center"/>
    </xf>
    <xf numFmtId="0" fontId="1" fillId="37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8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" fontId="1" fillId="20" borderId="6" xfId="0" applyNumberFormat="1" applyFont="1" applyFill="1" applyBorder="1" applyAlignment="1">
      <alignment horizontal="center" wrapText="1"/>
    </xf>
    <xf numFmtId="4" fontId="1" fillId="20" borderId="7" xfId="0" applyNumberFormat="1" applyFont="1" applyFill="1" applyBorder="1" applyAlignment="1">
      <alignment horizontal="center" wrapText="1"/>
    </xf>
    <xf numFmtId="165" fontId="2" fillId="14" borderId="6" xfId="0" applyNumberFormat="1" applyFont="1" applyFill="1" applyBorder="1" applyAlignment="1">
      <alignment horizontal="left"/>
    </xf>
    <xf numFmtId="0" fontId="2" fillId="12" borderId="6" xfId="0" applyFont="1" applyFill="1" applyBorder="1" applyAlignment="1">
      <alignment horizontal="left"/>
    </xf>
    <xf numFmtId="0" fontId="2" fillId="14" borderId="6" xfId="0" applyFont="1" applyFill="1" applyBorder="1" applyAlignment="1">
      <alignment horizontal="left"/>
    </xf>
    <xf numFmtId="165" fontId="2" fillId="14" borderId="6" xfId="0" applyNumberFormat="1" applyFont="1" applyFill="1" applyBorder="1" applyAlignment="1">
      <alignment horizontal="right"/>
    </xf>
    <xf numFmtId="3" fontId="2" fillId="14" borderId="6" xfId="0" applyNumberFormat="1" applyFont="1" applyFill="1" applyBorder="1" applyAlignment="1">
      <alignment horizontal="right"/>
    </xf>
    <xf numFmtId="0" fontId="2" fillId="12" borderId="17" xfId="0" applyFont="1" applyFill="1" applyBorder="1" applyAlignment="1">
      <alignment horizontal="left"/>
    </xf>
    <xf numFmtId="0" fontId="2" fillId="11" borderId="17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14" fontId="2" fillId="11" borderId="17" xfId="0" applyNumberFormat="1" applyFont="1" applyFill="1" applyBorder="1" applyAlignment="1">
      <alignment horizontal="left"/>
    </xf>
    <xf numFmtId="0" fontId="2" fillId="11" borderId="17" xfId="0" applyFont="1" applyFill="1" applyBorder="1" applyAlignment="1">
      <alignment horizontal="right"/>
    </xf>
    <xf numFmtId="3" fontId="2" fillId="11" borderId="17" xfId="0" applyNumberFormat="1" applyFont="1" applyFill="1" applyBorder="1" applyAlignment="1">
      <alignment horizontal="right"/>
    </xf>
    <xf numFmtId="4" fontId="2" fillId="11" borderId="17" xfId="0" applyNumberFormat="1" applyFont="1" applyFill="1" applyBorder="1" applyAlignment="1">
      <alignment horizontal="right"/>
    </xf>
    <xf numFmtId="165" fontId="2" fillId="11" borderId="17" xfId="0" applyNumberFormat="1" applyFont="1" applyFill="1" applyBorder="1" applyAlignment="1">
      <alignment horizontal="center"/>
    </xf>
    <xf numFmtId="14" fontId="2" fillId="0" borderId="33" xfId="0" applyNumberFormat="1" applyFont="1" applyBorder="1" applyAlignment="1">
      <alignment horizontal="left"/>
    </xf>
    <xf numFmtId="1" fontId="2" fillId="0" borderId="33" xfId="0" applyNumberFormat="1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11" borderId="17" xfId="0" applyFont="1" applyFill="1" applyBorder="1" applyAlignment="1">
      <alignment horizontal="left"/>
    </xf>
    <xf numFmtId="0" fontId="2" fillId="0" borderId="33" xfId="0" applyFont="1" applyBorder="1" applyAlignment="1">
      <alignment horizontal="center"/>
    </xf>
    <xf numFmtId="4" fontId="2" fillId="0" borderId="33" xfId="0" applyNumberFormat="1" applyFont="1" applyBorder="1" applyAlignment="1">
      <alignment horizontal="center"/>
    </xf>
    <xf numFmtId="4" fontId="2" fillId="0" borderId="59" xfId="0" applyNumberFormat="1" applyFont="1" applyBorder="1" applyAlignment="1">
      <alignment horizontal="center"/>
    </xf>
    <xf numFmtId="168" fontId="2" fillId="0" borderId="59" xfId="0" applyNumberFormat="1" applyFont="1" applyBorder="1" applyAlignment="1">
      <alignment horizontal="center"/>
    </xf>
    <xf numFmtId="1" fontId="2" fillId="14" borderId="6" xfId="0" applyNumberFormat="1" applyFont="1" applyFill="1" applyBorder="1" applyAlignment="1">
      <alignment horizontal="right"/>
    </xf>
    <xf numFmtId="0" fontId="2" fillId="12" borderId="6" xfId="0" applyFont="1" applyFill="1" applyBorder="1" applyAlignment="1">
      <alignment horizontal="left"/>
    </xf>
    <xf numFmtId="0" fontId="2" fillId="14" borderId="6" xfId="0" applyFont="1" applyFill="1" applyBorder="1" applyAlignment="1">
      <alignment horizontal="left"/>
    </xf>
    <xf numFmtId="14" fontId="2" fillId="14" borderId="6" xfId="0" applyNumberFormat="1" applyFont="1" applyFill="1" applyBorder="1" applyAlignment="1">
      <alignment horizontal="right"/>
    </xf>
    <xf numFmtId="0" fontId="2" fillId="14" borderId="6" xfId="0" applyFont="1" applyFill="1" applyBorder="1" applyAlignment="1">
      <alignment horizontal="right"/>
    </xf>
    <xf numFmtId="4" fontId="2" fillId="14" borderId="6" xfId="0" applyNumberFormat="1" applyFont="1" applyFill="1" applyBorder="1" applyAlignment="1">
      <alignment horizontal="right"/>
    </xf>
    <xf numFmtId="165" fontId="2" fillId="14" borderId="6" xfId="0" applyNumberFormat="1" applyFont="1" applyFill="1" applyBorder="1" applyAlignment="1">
      <alignment horizontal="center"/>
    </xf>
    <xf numFmtId="14" fontId="2" fillId="11" borderId="6" xfId="0" applyNumberFormat="1" applyFont="1" applyFill="1" applyBorder="1" applyAlignment="1">
      <alignment horizontal="left"/>
    </xf>
    <xf numFmtId="14" fontId="2" fillId="11" borderId="6" xfId="0" applyNumberFormat="1" applyFont="1" applyFill="1" applyBorder="1" applyAlignment="1">
      <alignment horizontal="right"/>
    </xf>
    <xf numFmtId="1" fontId="2" fillId="11" borderId="6" xfId="0" applyNumberFormat="1" applyFont="1" applyFill="1" applyBorder="1" applyAlignment="1">
      <alignment horizontal="right"/>
    </xf>
    <xf numFmtId="3" fontId="2" fillId="11" borderId="6" xfId="0" applyNumberFormat="1" applyFont="1" applyFill="1" applyBorder="1" applyAlignment="1">
      <alignment horizontal="right"/>
    </xf>
    <xf numFmtId="3" fontId="2" fillId="9" borderId="6" xfId="0" applyNumberFormat="1" applyFont="1" applyFill="1" applyBorder="1" applyAlignment="1">
      <alignment horizontal="right"/>
    </xf>
    <xf numFmtId="0" fontId="2" fillId="9" borderId="6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2" fillId="9" borderId="6" xfId="0" applyFont="1" applyFill="1" applyBorder="1" applyAlignment="1">
      <alignment horizontal="center"/>
    </xf>
    <xf numFmtId="4" fontId="2" fillId="9" borderId="6" xfId="0" applyNumberFormat="1" applyFont="1" applyFill="1" applyBorder="1" applyAlignment="1">
      <alignment horizontal="center"/>
    </xf>
    <xf numFmtId="0" fontId="2" fillId="11" borderId="6" xfId="0" applyFont="1" applyFill="1" applyBorder="1" applyAlignment="1">
      <alignment horizontal="right"/>
    </xf>
    <xf numFmtId="4" fontId="2" fillId="11" borderId="6" xfId="0" applyNumberFormat="1" applyFont="1" applyFill="1" applyBorder="1" applyAlignment="1">
      <alignment horizontal="right"/>
    </xf>
    <xf numFmtId="165" fontId="2" fillId="11" borderId="6" xfId="0" applyNumberFormat="1" applyFont="1" applyFill="1" applyBorder="1" applyAlignment="1">
      <alignment horizontal="center"/>
    </xf>
    <xf numFmtId="1" fontId="2" fillId="11" borderId="6" xfId="0" applyNumberFormat="1" applyFont="1" applyFill="1" applyBorder="1" applyAlignment="1">
      <alignment horizontal="left"/>
    </xf>
    <xf numFmtId="3" fontId="2" fillId="0" borderId="60" xfId="0" applyNumberFormat="1" applyFont="1" applyBorder="1" applyAlignment="1">
      <alignment horizontal="right"/>
    </xf>
    <xf numFmtId="0" fontId="2" fillId="0" borderId="60" xfId="0" applyFont="1" applyBorder="1" applyAlignment="1">
      <alignment horizontal="left"/>
    </xf>
    <xf numFmtId="0" fontId="2" fillId="0" borderId="60" xfId="0" applyFont="1" applyBorder="1" applyAlignment="1">
      <alignment horizontal="center"/>
    </xf>
    <xf numFmtId="4" fontId="2" fillId="0" borderId="60" xfId="0" applyNumberFormat="1" applyFont="1" applyBorder="1" applyAlignment="1">
      <alignment horizontal="center"/>
    </xf>
    <xf numFmtId="0" fontId="14" fillId="9" borderId="6" xfId="0" applyFont="1" applyFill="1" applyBorder="1" applyAlignment="1">
      <alignment horizontal="left"/>
    </xf>
    <xf numFmtId="165" fontId="2" fillId="11" borderId="6" xfId="0" applyNumberFormat="1" applyFont="1" applyFill="1" applyBorder="1" applyAlignment="1">
      <alignment horizontal="right"/>
    </xf>
    <xf numFmtId="0" fontId="2" fillId="9" borderId="6" xfId="0" applyFont="1" applyFill="1" applyBorder="1" applyAlignment="1">
      <alignment horizontal="left"/>
    </xf>
    <xf numFmtId="0" fontId="14" fillId="11" borderId="6" xfId="0" applyFont="1" applyFill="1" applyBorder="1" applyAlignment="1">
      <alignment horizontal="left"/>
    </xf>
    <xf numFmtId="0" fontId="2" fillId="0" borderId="60" xfId="0" applyFont="1" applyBorder="1" applyAlignment="1">
      <alignment horizontal="left"/>
    </xf>
    <xf numFmtId="14" fontId="2" fillId="0" borderId="60" xfId="0" applyNumberFormat="1" applyFont="1" applyBorder="1" applyAlignment="1">
      <alignment horizontal="left"/>
    </xf>
    <xf numFmtId="3" fontId="2" fillId="0" borderId="60" xfId="0" applyNumberFormat="1" applyFont="1" applyBorder="1" applyAlignment="1">
      <alignment horizontal="left"/>
    </xf>
    <xf numFmtId="14" fontId="2" fillId="0" borderId="60" xfId="0" applyNumberFormat="1" applyFont="1" applyBorder="1" applyAlignment="1">
      <alignment horizontal="right"/>
    </xf>
    <xf numFmtId="3" fontId="2" fillId="9" borderId="6" xfId="0" applyNumberFormat="1" applyFont="1" applyFill="1" applyBorder="1" applyAlignment="1">
      <alignment horizontal="left"/>
    </xf>
    <xf numFmtId="165" fontId="2" fillId="14" borderId="17" xfId="0" applyNumberFormat="1" applyFont="1" applyFill="1" applyBorder="1" applyAlignment="1">
      <alignment horizontal="left"/>
    </xf>
    <xf numFmtId="0" fontId="2" fillId="14" borderId="17" xfId="0" applyFont="1" applyFill="1" applyBorder="1" applyAlignment="1">
      <alignment horizontal="left"/>
    </xf>
    <xf numFmtId="3" fontId="2" fillId="14" borderId="17" xfId="0" applyNumberFormat="1" applyFont="1" applyFill="1" applyBorder="1" applyAlignment="1">
      <alignment horizontal="right"/>
    </xf>
    <xf numFmtId="0" fontId="2" fillId="14" borderId="17" xfId="0" applyFont="1" applyFill="1" applyBorder="1" applyAlignment="1">
      <alignment horizontal="left"/>
    </xf>
    <xf numFmtId="0" fontId="14" fillId="14" borderId="17" xfId="0" applyFont="1" applyFill="1" applyBorder="1" applyAlignment="1">
      <alignment horizontal="left"/>
    </xf>
    <xf numFmtId="0" fontId="2" fillId="0" borderId="60" xfId="0" applyFont="1" applyBorder="1" applyAlignment="1">
      <alignment horizontal="right"/>
    </xf>
    <xf numFmtId="0" fontId="21" fillId="0" borderId="60" xfId="0" applyFont="1" applyBorder="1" applyAlignment="1">
      <alignment horizontal="left"/>
    </xf>
    <xf numFmtId="0" fontId="2" fillId="11" borderId="4" xfId="0" applyFont="1" applyFill="1" applyBorder="1" applyAlignment="1">
      <alignment horizontal="right"/>
    </xf>
    <xf numFmtId="165" fontId="2" fillId="11" borderId="4" xfId="0" applyNumberFormat="1" applyFont="1" applyFill="1" applyBorder="1" applyAlignment="1">
      <alignment horizontal="center"/>
    </xf>
    <xf numFmtId="1" fontId="2" fillId="11" borderId="4" xfId="0" applyNumberFormat="1" applyFont="1" applyFill="1" applyBorder="1" applyAlignment="1">
      <alignment horizontal="left"/>
    </xf>
    <xf numFmtId="0" fontId="2" fillId="14" borderId="4" xfId="0" applyFont="1" applyFill="1" applyBorder="1" applyAlignment="1">
      <alignment horizontal="right"/>
    </xf>
    <xf numFmtId="4" fontId="2" fillId="14" borderId="4" xfId="0" applyNumberFormat="1" applyFont="1" applyFill="1" applyBorder="1" applyAlignment="1">
      <alignment horizontal="right"/>
    </xf>
    <xf numFmtId="165" fontId="2" fillId="14" borderId="4" xfId="0" applyNumberFormat="1" applyFont="1" applyFill="1" applyBorder="1" applyAlignment="1">
      <alignment horizontal="center"/>
    </xf>
    <xf numFmtId="14" fontId="2" fillId="11" borderId="4" xfId="0" applyNumberFormat="1" applyFont="1" applyFill="1" applyBorder="1" applyAlignment="1">
      <alignment horizontal="right"/>
    </xf>
    <xf numFmtId="1" fontId="2" fillId="11" borderId="4" xfId="0" applyNumberFormat="1" applyFont="1" applyFill="1" applyBorder="1" applyAlignment="1">
      <alignment horizontal="right"/>
    </xf>
    <xf numFmtId="14" fontId="0" fillId="0" borderId="0" xfId="0" applyNumberFormat="1" applyAlignment="1"/>
    <xf numFmtId="165" fontId="2" fillId="14" borderId="4" xfId="0" applyNumberFormat="1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165" fontId="2" fillId="14" borderId="4" xfId="0" applyNumberFormat="1" applyFont="1" applyFill="1" applyBorder="1" applyAlignment="1">
      <alignment horizontal="right"/>
    </xf>
    <xf numFmtId="0" fontId="14" fillId="14" borderId="4" xfId="0" applyFont="1" applyFill="1" applyBorder="1" applyAlignment="1">
      <alignment horizontal="left"/>
    </xf>
    <xf numFmtId="14" fontId="2" fillId="14" borderId="4" xfId="0" applyNumberFormat="1" applyFont="1" applyFill="1" applyBorder="1" applyAlignment="1">
      <alignment horizontal="right"/>
    </xf>
    <xf numFmtId="3" fontId="2" fillId="9" borderId="4" xfId="0" applyNumberFormat="1" applyFont="1" applyFill="1" applyBorder="1" applyAlignment="1">
      <alignment horizontal="right"/>
    </xf>
    <xf numFmtId="0" fontId="2" fillId="9" borderId="4" xfId="0" applyFont="1" applyFill="1" applyBorder="1" applyAlignment="1">
      <alignment horizontal="center"/>
    </xf>
    <xf numFmtId="4" fontId="2" fillId="9" borderId="4" xfId="0" applyNumberFormat="1" applyFont="1" applyFill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165" fontId="2" fillId="11" borderId="4" xfId="0" applyNumberFormat="1" applyFont="1" applyFill="1" applyBorder="1" applyAlignment="1">
      <alignment horizontal="right"/>
    </xf>
    <xf numFmtId="0" fontId="2" fillId="9" borderId="4" xfId="0" applyFont="1" applyFill="1" applyBorder="1" applyAlignment="1">
      <alignment horizontal="left"/>
    </xf>
    <xf numFmtId="3" fontId="2" fillId="11" borderId="4" xfId="0" applyNumberFormat="1" applyFont="1" applyFill="1" applyBorder="1" applyAlignment="1">
      <alignment horizontal="left"/>
    </xf>
    <xf numFmtId="0" fontId="14" fillId="11" borderId="4" xfId="0" applyFont="1" applyFill="1" applyBorder="1" applyAlignment="1">
      <alignment horizontal="left"/>
    </xf>
    <xf numFmtId="3" fontId="2" fillId="11" borderId="6" xfId="0" applyNumberFormat="1" applyFont="1" applyFill="1" applyBorder="1" applyAlignment="1">
      <alignment horizontal="left"/>
    </xf>
    <xf numFmtId="168" fontId="2" fillId="12" borderId="7" xfId="0" applyNumberFormat="1" applyFont="1" applyFill="1" applyBorder="1" applyAlignment="1">
      <alignment horizontal="center"/>
    </xf>
    <xf numFmtId="14" fontId="0" fillId="0" borderId="0" xfId="0" applyNumberFormat="1" applyAlignment="1"/>
    <xf numFmtId="0" fontId="2" fillId="31" borderId="4" xfId="0" applyFont="1" applyFill="1" applyBorder="1" applyAlignment="1">
      <alignment horizontal="left"/>
    </xf>
    <xf numFmtId="3" fontId="4" fillId="39" borderId="4" xfId="0" applyNumberFormat="1" applyFont="1" applyFill="1" applyBorder="1" applyAlignment="1">
      <alignment horizontal="left"/>
    </xf>
    <xf numFmtId="0" fontId="2" fillId="19" borderId="4" xfId="0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3" fontId="2" fillId="6" borderId="4" xfId="0" applyNumberFormat="1" applyFont="1" applyFill="1" applyBorder="1" applyAlignment="1">
      <alignment horizontal="left"/>
    </xf>
    <xf numFmtId="3" fontId="2" fillId="4" borderId="4" xfId="0" applyNumberFormat="1" applyFont="1" applyFill="1" applyBorder="1" applyAlignment="1">
      <alignment horizontal="left"/>
    </xf>
    <xf numFmtId="3" fontId="2" fillId="40" borderId="4" xfId="0" applyNumberFormat="1" applyFont="1" applyFill="1" applyBorder="1" applyAlignment="1">
      <alignment horizontal="left"/>
    </xf>
    <xf numFmtId="3" fontId="2" fillId="41" borderId="4" xfId="0" applyNumberFormat="1" applyFont="1" applyFill="1" applyBorder="1" applyAlignment="1">
      <alignment horizontal="left"/>
    </xf>
    <xf numFmtId="3" fontId="2" fillId="7" borderId="4" xfId="0" applyNumberFormat="1" applyFont="1" applyFill="1" applyBorder="1" applyAlignment="1">
      <alignment horizontal="left"/>
    </xf>
    <xf numFmtId="3" fontId="2" fillId="20" borderId="4" xfId="0" applyNumberFormat="1" applyFont="1" applyFill="1" applyBorder="1" applyAlignment="1">
      <alignment horizontal="left"/>
    </xf>
    <xf numFmtId="3" fontId="2" fillId="42" borderId="4" xfId="0" applyNumberFormat="1" applyFont="1" applyFill="1" applyBorder="1" applyAlignment="1">
      <alignment horizontal="left"/>
    </xf>
    <xf numFmtId="3" fontId="2" fillId="43" borderId="4" xfId="0" applyNumberFormat="1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3" fontId="2" fillId="25" borderId="4" xfId="0" applyNumberFormat="1" applyFont="1" applyFill="1" applyBorder="1" applyAlignment="1">
      <alignment horizontal="left"/>
    </xf>
    <xf numFmtId="3" fontId="2" fillId="44" borderId="4" xfId="0" applyNumberFormat="1" applyFont="1" applyFill="1" applyBorder="1" applyAlignment="1">
      <alignment horizontal="left"/>
    </xf>
    <xf numFmtId="3" fontId="2" fillId="23" borderId="4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1" fontId="2" fillId="0" borderId="58" xfId="0" applyNumberFormat="1" applyFont="1" applyBorder="1" applyAlignment="1">
      <alignment horizontal="left"/>
    </xf>
    <xf numFmtId="3" fontId="2" fillId="0" borderId="58" xfId="0" applyNumberFormat="1" applyFont="1" applyBorder="1" applyAlignment="1">
      <alignment horizontal="left"/>
    </xf>
    <xf numFmtId="0" fontId="2" fillId="0" borderId="58" xfId="0" applyFont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14" fontId="2" fillId="0" borderId="58" xfId="0" applyNumberFormat="1" applyFont="1" applyBorder="1" applyAlignment="1">
      <alignment horizontal="left"/>
    </xf>
    <xf numFmtId="0" fontId="4" fillId="13" borderId="1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top" wrapText="1"/>
    </xf>
    <xf numFmtId="0" fontId="0" fillId="0" borderId="0" xfId="0" applyAlignment="1"/>
    <xf numFmtId="0" fontId="2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3" fontId="0" fillId="0" borderId="0" xfId="0" applyNumberFormat="1" applyAlignment="1"/>
    <xf numFmtId="3" fontId="0" fillId="0" borderId="0" xfId="0" applyNumberFormat="1" applyAlignment="1">
      <alignment horizontal="left"/>
    </xf>
    <xf numFmtId="166" fontId="0" fillId="0" borderId="0" xfId="0" applyNumberFormat="1" applyAlignment="1"/>
    <xf numFmtId="0" fontId="4" fillId="7" borderId="4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4" fillId="1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2" displayName="Tabelle2" ref="A1:F14" totalsRowShown="0">
  <autoFilter ref="A1:F14" xr:uid="{00000000-0009-0000-0100-000003000000}"/>
  <tableColumns count="6">
    <tableColumn id="1" xr3:uid="{00000000-0010-0000-0000-000001000000}" name="BU"/>
    <tableColumn id="2" xr3:uid="{00000000-0010-0000-0000-000002000000}" name="Spalte1"/>
    <tableColumn id="3" xr3:uid="{00000000-0010-0000-0000-000003000000}" name="Categorie"/>
    <tableColumn id="4" xr3:uid="{00000000-0010-0000-0000-000004000000}" name="D-Status"/>
    <tableColumn id="5" xr3:uid="{00000000-0010-0000-0000-000005000000}" name="Refuse Raison"/>
    <tableColumn id="6" xr3:uid="{00000000-0010-0000-0000-000006000000}" name="externalisa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DCFC" displayName="tbl_DCFC" ref="A2:AW149" totalsRowShown="0">
  <autoFilter ref="A2:AW149" xr:uid="{00000000-0009-0000-0100-000002000000}"/>
  <tableColumns count="49">
    <tableColumn id="1" xr3:uid="{00000000-0010-0000-0100-000001000000}" name="Date"/>
    <tableColumn id="2" xr3:uid="{00000000-0010-0000-0100-000002000000}" name="BU_Key"/>
    <tableColumn id="3" xr3:uid="{00000000-0010-0000-0100-000003000000}" name="CW"/>
    <tableColumn id="4" xr3:uid="{00000000-0010-0000-0100-000004000000}" name="Date Devis"/>
    <tableColumn id="5" xr3:uid="{00000000-0010-0000-0100-000005000000}" name="Devis N°"/>
    <tableColumn id="6" xr3:uid="{00000000-0010-0000-0100-000006000000}" name="Index"/>
    <tableColumn id="7" xr3:uid="{00000000-0010-0000-0100-000007000000}" name="Client"/>
    <tableColumn id="8" xr3:uid="{00000000-0010-0000-0100-000008000000}" name="End Client"/>
    <tableColumn id="9" xr3:uid="{00000000-0010-0000-0100-000009000000}" name="D Montant € HT"/>
    <tableColumn id="10" xr3:uid="{00000000-0010-0000-0100-00000A000000}" name="ASM"/>
    <tableColumn id="11" xr3:uid="{00000000-0010-0000-0100-00000B000000}" name="Categorie"/>
    <tableColumn id="12" xr3:uid="{00000000-0010-0000-0100-00000C000000}" name="Status"/>
    <tableColumn id="13" xr3:uid="{00000000-0010-0000-0100-00000D000000}" name="Spalte2"/>
    <tableColumn id="14" xr3:uid="{00000000-0010-0000-0100-00000E000000}" name="CW ORDER"/>
    <tableColumn id="15" xr3:uid="{00000000-0010-0000-0100-00000F000000}" name="OI_Year"/>
    <tableColumn id="16" xr3:uid="{00000000-0010-0000-0100-000010000000}" name="OI_Month"/>
    <tableColumn id="17" xr3:uid="{00000000-0010-0000-0100-000011000000}" name="Date Cmde"/>
    <tableColumn id="18" xr3:uid="{00000000-0010-0000-0100-000012000000}" name="Cmde N°"/>
    <tableColumn id="19" xr3:uid="{00000000-0010-0000-0100-000013000000}" name="C Montant € HT"/>
    <tableColumn id="20" xr3:uid="{00000000-0010-0000-0100-000014000000}" name="Montant Restant €"/>
    <tableColumn id="21" xr3:uid="{00000000-0010-0000-0100-000015000000}" name="Délai (semaine)"/>
    <tableColumn id="22" xr3:uid="{00000000-0010-0000-0100-000016000000}" name="Spalte4"/>
    <tableColumn id="23" xr3:uid="{00000000-0010-0000-0100-000017000000}" name="Date réelle réception matériel"/>
    <tableColumn id="24" xr3:uid="{00000000-0010-0000-0100-000018000000}" name="CW REV"/>
    <tableColumn id="25" xr3:uid="{00000000-0010-0000-0100-000019000000}" name="Revenue_Year"/>
    <tableColumn id="26" xr3:uid="{00000000-0010-0000-0100-00001A000000}" name="Revenue_Month"/>
    <tableColumn id="27" xr3:uid="{00000000-0010-0000-0100-00001B000000}" name="Date Liv. Réelle"/>
    <tableColumn id="28" xr3:uid="{00000000-0010-0000-0100-00001C000000}" name="Facture N°"/>
    <tableColumn id="29" xr3:uid="{00000000-0010-0000-0100-00001D000000}" name="Date Facture"/>
    <tableColumn id="30" xr3:uid="{00000000-0010-0000-0100-00001E000000}" name="F Montant HT"/>
    <tableColumn id="31" xr3:uid="{00000000-0010-0000-0100-00001F000000}" name="Date Liv. Prévue"/>
    <tableColumn id="32" xr3:uid="{00000000-0010-0000-0100-000020000000}" name="In-house/_x000a_On-site"/>
    <tableColumn id="33" xr3:uid="{00000000-0010-0000-0100-000021000000}" name="Raison"/>
    <tableColumn id="34" xr3:uid="{00000000-0010-0000-0100-000022000000}" name="Spalte7"/>
    <tableColumn id="35" xr3:uid="{00000000-0010-0000-0100-000023000000}" name="parts"/>
    <tableColumn id="36" xr3:uid="{00000000-0010-0000-0100-000024000000}" name="Product Description"/>
    <tableColumn id="37" xr3:uid="{00000000-0010-0000-0100-000025000000}" name="Spalte8"/>
    <tableColumn id="38" xr3:uid="{00000000-0010-0000-0100-000026000000}" name="Commentaire"/>
    <tableColumn id="39" xr3:uid="{00000000-0010-0000-0100-000027000000}" name="Spalte9"/>
    <tableColumn id="40" xr3:uid="{00000000-0010-0000-0100-000028000000}" name="l'externalisation"/>
    <tableColumn id="41" xr3:uid="{00000000-0010-0000-0100-000029000000}" name="Spalte10"/>
    <tableColumn id="42" xr3:uid="{00000000-0010-0000-0100-00002A000000}" name="Lien dossier"/>
    <tableColumn id="43" xr3:uid="{00000000-0010-0000-0100-00002B000000}" name="Spalte11"/>
    <tableColumn id="44" xr3:uid="{00000000-0010-0000-0100-00002C000000}" name="Contact Person"/>
    <tableColumn id="45" xr3:uid="{00000000-0010-0000-0100-00002D000000}" name="Spalte12"/>
    <tableColumn id="46" xr3:uid="{00000000-0010-0000-0100-00002E000000}" name="Coûts achats"/>
    <tableColumn id="47" xr3:uid="{00000000-0010-0000-0100-00002F000000}" name="Coûts main d'œuvre"/>
    <tableColumn id="48" xr3:uid="{00000000-0010-0000-0100-000030000000}" name="Marge"/>
    <tableColumn id="49" xr3:uid="{00000000-0010-0000-0100-000031000000}" name="Marge %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OI" displayName="OI" ref="A1:AL12" totalsRowShown="0">
  <autoFilter ref="A1:AL12" xr:uid="{00000000-0009-0000-0100-000001000000}"/>
  <tableColumns count="38">
    <tableColumn id="1" xr3:uid="{00000000-0010-0000-0200-000001000000}" name="ENTITY"/>
    <tableColumn id="2" xr3:uid="{00000000-0010-0000-0200-000002000000}" name="CURR"/>
    <tableColumn id="3" xr3:uid="{00000000-0010-0000-0200-000003000000}" name="DIMENSION"/>
    <tableColumn id="4" xr3:uid="{00000000-0010-0000-0200-000004000000}" name="DIMENSION 2"/>
    <tableColumn id="5" xr3:uid="{00000000-0010-0000-0200-000005000000}" name="IC"/>
    <tableColumn id="6" xr3:uid="{00000000-0010-0000-0200-000006000000}" name="YEAR"/>
    <tableColumn id="7" xr3:uid="{00000000-0010-0000-0200-000007000000}" name="PG"/>
    <tableColumn id="8" xr3:uid="{00000000-0010-0000-0200-000008000000}" name="1"/>
    <tableColumn id="9" xr3:uid="{00000000-0010-0000-0200-000009000000}" name="2"/>
    <tableColumn id="10" xr3:uid="{00000000-0010-0000-0200-00000A000000}" name="3"/>
    <tableColumn id="11" xr3:uid="{00000000-0010-0000-0200-00000B000000}" name="4"/>
    <tableColumn id="12" xr3:uid="{00000000-0010-0000-0200-00000C000000}" name="5"/>
    <tableColumn id="13" xr3:uid="{00000000-0010-0000-0200-00000D000000}" name="6"/>
    <tableColumn id="14" xr3:uid="{00000000-0010-0000-0200-00000E000000}" name="7"/>
    <tableColumn id="15" xr3:uid="{00000000-0010-0000-0200-00000F000000}" name="8"/>
    <tableColumn id="16" xr3:uid="{00000000-0010-0000-0200-000010000000}" name="9"/>
    <tableColumn id="17" xr3:uid="{00000000-0010-0000-0200-000011000000}" name="10"/>
    <tableColumn id="18" xr3:uid="{00000000-0010-0000-0200-000012000000}" name="11"/>
    <tableColumn id="19" xr3:uid="{00000000-0010-0000-0200-000013000000}" name="12"/>
    <tableColumn id="20" xr3:uid="{00000000-0010-0000-0200-000014000000}" name="1 YTD"/>
    <tableColumn id="21" xr3:uid="{00000000-0010-0000-0200-000015000000}" name="2 YTD"/>
    <tableColumn id="22" xr3:uid="{00000000-0010-0000-0200-000016000000}" name="3 YTD"/>
    <tableColumn id="23" xr3:uid="{00000000-0010-0000-0200-000017000000}" name="4 YTD"/>
    <tableColumn id="24" xr3:uid="{00000000-0010-0000-0200-000018000000}" name="5 YTD"/>
    <tableColumn id="25" xr3:uid="{00000000-0010-0000-0200-000019000000}" name="6 YTD"/>
    <tableColumn id="26" xr3:uid="{00000000-0010-0000-0200-00001A000000}" name="7 YTD"/>
    <tableColumn id="27" xr3:uid="{00000000-0010-0000-0200-00001B000000}" name="8 YTD"/>
    <tableColumn id="28" xr3:uid="{00000000-0010-0000-0200-00001C000000}" name="9 YTD"/>
    <tableColumn id="29" xr3:uid="{00000000-0010-0000-0200-00001D000000}" name="10 YTD"/>
    <tableColumn id="30" xr3:uid="{00000000-0010-0000-0200-00001E000000}" name="11 YTD"/>
    <tableColumn id="31" xr3:uid="{00000000-0010-0000-0200-00001F000000}" name="12 YTD"/>
    <tableColumn id="32" xr3:uid="{00000000-0010-0000-0200-000020000000}" name="Q1"/>
    <tableColumn id="33" xr3:uid="{00000000-0010-0000-0200-000021000000}" name="Q2"/>
    <tableColumn id="34" xr3:uid="{00000000-0010-0000-0200-000022000000}" name="Q3"/>
    <tableColumn id="35" xr3:uid="{00000000-0010-0000-0200-000023000000}" name="Q4"/>
    <tableColumn id="36" xr3:uid="{00000000-0010-0000-0200-000024000000}" name="S1"/>
    <tableColumn id="37" xr3:uid="{00000000-0010-0000-0200-000025000000}" name="S2"/>
    <tableColumn id="38" xr3:uid="{00000000-0010-0000-0200-000026000000}" name="VKGR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7"/>
  <sheetViews>
    <sheetView workbookViewId="0"/>
  </sheetViews>
  <sheetFormatPr baseColWidth="10" defaultColWidth="8.88671875" defaultRowHeight="14.4" x14ac:dyDescent="0.3"/>
  <cols>
    <col min="1" max="1" width="11.44140625" style="17" bestFit="1" customWidth="1"/>
    <col min="2" max="2" width="14.44140625" style="17" bestFit="1" customWidth="1"/>
    <col min="3" max="3" width="18.109375" style="69" bestFit="1" customWidth="1"/>
    <col min="4" max="4" width="12.88671875" style="17" bestFit="1" customWidth="1"/>
    <col min="5" max="5" width="15.5546875" style="17" bestFit="1" customWidth="1"/>
    <col min="6" max="6" width="16.5546875" style="17" bestFit="1" customWidth="1"/>
    <col min="7" max="7" width="14.109375" style="17" bestFit="1" customWidth="1"/>
    <col min="8" max="8" width="14.109375" style="18" bestFit="1" customWidth="1"/>
    <col min="9" max="15" width="14.109375" style="17" bestFit="1" customWidth="1"/>
  </cols>
  <sheetData>
    <row r="1" spans="1:15" ht="19.5" customHeight="1" x14ac:dyDescent="0.3">
      <c r="A1" s="643" t="s">
        <v>1047</v>
      </c>
      <c r="B1" s="643" t="s">
        <v>1048</v>
      </c>
      <c r="C1" s="643" t="s">
        <v>610</v>
      </c>
      <c r="D1" s="643" t="s">
        <v>1049</v>
      </c>
      <c r="E1" s="643" t="s">
        <v>1050</v>
      </c>
      <c r="F1" s="643" t="s">
        <v>1051</v>
      </c>
      <c r="G1" s="3"/>
      <c r="H1" s="644">
        <v>2022</v>
      </c>
      <c r="I1" s="3"/>
      <c r="J1" s="3"/>
      <c r="K1" s="3"/>
      <c r="L1" s="3"/>
      <c r="M1" s="3"/>
      <c r="N1" s="3"/>
      <c r="O1" s="3"/>
    </row>
    <row r="2" spans="1:15" ht="19.5" customHeight="1" x14ac:dyDescent="0.3">
      <c r="A2" s="645" t="s">
        <v>305</v>
      </c>
      <c r="B2" s="3" t="s">
        <v>533</v>
      </c>
      <c r="C2" s="49" t="s">
        <v>534</v>
      </c>
      <c r="D2" s="3" t="s">
        <v>646</v>
      </c>
      <c r="E2" s="3" t="s">
        <v>1052</v>
      </c>
      <c r="F2" s="3" t="s">
        <v>1052</v>
      </c>
      <c r="G2" s="3"/>
      <c r="H2" s="200" t="s">
        <v>284</v>
      </c>
      <c r="I2" s="3"/>
      <c r="J2" s="3"/>
      <c r="K2" s="3"/>
      <c r="L2" s="3"/>
      <c r="M2" s="3"/>
      <c r="N2" s="3" t="s">
        <v>1053</v>
      </c>
      <c r="O2" s="646" t="s">
        <v>540</v>
      </c>
    </row>
    <row r="3" spans="1:15" ht="19.5" customHeight="1" x14ac:dyDescent="0.3">
      <c r="A3" s="645" t="s">
        <v>582</v>
      </c>
      <c r="B3" s="3" t="s">
        <v>536</v>
      </c>
      <c r="C3" s="194" t="s">
        <v>537</v>
      </c>
      <c r="D3" s="3" t="s">
        <v>650</v>
      </c>
      <c r="E3" s="3" t="s">
        <v>1054</v>
      </c>
      <c r="F3" s="3" t="s">
        <v>1055</v>
      </c>
      <c r="G3" s="3"/>
      <c r="H3" s="647" t="s">
        <v>282</v>
      </c>
      <c r="I3" s="3"/>
      <c r="J3" s="3"/>
      <c r="K3" s="3"/>
      <c r="L3" s="3"/>
      <c r="M3" s="3"/>
      <c r="N3" s="3" t="s">
        <v>1056</v>
      </c>
      <c r="O3" s="646" t="s">
        <v>548</v>
      </c>
    </row>
    <row r="4" spans="1:15" ht="19.5" customHeight="1" x14ac:dyDescent="0.3">
      <c r="A4" s="645" t="s">
        <v>578</v>
      </c>
      <c r="B4" s="3" t="s">
        <v>1057</v>
      </c>
      <c r="C4" s="49" t="s">
        <v>538</v>
      </c>
      <c r="D4" s="3" t="s">
        <v>642</v>
      </c>
      <c r="E4" s="3" t="s">
        <v>800</v>
      </c>
      <c r="F4" s="3" t="s">
        <v>1058</v>
      </c>
      <c r="G4" s="3"/>
      <c r="H4" s="648" t="s">
        <v>267</v>
      </c>
      <c r="I4" s="3"/>
      <c r="J4" s="3"/>
      <c r="K4" s="3"/>
      <c r="L4" s="3"/>
      <c r="M4" s="3"/>
      <c r="N4" s="3"/>
      <c r="O4" s="646" t="s">
        <v>550</v>
      </c>
    </row>
    <row r="5" spans="1:15" ht="19.5" customHeight="1" x14ac:dyDescent="0.3">
      <c r="A5" s="645" t="s">
        <v>578</v>
      </c>
      <c r="B5" s="16" t="s">
        <v>539</v>
      </c>
      <c r="C5" s="49" t="s">
        <v>540</v>
      </c>
      <c r="D5" s="3" t="s">
        <v>774</v>
      </c>
      <c r="E5" s="3" t="s">
        <v>1059</v>
      </c>
      <c r="F5" s="3" t="s">
        <v>1060</v>
      </c>
      <c r="G5" s="3"/>
      <c r="H5" s="649" t="s">
        <v>268</v>
      </c>
      <c r="I5" s="3"/>
      <c r="J5" s="3"/>
      <c r="K5" s="3"/>
      <c r="L5" s="3"/>
      <c r="M5" s="3"/>
      <c r="N5" s="3"/>
      <c r="O5" s="646" t="s">
        <v>542</v>
      </c>
    </row>
    <row r="6" spans="1:15" ht="19.5" customHeight="1" x14ac:dyDescent="0.3">
      <c r="A6" s="645" t="s">
        <v>305</v>
      </c>
      <c r="B6" s="3" t="s">
        <v>1057</v>
      </c>
      <c r="C6" s="49" t="s">
        <v>553</v>
      </c>
      <c r="D6" s="3" t="s">
        <v>1061</v>
      </c>
      <c r="E6" s="3" t="s">
        <v>1062</v>
      </c>
      <c r="F6" s="3" t="s">
        <v>1063</v>
      </c>
      <c r="G6" s="3"/>
      <c r="H6" s="650" t="s">
        <v>285</v>
      </c>
      <c r="I6" s="3"/>
      <c r="J6" s="3"/>
      <c r="K6" s="3"/>
      <c r="L6" s="3"/>
      <c r="M6" s="3"/>
      <c r="N6" s="3"/>
      <c r="O6" s="646" t="s">
        <v>538</v>
      </c>
    </row>
    <row r="7" spans="1:15" ht="19.5" customHeight="1" x14ac:dyDescent="0.3">
      <c r="A7" s="645" t="s">
        <v>305</v>
      </c>
      <c r="B7" s="3" t="s">
        <v>541</v>
      </c>
      <c r="C7" s="49" t="s">
        <v>542</v>
      </c>
      <c r="D7" s="3" t="s">
        <v>657</v>
      </c>
      <c r="E7" s="3"/>
      <c r="F7" s="3" t="s">
        <v>1064</v>
      </c>
      <c r="G7" s="3"/>
      <c r="H7" s="651" t="s">
        <v>286</v>
      </c>
      <c r="I7" s="3"/>
      <c r="J7" s="3"/>
      <c r="K7" s="3"/>
      <c r="L7" s="3"/>
      <c r="M7" s="3"/>
      <c r="N7" s="3"/>
      <c r="O7" s="646" t="s">
        <v>544</v>
      </c>
    </row>
    <row r="8" spans="1:15" ht="19.5" customHeight="1" x14ac:dyDescent="0.3">
      <c r="A8" s="645" t="s">
        <v>580</v>
      </c>
      <c r="B8" s="3" t="s">
        <v>543</v>
      </c>
      <c r="C8" s="49" t="s">
        <v>544</v>
      </c>
      <c r="D8" s="3"/>
      <c r="E8" s="3"/>
      <c r="F8" s="3" t="s">
        <v>1065</v>
      </c>
      <c r="G8" s="3"/>
      <c r="H8" s="652" t="s">
        <v>287</v>
      </c>
      <c r="I8" s="3"/>
      <c r="J8" s="3"/>
      <c r="K8" s="3"/>
      <c r="L8" s="3"/>
      <c r="M8" s="3"/>
      <c r="N8" s="3"/>
      <c r="O8" s="646" t="s">
        <v>551</v>
      </c>
    </row>
    <row r="9" spans="1:15" ht="19.5" customHeight="1" x14ac:dyDescent="0.3">
      <c r="A9" s="645" t="s">
        <v>582</v>
      </c>
      <c r="B9" s="3" t="s">
        <v>545</v>
      </c>
      <c r="C9" s="49" t="s">
        <v>546</v>
      </c>
      <c r="D9" s="3"/>
      <c r="E9" s="3"/>
      <c r="F9" s="3" t="s">
        <v>1057</v>
      </c>
      <c r="G9" s="3"/>
      <c r="H9" s="653" t="s">
        <v>283</v>
      </c>
      <c r="I9" s="3"/>
      <c r="J9" s="3"/>
      <c r="K9" s="3"/>
      <c r="L9" s="3"/>
      <c r="M9" s="3"/>
      <c r="N9" s="3"/>
      <c r="O9" s="646" t="s">
        <v>537</v>
      </c>
    </row>
    <row r="10" spans="1:15" ht="19.5" customHeight="1" x14ac:dyDescent="0.3">
      <c r="A10" s="645" t="s">
        <v>580</v>
      </c>
      <c r="B10" s="3" t="s">
        <v>547</v>
      </c>
      <c r="C10" s="49" t="s">
        <v>548</v>
      </c>
      <c r="D10" s="3"/>
      <c r="E10" s="3"/>
      <c r="F10" s="3"/>
      <c r="G10" s="3"/>
      <c r="H10" s="654" t="s">
        <v>288</v>
      </c>
      <c r="I10" s="3"/>
      <c r="J10" s="3"/>
      <c r="K10" s="3"/>
      <c r="L10" s="3"/>
      <c r="M10" s="3"/>
      <c r="N10" s="3"/>
      <c r="O10" s="655" t="s">
        <v>546</v>
      </c>
    </row>
    <row r="11" spans="1:15" ht="19.5" customHeight="1" x14ac:dyDescent="0.3">
      <c r="A11" s="645" t="s">
        <v>578</v>
      </c>
      <c r="B11" s="16" t="s">
        <v>549</v>
      </c>
      <c r="C11" s="49" t="s">
        <v>550</v>
      </c>
      <c r="D11" s="3"/>
      <c r="E11" s="3"/>
      <c r="F11" s="3"/>
      <c r="G11" s="3"/>
      <c r="H11" s="656" t="s">
        <v>289</v>
      </c>
      <c r="I11" s="3"/>
      <c r="J11" s="3"/>
      <c r="K11" s="3"/>
      <c r="L11" s="3"/>
      <c r="M11" s="3"/>
      <c r="N11" s="3"/>
      <c r="O11" s="3"/>
    </row>
    <row r="12" spans="1:15" ht="19.5" customHeight="1" x14ac:dyDescent="0.3">
      <c r="A12" s="645" t="s">
        <v>578</v>
      </c>
      <c r="B12" s="3" t="s">
        <v>1057</v>
      </c>
      <c r="C12" s="194" t="s">
        <v>551</v>
      </c>
      <c r="D12" s="3"/>
      <c r="E12" s="3"/>
      <c r="F12" s="3"/>
      <c r="G12" s="3"/>
      <c r="H12" s="657" t="s">
        <v>290</v>
      </c>
      <c r="I12" s="3"/>
      <c r="J12" s="3"/>
      <c r="K12" s="3"/>
      <c r="L12" s="3"/>
      <c r="M12" s="3"/>
      <c r="N12" s="3"/>
      <c r="O12" s="3"/>
    </row>
    <row r="13" spans="1:15" ht="19.5" customHeight="1" x14ac:dyDescent="0.3">
      <c r="A13" s="645" t="s">
        <v>578</v>
      </c>
      <c r="B13" s="3" t="s">
        <v>1057</v>
      </c>
      <c r="C13" s="194" t="s">
        <v>932</v>
      </c>
      <c r="D13" s="3"/>
      <c r="E13" s="3"/>
      <c r="F13" s="3"/>
      <c r="G13" s="3"/>
      <c r="H13" s="658" t="s">
        <v>291</v>
      </c>
      <c r="I13" s="3"/>
      <c r="J13" s="3"/>
      <c r="K13" s="3"/>
      <c r="L13" s="3"/>
      <c r="M13" s="3"/>
      <c r="N13" s="3"/>
      <c r="O13" s="3"/>
    </row>
    <row r="14" spans="1:15" ht="19.5" customHeight="1" x14ac:dyDescent="0.3">
      <c r="A14" s="645" t="s">
        <v>578</v>
      </c>
      <c r="B14" s="3" t="s">
        <v>1057</v>
      </c>
      <c r="C14" s="194" t="s">
        <v>1066</v>
      </c>
      <c r="D14" s="3"/>
      <c r="E14" s="3"/>
      <c r="F14" s="3"/>
      <c r="G14" s="3"/>
      <c r="H14" s="8"/>
      <c r="I14" s="3"/>
      <c r="J14" s="3"/>
      <c r="K14" s="3"/>
      <c r="L14" s="3"/>
      <c r="M14" s="3"/>
      <c r="N14" s="3"/>
      <c r="O14" s="3"/>
    </row>
    <row r="15" spans="1:15" ht="19.5" customHeight="1" x14ac:dyDescent="0.3">
      <c r="A15" s="3"/>
      <c r="B15" s="3"/>
      <c r="C15" s="191"/>
      <c r="D15" s="3"/>
      <c r="E15" s="3"/>
      <c r="F15" s="3"/>
      <c r="G15" s="3"/>
      <c r="H15" s="8"/>
      <c r="I15" s="3"/>
      <c r="J15" s="3"/>
      <c r="K15" s="3"/>
      <c r="L15" s="3"/>
      <c r="M15" s="3"/>
      <c r="N15" s="3"/>
      <c r="O15" s="3"/>
    </row>
    <row r="16" spans="1:15" ht="19.5" customHeight="1" x14ac:dyDescent="0.3">
      <c r="A16" s="3"/>
      <c r="B16" s="3"/>
      <c r="C16" s="191"/>
      <c r="D16" s="3"/>
      <c r="E16" s="3"/>
      <c r="F16" s="3"/>
      <c r="G16" s="3"/>
      <c r="H16" s="8"/>
      <c r="I16" s="3"/>
      <c r="J16" s="3"/>
      <c r="K16" s="3"/>
      <c r="L16" s="3"/>
      <c r="M16" s="3"/>
      <c r="N16" s="3"/>
      <c r="O16" s="3"/>
    </row>
    <row r="17" spans="1:15" ht="19.5" customHeight="1" x14ac:dyDescent="0.3">
      <c r="A17" s="3"/>
      <c r="B17" s="3"/>
      <c r="C17" s="191"/>
      <c r="D17" s="3"/>
      <c r="E17" s="3"/>
      <c r="F17" s="3"/>
      <c r="G17" s="3"/>
      <c r="H17" s="8"/>
      <c r="I17" s="3"/>
      <c r="J17" s="3"/>
      <c r="K17" s="3"/>
      <c r="L17" s="3"/>
      <c r="M17" s="3"/>
      <c r="N17" s="3"/>
      <c r="O17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P4"/>
  <sheetViews>
    <sheetView workbookViewId="0"/>
  </sheetViews>
  <sheetFormatPr baseColWidth="10" defaultColWidth="8.88671875" defaultRowHeight="14.4" x14ac:dyDescent="0.3"/>
  <cols>
    <col min="1" max="1" width="14.109375" style="17" bestFit="1" customWidth="1"/>
    <col min="2" max="2" width="6.109375" style="17" bestFit="1" customWidth="1"/>
    <col min="3" max="5" width="10.109375" style="47" bestFit="1" customWidth="1"/>
    <col min="6" max="8" width="9.109375" style="47" bestFit="1" customWidth="1"/>
    <col min="9" max="9" width="10.109375" style="47" bestFit="1" customWidth="1"/>
    <col min="10" max="10" width="11.88671875" style="47" bestFit="1" customWidth="1"/>
    <col min="11" max="11" width="9.109375" style="47" bestFit="1" customWidth="1"/>
    <col min="12" max="12" width="10.109375" style="47" bestFit="1" customWidth="1"/>
    <col min="13" max="13" width="9.109375" style="47" bestFit="1" customWidth="1"/>
    <col min="14" max="14" width="10.109375" style="47" bestFit="1" customWidth="1"/>
    <col min="15" max="15" width="11.88671875" style="17" bestFit="1" customWidth="1"/>
    <col min="16" max="16" width="14.109375" style="17" bestFit="1" customWidth="1"/>
  </cols>
  <sheetData>
    <row r="1" spans="1:16" ht="19.5" customHeight="1" x14ac:dyDescent="0.3">
      <c r="A1" s="3"/>
      <c r="B1" s="107"/>
      <c r="C1" s="225">
        <v>25569.042169745371</v>
      </c>
      <c r="D1" s="226">
        <v>25569.042170104167</v>
      </c>
      <c r="E1" s="226">
        <v>25569.042170428242</v>
      </c>
      <c r="F1" s="226">
        <v>25569.042170787037</v>
      </c>
      <c r="G1" s="226">
        <v>25569.042171134261</v>
      </c>
      <c r="H1" s="226">
        <v>25569.042171493056</v>
      </c>
      <c r="I1" s="226">
        <v>25569.042171840279</v>
      </c>
      <c r="J1" s="226">
        <v>25569.042172199075</v>
      </c>
      <c r="K1" s="226">
        <v>25569.042172557871</v>
      </c>
      <c r="L1" s="226">
        <v>25569.042172905094</v>
      </c>
      <c r="M1" s="226">
        <v>25569.04217326389</v>
      </c>
      <c r="N1" s="226">
        <v>25569.042173611109</v>
      </c>
      <c r="O1" s="227" t="s">
        <v>86</v>
      </c>
      <c r="P1" s="3"/>
    </row>
    <row r="2" spans="1:16" ht="19.5" customHeight="1" x14ac:dyDescent="0.3">
      <c r="A2" s="3"/>
      <c r="B2" s="3" t="s">
        <v>141</v>
      </c>
      <c r="C2" s="228">
        <f>'Monthly Data'!C3+AIA!C4+AIA!C5</f>
        <v>70615</v>
      </c>
      <c r="D2" s="228">
        <f>'Monthly Data'!D3+AIA!D4+AIA!D5</f>
        <v>70615</v>
      </c>
      <c r="E2" s="228">
        <f>'Monthly Data'!E3+AIA!E4+AIA!E5</f>
        <v>70615</v>
      </c>
      <c r="F2" s="228">
        <f>'Monthly Data'!F3+AIA!F4+AIA!F5</f>
        <v>70615</v>
      </c>
      <c r="G2" s="228">
        <f>'Monthly Data'!G3+AIA!G4+AIA!G5</f>
        <v>70615</v>
      </c>
      <c r="H2" s="228">
        <f>'Monthly Data'!H3+AIA!H4+AIA!H5</f>
        <v>70615</v>
      </c>
      <c r="I2" s="228">
        <f>'Monthly Data'!I3+AIA!I4+AIA!I5</f>
        <v>70615</v>
      </c>
      <c r="J2" s="228">
        <f>'Monthly Data'!J3+AIA!J4+AIA!J5</f>
        <v>70615</v>
      </c>
      <c r="K2" s="228">
        <f>'Monthly Data'!K3+AIA!K4+AIA!K5</f>
        <v>70615</v>
      </c>
      <c r="L2" s="228">
        <f>'Monthly Data'!L3+AIA!L4+AIA!L5</f>
        <v>70615</v>
      </c>
      <c r="M2" s="228">
        <f>'Monthly Data'!M3+AIA!M4+AIA!M5</f>
        <v>70615</v>
      </c>
      <c r="N2" s="228">
        <f>'Monthly Data'!N3+AIA!N4+AIA!N5</f>
        <v>67435</v>
      </c>
      <c r="O2" s="229">
        <f>SUM(C2:N2)</f>
        <v>844200</v>
      </c>
      <c r="P2" s="3"/>
    </row>
    <row r="3" spans="1:16" ht="19.5" customHeight="1" x14ac:dyDescent="0.3">
      <c r="A3" s="3"/>
      <c r="B3" s="107" t="s">
        <v>142</v>
      </c>
      <c r="C3" s="230">
        <f>'Monthly Data'!C4+AIA!C6+AIA!C7</f>
        <v>45615</v>
      </c>
      <c r="D3" s="230">
        <f>'Monthly Data'!D4+AIA!D6</f>
        <v>46405</v>
      </c>
      <c r="E3" s="230">
        <f>'Monthly Data'!E4+AIA!E6+AIA!E7</f>
        <v>40074</v>
      </c>
      <c r="F3" s="230">
        <f>'Monthly Data'!F4+AIA!F6+AIA!F7</f>
        <v>46405</v>
      </c>
      <c r="G3" s="230">
        <f>'Monthly Data'!G4+AIA!G6+AIA!G7</f>
        <v>46405</v>
      </c>
      <c r="H3" s="230">
        <f>'Monthly Data'!H4+AIA!H6+AIA!H7</f>
        <v>46405</v>
      </c>
      <c r="I3" s="230">
        <f>'Monthly Data'!I4+AIA!I6+AIA!I7</f>
        <v>46405</v>
      </c>
      <c r="J3" s="230">
        <f>'Monthly Data'!J4+AIA!J6+AIA!J7</f>
        <v>46405</v>
      </c>
      <c r="K3" s="230">
        <f>'Monthly Data'!K4+AIA!K6+AIA!K7</f>
        <v>92810</v>
      </c>
      <c r="L3" s="230">
        <f>'Monthly Data'!L4+AIA!L6+AIA!L7</f>
        <v>46405</v>
      </c>
      <c r="M3" s="230">
        <f>'Monthly Data'!M4+AIA!M6+AIA!M7</f>
        <v>46405</v>
      </c>
      <c r="N3" s="230">
        <f>'Monthly Data'!N4+AIA!N6+AIA!N7</f>
        <v>46405</v>
      </c>
      <c r="O3" s="231">
        <f>SUM(C3:N3)</f>
        <v>596144</v>
      </c>
      <c r="P3" s="3"/>
    </row>
    <row r="4" spans="1:16" ht="19.5" customHeight="1" x14ac:dyDescent="0.3">
      <c r="A4" s="3"/>
      <c r="B4" s="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228"/>
      <c r="P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I15"/>
  <sheetViews>
    <sheetView workbookViewId="0"/>
  </sheetViews>
  <sheetFormatPr baseColWidth="10" defaultColWidth="8.88671875" defaultRowHeight="14.4" x14ac:dyDescent="0.3"/>
  <cols>
    <col min="1" max="1" width="17.88671875" style="17" bestFit="1" customWidth="1"/>
    <col min="2" max="2" width="20.109375" style="18" bestFit="1" customWidth="1"/>
    <col min="3" max="3" width="12" style="206" bestFit="1" customWidth="1"/>
    <col min="4" max="6" width="14.109375" style="206" bestFit="1" customWidth="1"/>
    <col min="7" max="7" width="17.109375" style="206" bestFit="1" customWidth="1"/>
    <col min="8" max="8" width="12" style="17" bestFit="1" customWidth="1"/>
    <col min="9" max="9" width="13.5546875" style="17" bestFit="1" customWidth="1"/>
  </cols>
  <sheetData>
    <row r="1" spans="1:9" ht="15" customHeight="1" x14ac:dyDescent="0.3">
      <c r="A1" s="3"/>
      <c r="B1" s="8" t="s">
        <v>335</v>
      </c>
      <c r="C1" s="71"/>
      <c r="D1" s="71"/>
      <c r="E1" s="71"/>
      <c r="F1" s="71"/>
      <c r="G1" s="71"/>
      <c r="H1" s="3"/>
      <c r="I1" s="3"/>
    </row>
    <row r="2" spans="1:9" ht="15" customHeight="1" x14ac:dyDescent="0.3">
      <c r="A2" s="3"/>
      <c r="B2" s="207">
        <v>2020</v>
      </c>
      <c r="C2" s="208" t="s">
        <v>336</v>
      </c>
      <c r="D2" s="208" t="s">
        <v>87</v>
      </c>
      <c r="E2" s="208" t="s">
        <v>337</v>
      </c>
      <c r="F2" s="208" t="s">
        <v>338</v>
      </c>
      <c r="G2" s="208" t="s">
        <v>339</v>
      </c>
      <c r="H2" s="209" t="s">
        <v>340</v>
      </c>
      <c r="I2" s="210" t="s">
        <v>86</v>
      </c>
    </row>
    <row r="3" spans="1:9" ht="15" customHeight="1" x14ac:dyDescent="0.3">
      <c r="A3" s="3"/>
      <c r="B3" s="211" t="s">
        <v>341</v>
      </c>
      <c r="C3" s="212">
        <v>0</v>
      </c>
      <c r="D3" s="212">
        <v>80000</v>
      </c>
      <c r="E3" s="212">
        <v>345000</v>
      </c>
      <c r="F3" s="212">
        <v>120000</v>
      </c>
      <c r="G3" s="212">
        <v>484760</v>
      </c>
      <c r="H3" s="212"/>
      <c r="I3" s="213">
        <f>SUM(C3:H3)</f>
        <v>1029760</v>
      </c>
    </row>
    <row r="4" spans="1:9" ht="19.5" customHeight="1" x14ac:dyDescent="0.3">
      <c r="A4" s="3"/>
      <c r="B4" s="214" t="s">
        <v>342</v>
      </c>
      <c r="C4" s="215">
        <v>0</v>
      </c>
      <c r="D4" s="215">
        <v>60000</v>
      </c>
      <c r="E4" s="215">
        <v>300000</v>
      </c>
      <c r="F4" s="215">
        <v>120000</v>
      </c>
      <c r="G4" s="215"/>
      <c r="H4" s="215"/>
      <c r="I4" s="216">
        <f>SUM(C4:H4)</f>
        <v>480000</v>
      </c>
    </row>
    <row r="5" spans="1:9" ht="15" customHeight="1" x14ac:dyDescent="0.3">
      <c r="A5" s="3"/>
      <c r="B5" s="217" t="s">
        <v>343</v>
      </c>
      <c r="C5" s="218">
        <v>999890</v>
      </c>
      <c r="D5" s="218">
        <v>30253</v>
      </c>
      <c r="E5" s="218">
        <v>9411</v>
      </c>
      <c r="F5" s="218">
        <v>0</v>
      </c>
      <c r="G5" s="218"/>
      <c r="H5" s="218"/>
      <c r="I5" s="219">
        <f>SUM(C5:H5)</f>
        <v>1039554</v>
      </c>
    </row>
    <row r="6" spans="1:9" ht="15" customHeight="1" x14ac:dyDescent="0.3">
      <c r="A6" s="3"/>
      <c r="B6" s="220" t="s">
        <v>344</v>
      </c>
      <c r="C6" s="221">
        <v>860721</v>
      </c>
      <c r="D6" s="221">
        <f>(D4+D5)*0.8</f>
        <v>72202.400000000009</v>
      </c>
      <c r="E6" s="221">
        <f>(E4+E5)*0.7</f>
        <v>216587.69999999998</v>
      </c>
      <c r="F6" s="221">
        <f>(F4+F5)*0.65</f>
        <v>78000</v>
      </c>
      <c r="G6" s="221"/>
      <c r="H6" s="221">
        <f>-H7</f>
        <v>971510.25</v>
      </c>
      <c r="I6" s="216">
        <f>SUM(C6:H6)</f>
        <v>2199021.35</v>
      </c>
    </row>
    <row r="7" spans="1:9" ht="15" customHeight="1" x14ac:dyDescent="0.3">
      <c r="A7" s="3"/>
      <c r="B7" s="211" t="s">
        <v>345</v>
      </c>
      <c r="C7" s="212">
        <f>C5+C4-C6</f>
        <v>139169</v>
      </c>
      <c r="D7" s="212">
        <f>D5+D4-D6</f>
        <v>18050.599999999991</v>
      </c>
      <c r="E7" s="212">
        <f>E5+E4-E6</f>
        <v>92823.300000000017</v>
      </c>
      <c r="F7" s="212">
        <f>F5+F4-F6</f>
        <v>42000</v>
      </c>
      <c r="G7" s="212">
        <f>G3</f>
        <v>484760</v>
      </c>
      <c r="H7" s="222">
        <f>Reporting!O20</f>
        <v>-971510.25</v>
      </c>
      <c r="I7" s="223">
        <f>SUM(C7:H7)</f>
        <v>-194707.34999999998</v>
      </c>
    </row>
    <row r="8" spans="1:9" ht="19.5" customHeight="1" x14ac:dyDescent="0.3">
      <c r="A8" s="3"/>
      <c r="B8" s="224"/>
      <c r="C8" s="123"/>
      <c r="D8" s="71"/>
      <c r="E8" s="71"/>
      <c r="F8" s="71"/>
      <c r="G8" s="71"/>
      <c r="H8" s="3"/>
      <c r="I8" s="3"/>
    </row>
    <row r="9" spans="1:9" ht="19.5" customHeight="1" x14ac:dyDescent="0.3">
      <c r="A9" s="3"/>
      <c r="B9" s="8"/>
      <c r="C9" s="71"/>
      <c r="D9" s="71"/>
      <c r="E9" s="71"/>
      <c r="F9" s="71"/>
      <c r="G9" s="71"/>
      <c r="H9" s="3"/>
      <c r="I9" s="3"/>
    </row>
    <row r="10" spans="1:9" ht="19.5" customHeight="1" x14ac:dyDescent="0.3">
      <c r="A10" s="3"/>
      <c r="B10" s="224"/>
      <c r="C10" s="123"/>
      <c r="D10" s="71"/>
      <c r="E10" s="71"/>
      <c r="F10" s="71"/>
      <c r="G10" s="71"/>
      <c r="H10" s="3"/>
      <c r="I10" s="3"/>
    </row>
    <row r="11" spans="1:9" ht="19.5" customHeight="1" x14ac:dyDescent="0.3">
      <c r="A11" s="3"/>
      <c r="B11" s="8"/>
      <c r="C11" s="71"/>
      <c r="D11" s="71"/>
      <c r="E11" s="71"/>
      <c r="F11" s="71"/>
      <c r="G11" s="71"/>
      <c r="H11" s="3"/>
      <c r="I11" s="3"/>
    </row>
    <row r="12" spans="1:9" ht="19.5" customHeight="1" x14ac:dyDescent="0.3">
      <c r="A12" s="3"/>
      <c r="B12" s="224"/>
      <c r="C12" s="123"/>
      <c r="D12" s="71"/>
      <c r="E12" s="71"/>
      <c r="F12" s="71"/>
      <c r="G12" s="71"/>
      <c r="H12" s="3"/>
      <c r="I12" s="3"/>
    </row>
    <row r="13" spans="1:9" ht="19.5" customHeight="1" x14ac:dyDescent="0.3">
      <c r="A13" s="3"/>
      <c r="B13" s="8"/>
      <c r="C13" s="71"/>
      <c r="D13" s="71"/>
      <c r="E13" s="71"/>
      <c r="F13" s="71"/>
      <c r="G13" s="71"/>
      <c r="H13" s="3"/>
      <c r="I13" s="3"/>
    </row>
    <row r="14" spans="1:9" ht="19.5" customHeight="1" x14ac:dyDescent="0.3">
      <c r="A14" s="3"/>
      <c r="B14" s="8"/>
      <c r="C14" s="123"/>
      <c r="D14" s="123"/>
      <c r="E14" s="123"/>
      <c r="F14" s="123"/>
      <c r="G14" s="123"/>
      <c r="H14" s="123"/>
      <c r="I14" s="123"/>
    </row>
    <row r="15" spans="1:9" ht="19.5" customHeight="1" x14ac:dyDescent="0.3">
      <c r="A15" s="3"/>
      <c r="B15" s="8"/>
      <c r="C15" s="71"/>
      <c r="D15" s="71"/>
      <c r="E15" s="71"/>
      <c r="F15" s="71"/>
      <c r="G15" s="123"/>
      <c r="H15" s="3"/>
      <c r="I15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BB145"/>
  <sheetViews>
    <sheetView workbookViewId="0"/>
  </sheetViews>
  <sheetFormatPr baseColWidth="10" defaultColWidth="8.88671875" defaultRowHeight="14.4" x14ac:dyDescent="0.3"/>
  <cols>
    <col min="1" max="1" width="28.44140625" style="17" bestFit="1" customWidth="1"/>
    <col min="2" max="2" width="16.88671875" style="18" bestFit="1" customWidth="1"/>
    <col min="3" max="3" width="9.44140625" style="205" bestFit="1" customWidth="1"/>
    <col min="4" max="4" width="12.5546875" style="18" bestFit="1" customWidth="1"/>
    <col min="5" max="5" width="12.109375" style="206" bestFit="1" customWidth="1"/>
    <col min="6" max="6" width="12.5546875" style="206" bestFit="1" customWidth="1"/>
    <col min="7" max="7" width="13.109375" style="206" bestFit="1" customWidth="1"/>
    <col min="8" max="8" width="16.88671875" style="206" bestFit="1" customWidth="1"/>
    <col min="9" max="9" width="12.5546875" style="206" bestFit="1" customWidth="1"/>
    <col min="10" max="11" width="12.88671875" style="206" bestFit="1" customWidth="1"/>
    <col min="12" max="14" width="12.88671875" style="18" bestFit="1" customWidth="1"/>
    <col min="15" max="15" width="12.88671875" style="206" bestFit="1" customWidth="1"/>
    <col min="16" max="16" width="13.88671875" style="18" bestFit="1" customWidth="1"/>
    <col min="17" max="17" width="12.88671875" style="17" bestFit="1" customWidth="1"/>
    <col min="18" max="18" width="14" style="17" bestFit="1" customWidth="1"/>
    <col min="19" max="19" width="12.88671875" style="17" bestFit="1" customWidth="1"/>
    <col min="20" max="20" width="13.109375" style="17" bestFit="1" customWidth="1"/>
    <col min="21" max="22" width="13.44140625" style="17" bestFit="1" customWidth="1"/>
    <col min="23" max="29" width="12" style="17" bestFit="1" customWidth="1"/>
    <col min="30" max="31" width="12.5546875" style="17" bestFit="1" customWidth="1"/>
    <col min="32" max="32" width="13.88671875" style="17" bestFit="1" customWidth="1"/>
    <col min="33" max="33" width="12.5546875" style="17" bestFit="1" customWidth="1"/>
    <col min="34" max="34" width="12.109375" style="17" bestFit="1" customWidth="1"/>
    <col min="35" max="35" width="12.5546875" style="17" bestFit="1" customWidth="1"/>
    <col min="36" max="36" width="14" style="17" bestFit="1" customWidth="1"/>
    <col min="37" max="37" width="13.88671875" style="17" bestFit="1" customWidth="1"/>
    <col min="38" max="38" width="12" style="17" bestFit="1" customWidth="1"/>
    <col min="39" max="39" width="12.5546875" style="17" bestFit="1" customWidth="1"/>
    <col min="40" max="40" width="12.88671875" style="17" bestFit="1" customWidth="1"/>
    <col min="41" max="41" width="12" style="17" bestFit="1" customWidth="1"/>
    <col min="42" max="42" width="13.5546875" style="17" bestFit="1" customWidth="1"/>
    <col min="43" max="43" width="12.88671875" style="17" bestFit="1" customWidth="1"/>
    <col min="44" max="44" width="12.44140625" style="17" bestFit="1" customWidth="1"/>
    <col min="45" max="46" width="13.5546875" style="17" bestFit="1" customWidth="1"/>
    <col min="47" max="47" width="12.88671875" style="17" bestFit="1" customWidth="1"/>
    <col min="48" max="48" width="11.88671875" style="17" bestFit="1" customWidth="1"/>
    <col min="49" max="49" width="12.109375" style="17" bestFit="1" customWidth="1"/>
    <col min="50" max="54" width="12" style="17" bestFit="1" customWidth="1"/>
  </cols>
  <sheetData>
    <row r="1" spans="1:54" ht="19.5" customHeight="1" x14ac:dyDescent="0.3">
      <c r="A1" s="33" t="s">
        <v>85</v>
      </c>
      <c r="B1" s="8"/>
      <c r="C1" s="70"/>
      <c r="D1" s="8"/>
      <c r="E1" s="71"/>
      <c r="F1" s="71"/>
      <c r="G1" s="71"/>
      <c r="H1" s="71"/>
      <c r="I1" s="71"/>
      <c r="J1" s="71"/>
      <c r="K1" s="71"/>
      <c r="L1" s="8"/>
      <c r="M1" s="8"/>
      <c r="N1" s="8"/>
      <c r="O1" s="71"/>
      <c r="P1" s="8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9.5" customHeight="1" x14ac:dyDescent="0.3">
      <c r="A2" s="3"/>
      <c r="B2" s="8"/>
      <c r="C2" s="70"/>
      <c r="D2" s="8"/>
      <c r="E2" s="71"/>
      <c r="F2" s="71"/>
      <c r="G2" s="71"/>
      <c r="H2" s="71"/>
      <c r="I2" s="71"/>
      <c r="J2" s="71"/>
      <c r="K2" s="71"/>
      <c r="L2" s="8"/>
      <c r="M2" s="8"/>
      <c r="N2" s="8"/>
      <c r="O2" s="71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ht="15.6" customHeight="1" x14ac:dyDescent="0.3">
      <c r="A3" s="72" t="s">
        <v>86</v>
      </c>
      <c r="B3" s="73" t="s">
        <v>87</v>
      </c>
      <c r="C3" s="74" t="s">
        <v>88</v>
      </c>
      <c r="D3" s="74" t="s">
        <v>89</v>
      </c>
      <c r="E3" s="75" t="s">
        <v>90</v>
      </c>
      <c r="F3" s="76" t="s">
        <v>91</v>
      </c>
      <c r="G3" s="76" t="s">
        <v>92</v>
      </c>
      <c r="H3" s="76" t="s">
        <v>93</v>
      </c>
      <c r="I3" s="75" t="s">
        <v>94</v>
      </c>
      <c r="J3" s="76" t="s">
        <v>95</v>
      </c>
      <c r="K3" s="75" t="s">
        <v>96</v>
      </c>
      <c r="L3" s="77" t="s">
        <v>97</v>
      </c>
      <c r="M3" s="77" t="s">
        <v>98</v>
      </c>
      <c r="N3" s="77" t="s">
        <v>99</v>
      </c>
      <c r="O3" s="76" t="s">
        <v>100</v>
      </c>
      <c r="P3" s="77" t="s">
        <v>101</v>
      </c>
      <c r="Q3" s="78" t="s">
        <v>102</v>
      </c>
      <c r="R3" s="78" t="s">
        <v>103</v>
      </c>
      <c r="S3" s="79" t="s">
        <v>104</v>
      </c>
      <c r="T3" s="78" t="s">
        <v>105</v>
      </c>
      <c r="U3" s="78" t="s">
        <v>106</v>
      </c>
      <c r="V3" s="78" t="s">
        <v>107</v>
      </c>
      <c r="W3" s="78" t="s">
        <v>108</v>
      </c>
      <c r="X3" s="78" t="s">
        <v>109</v>
      </c>
      <c r="Y3" s="78" t="s">
        <v>110</v>
      </c>
      <c r="Z3" s="78" t="s">
        <v>111</v>
      </c>
      <c r="AA3" s="78" t="s">
        <v>112</v>
      </c>
      <c r="AB3" s="78" t="s">
        <v>113</v>
      </c>
      <c r="AC3" s="78" t="s">
        <v>114</v>
      </c>
      <c r="AD3" s="80" t="s">
        <v>115</v>
      </c>
      <c r="AE3" s="78" t="s">
        <v>116</v>
      </c>
      <c r="AF3" s="78" t="s">
        <v>117</v>
      </c>
      <c r="AG3" s="78" t="s">
        <v>118</v>
      </c>
      <c r="AH3" s="78" t="s">
        <v>119</v>
      </c>
      <c r="AI3" s="81" t="s">
        <v>120</v>
      </c>
      <c r="AJ3" s="78" t="s">
        <v>121</v>
      </c>
      <c r="AK3" s="78" t="s">
        <v>122</v>
      </c>
      <c r="AL3" s="78" t="s">
        <v>123</v>
      </c>
      <c r="AM3" s="78" t="s">
        <v>124</v>
      </c>
      <c r="AN3" s="78" t="s">
        <v>125</v>
      </c>
      <c r="AO3" s="78" t="s">
        <v>126</v>
      </c>
      <c r="AP3" s="78" t="s">
        <v>127</v>
      </c>
      <c r="AQ3" s="78" t="s">
        <v>128</v>
      </c>
      <c r="AR3" s="78" t="s">
        <v>129</v>
      </c>
      <c r="AS3" s="78" t="s">
        <v>130</v>
      </c>
      <c r="AT3" s="78" t="s">
        <v>131</v>
      </c>
      <c r="AU3" s="78" t="s">
        <v>132</v>
      </c>
      <c r="AV3" s="78" t="s">
        <v>133</v>
      </c>
      <c r="AW3" s="78" t="s">
        <v>134</v>
      </c>
      <c r="AX3" s="78" t="s">
        <v>135</v>
      </c>
      <c r="AY3" s="78" t="s">
        <v>136</v>
      </c>
      <c r="AZ3" s="78" t="s">
        <v>137</v>
      </c>
      <c r="BA3" s="78" t="s">
        <v>138</v>
      </c>
      <c r="BB3" s="78" t="s">
        <v>139</v>
      </c>
    </row>
    <row r="4" spans="1:54" ht="15.6" customHeight="1" x14ac:dyDescent="0.3">
      <c r="A4" s="82">
        <f>SUM(C4:BB4)</f>
        <v>289916.40000000002</v>
      </c>
      <c r="B4" s="83" t="s">
        <v>140</v>
      </c>
      <c r="C4" s="82">
        <f>SUMIF(Data!$C12:$C150,C3,Data!$I12:$I150)</f>
        <v>289916.40000000002</v>
      </c>
      <c r="D4" s="82">
        <f>SUMIF(Data!$C12:$C150,D3,Data!$I12:$I150)</f>
        <v>0</v>
      </c>
      <c r="E4" s="82">
        <f>SUMIF(Data!$C12:$C150,E3,Data!$I12:$I150)</f>
        <v>0</v>
      </c>
      <c r="F4" s="82">
        <f>SUMIF(Data!$C12:$C150,F3,Data!$I12:$I150)</f>
        <v>0</v>
      </c>
      <c r="G4" s="82">
        <f>SUMIF(Data!$C12:$C150,G3,Data!$I12:$I150)</f>
        <v>0</v>
      </c>
      <c r="H4" s="82">
        <f>SUMIF(Data!$C12:$C150,H3,Data!$I12:$I150)</f>
        <v>0</v>
      </c>
      <c r="I4" s="82">
        <f>SUMIF(Data!$C12:$C150,I3,Data!$I12:$I150)</f>
        <v>0</v>
      </c>
      <c r="J4" s="82">
        <f>SUMIF(Data!$C12:$C150,J3,Data!$I12:$I150)</f>
        <v>0</v>
      </c>
      <c r="K4" s="82">
        <f>SUMIF(Data!$C12:$C150,K3,Data!$I12:$I150)</f>
        <v>0</v>
      </c>
      <c r="L4" s="82">
        <f>SUMIF(Data!$C12:$C150,L3,Data!$I12:$I150)</f>
        <v>0</v>
      </c>
      <c r="M4" s="82">
        <f>SUMIF(Data!$C12:$C150,M3,Data!$I12:$I150)</f>
        <v>0</v>
      </c>
      <c r="N4" s="82">
        <f>SUMIF(Data!$C12:$C150,N3,Data!$I12:$I150)</f>
        <v>0</v>
      </c>
      <c r="O4" s="82">
        <f>SUMIF(Data!$C12:$C150,O3,Data!$I12:$I150)</f>
        <v>0</v>
      </c>
      <c r="P4" s="82">
        <f>SUMIF(Data!$C12:$C150,P3,Data!$I12:$I150)</f>
        <v>0</v>
      </c>
      <c r="Q4" s="82">
        <f>SUMIF(Data!$C12:$C150,Q3,Data!$I12:$I150)</f>
        <v>0</v>
      </c>
      <c r="R4" s="84">
        <f>SUMIF(Data!$C12:$C150,R3,Data!$I12:$I150)</f>
        <v>0</v>
      </c>
      <c r="S4" s="84">
        <f>SUMIF(Data!$C12:$C150,S3,Data!$I12:$I150)</f>
        <v>0</v>
      </c>
      <c r="T4" s="85">
        <f>SUMIF(Data!$C12:$C851,T3,Data!$I12:$I851)</f>
        <v>0</v>
      </c>
      <c r="U4" s="85">
        <f>SUMIF(Data!$C12:$C851,U3,Data!$I12:$I851)</f>
        <v>0</v>
      </c>
      <c r="V4" s="85">
        <f>SUMIF(Data!$C12:$C851,V3,Data!$I12:$I851)</f>
        <v>0</v>
      </c>
      <c r="W4" s="85">
        <f>SUMIF(Data!$C12:$C851,W3,Data!$I12:$I851)</f>
        <v>0</v>
      </c>
      <c r="X4" s="85">
        <f>SUMIF(Data!$C12:$C851,X3,Data!$I12:$I851)</f>
        <v>0</v>
      </c>
      <c r="Y4" s="85">
        <f>SUMIF(Data!$C12:$C851,Y3,Data!$I12:$I851)</f>
        <v>0</v>
      </c>
      <c r="Z4" s="85">
        <f>SUMIF(Data!$C12:$C851,Z3,Data!$I12:$I851)</f>
        <v>0</v>
      </c>
      <c r="AA4" s="85">
        <f>SUMIF(Data!$C12:$C851,AA3,Data!$I12:$I851)</f>
        <v>0</v>
      </c>
      <c r="AB4" s="85">
        <f>SUMIF(Data!$C12:$C851,AB3,Data!$I12:$I851)</f>
        <v>0</v>
      </c>
      <c r="AC4" s="85">
        <f>SUMIF(Data!$C12:$C851,AC3,Data!$I12:$I851)</f>
        <v>0</v>
      </c>
      <c r="AD4" s="85">
        <f>SUMIF(Data!$C12:$C851,AD3,Data!$I12:$I851)</f>
        <v>0</v>
      </c>
      <c r="AE4" s="86">
        <f>SUMIF(Data!$C12:$C150,AE3,Data!$I12:$I150)</f>
        <v>0</v>
      </c>
      <c r="AF4" s="87">
        <f>SUMIF(Data!$C12:$C150,AF3,Data!$I12:$I150)</f>
        <v>0</v>
      </c>
      <c r="AG4" s="87">
        <f>SUMIF(Data!$C12:$C150,AG3,Data!$I12:$I150)</f>
        <v>0</v>
      </c>
      <c r="AH4" s="87">
        <f>SUMIF(Data!$C12:$C150,AH3,Data!$I12:$I150)</f>
        <v>0</v>
      </c>
      <c r="AI4" s="88">
        <f>SUMIF(Data!$C12:$C150,AI3,Data!$I12:$I150)</f>
        <v>0</v>
      </c>
      <c r="AJ4" s="89">
        <f>SUMIF(Data!$C12:$C150,AJ3,Data!$I12:$I150)</f>
        <v>0</v>
      </c>
      <c r="AK4" s="89">
        <f>SUMIF(Data!$C12:$C150,AK3,Data!$I12:$I150)</f>
        <v>0</v>
      </c>
      <c r="AL4" s="89">
        <f>SUMIF(Data!$C12:$C150,AL3,Data!$I12:$I150)</f>
        <v>0</v>
      </c>
      <c r="AM4" s="89">
        <f>SUMIF(Data!$C12:$C150,AM3,Data!$I12:$I150)</f>
        <v>0</v>
      </c>
      <c r="AN4" s="89">
        <f>SUMIF(Data!$C12:$C150,AN3,Data!$I12:$I150)</f>
        <v>0</v>
      </c>
      <c r="AO4" s="89">
        <f>SUMIF(Data!$C12:$C150,AO3,Data!$I12:$I150)</f>
        <v>0</v>
      </c>
      <c r="AP4" s="89">
        <f>SUMIF(Data!$C12:$C150,AP3,Data!$I12:$I150)</f>
        <v>0</v>
      </c>
      <c r="AQ4" s="89">
        <f>SUMIF(Data!$C12:$C150,AQ3,Data!$I12:$I150)</f>
        <v>0</v>
      </c>
      <c r="AR4" s="89">
        <f>SUMIF(Data!$C12:$C150,AR3,Data!$I12:$I150)</f>
        <v>0</v>
      </c>
      <c r="AS4" s="89">
        <f>SUMIF(Data!$C12:$C150,AS3,Data!$I12:$I150)</f>
        <v>0</v>
      </c>
      <c r="AT4" s="89">
        <f>SUMIF(Data!$C12:$C150,AT3,Data!$I12:$I150)</f>
        <v>0</v>
      </c>
      <c r="AU4" s="89">
        <f>SUMIF(Data!$C12:$C150,AU3,Data!$I12:$I150)</f>
        <v>0</v>
      </c>
      <c r="AV4" s="89">
        <f>SUMIF(Data!$C12:$C150,AV3,Data!$I12:$I150)</f>
        <v>0</v>
      </c>
      <c r="AW4" s="89">
        <f>SUMIF(Data!$C12:$C150,AW3,Data!$I12:$I150)</f>
        <v>0</v>
      </c>
      <c r="AX4" s="89">
        <f>SUMIF(Data!$C12:$C150,AX3,Data!$I12:$I150)</f>
        <v>0</v>
      </c>
      <c r="AY4" s="89">
        <f>SUMIF(Data!$C12:$C150,AY3,Data!$I12:$I150)</f>
        <v>0</v>
      </c>
      <c r="AZ4" s="89">
        <f>SUMIF(Data!$C12:$C150,AZ3,Data!$I12:$I150)</f>
        <v>0</v>
      </c>
      <c r="BA4" s="89">
        <f>SUMIF(Data!$C12:$C150,BA3,Data!$I12:$I150)</f>
        <v>0</v>
      </c>
      <c r="BB4" s="89">
        <f>SUMIF(Data!$C12:$C150,BB3,Data!$I12:$I150)</f>
        <v>0</v>
      </c>
    </row>
    <row r="5" spans="1:54" ht="15.6" customHeight="1" x14ac:dyDescent="0.3">
      <c r="A5" s="82">
        <f>SUM(C5:BB5)</f>
        <v>201876</v>
      </c>
      <c r="B5" s="83" t="s">
        <v>141</v>
      </c>
      <c r="C5" s="82">
        <f>SUMIF(Data!$N12:$N150,C3,Data!$S12:$S150)</f>
        <v>201876</v>
      </c>
      <c r="D5" s="82">
        <f>SUMIF(Data!$N12:$N150,D3,Data!$S12:$S150)</f>
        <v>0</v>
      </c>
      <c r="E5" s="82">
        <f>SUMIF(Data!$N12:$N150,E3,Data!$S12:$S150)</f>
        <v>0</v>
      </c>
      <c r="F5" s="82">
        <f>SUMIF(Data!$N12:$N150,F3,Data!$S12:$S150)</f>
        <v>0</v>
      </c>
      <c r="G5" s="82">
        <f>SUMIF(Data!$N12:$N150,G3,Data!$S12:$S150)</f>
        <v>0</v>
      </c>
      <c r="H5" s="82">
        <f>SUMIF(Data!$N12:$N150,H3,Data!$S12:$S150)</f>
        <v>0</v>
      </c>
      <c r="I5" s="82">
        <f>SUMIF(Data!$N12:$N150,I3,Data!$S12:$S150)</f>
        <v>0</v>
      </c>
      <c r="J5" s="90">
        <f>SUMIF(Data!$N12:$N150,J3,Data!$S12:$S150)</f>
        <v>0</v>
      </c>
      <c r="K5" s="82">
        <f>SUMIF(Data!$N12:$N150,K3,Data!$S12:$S150)</f>
        <v>0</v>
      </c>
      <c r="L5" s="82">
        <f>SUMIF(Data!$N12:$N150,L3,Data!$S12:$S150)</f>
        <v>0</v>
      </c>
      <c r="M5" s="82">
        <f>SUMIF(Data!$N12:$N150,M3,Data!$S12:$S150)</f>
        <v>0</v>
      </c>
      <c r="N5" s="82">
        <f>SUMIF(Data!$N12:$N150,N3,Data!$S12:$S150)</f>
        <v>0</v>
      </c>
      <c r="O5" s="82">
        <f>SUMIF(Data!$N12:$N150,O3,Data!$S12:$S150)</f>
        <v>0</v>
      </c>
      <c r="P5" s="82">
        <f>SUMIF(Data!$N12:$N150,P3,Data!$S12:$S150)</f>
        <v>0</v>
      </c>
      <c r="Q5" s="82">
        <f>SUMIF(Data!$N12:$N150,Q3,Data!$S12:$S150)</f>
        <v>0</v>
      </c>
      <c r="R5" s="82">
        <f>SUMIF(Data!$N12:$N150,R3,Data!$S12:$S150)</f>
        <v>0</v>
      </c>
      <c r="S5" s="82">
        <f>SUMIF(Data!$N12:$N150,S3,Data!$S12:$S150)</f>
        <v>0</v>
      </c>
      <c r="T5" s="82">
        <f>SUMIF(Data!$N12:$N851,T3,Data!$S12:$S851)</f>
        <v>0</v>
      </c>
      <c r="U5" s="82">
        <f>SUMIF(Data!$N12:$N851,U3,Data!$S12:$S851)</f>
        <v>0</v>
      </c>
      <c r="V5" s="82">
        <f>SUMIF(Data!$N12:$N851,V3,Data!$S12:$S851)</f>
        <v>0</v>
      </c>
      <c r="W5" s="82">
        <f>SUMIF(Data!$N12:$N851,W3,Data!$S12:$S851)</f>
        <v>0</v>
      </c>
      <c r="X5" s="82">
        <f>SUMIF(Data!$N12:$N137,X3,Data!$S12:$S137)</f>
        <v>0</v>
      </c>
      <c r="Y5" s="85">
        <f>SUMIF(Data!$N12:$N851,Y3,Data!$S12:$S851)</f>
        <v>0</v>
      </c>
      <c r="Z5" s="85">
        <f>SUMIF(Data!$N12:$N851,Z3,Data!$S12:$S851)</f>
        <v>0</v>
      </c>
      <c r="AA5" s="85">
        <f>SUMIF(Data!$N12:$N851,AA3,Data!$S12:$S851)</f>
        <v>0</v>
      </c>
      <c r="AB5" s="85">
        <f>SUMIF(Data!$N12:$N851,AB3,Data!$S12:$S851)</f>
        <v>0</v>
      </c>
      <c r="AC5" s="85">
        <f>SUMIF(Data!$N12:$N851,AC3,Data!$S12:$S851)</f>
        <v>0</v>
      </c>
      <c r="AD5" s="85">
        <f>SUMIF(Data!$N12:$N851,AD3,Data!$S12:$S851)</f>
        <v>0</v>
      </c>
      <c r="AE5" s="91">
        <f>SUMIF(Data!$N12:$N150,AE3,Data!$S12:$S150)</f>
        <v>0</v>
      </c>
      <c r="AF5" s="87">
        <f>SUMIF(Data!$N12:$N150,AF3,Data!$S12:$S150)</f>
        <v>0</v>
      </c>
      <c r="AG5" s="87">
        <f>SUMIF(Data!$N12:$N137,AG3,Data!$S12:$S137)</f>
        <v>0</v>
      </c>
      <c r="AH5" s="87">
        <f>SUMIF(Data!$N12:$N150,AH3,Data!$S12:$S150)</f>
        <v>0</v>
      </c>
      <c r="AI5" s="88">
        <f>SUMIF(Data!$N12:$N150,AI3,Data!$S12:$S150)</f>
        <v>0</v>
      </c>
      <c r="AJ5" s="89">
        <f>SUMIF(Data!$N12:$N150,AJ3,Data!$S12:$S150)</f>
        <v>0</v>
      </c>
      <c r="AK5" s="89">
        <f>SUMIF(Data!$N12:$N150,AK3,Data!$S12:$S150)</f>
        <v>0</v>
      </c>
      <c r="AL5" s="89">
        <f>SUMIF(Data!$N12:$N150,AL3,Data!$S12:$S150)</f>
        <v>0</v>
      </c>
      <c r="AM5" s="89">
        <f>SUMIF(Data!$N12:$N150,AM3,Data!$S12:$S150)</f>
        <v>0</v>
      </c>
      <c r="AN5" s="89">
        <f>SUMIF(Data!$N12:$N150,AN3,Data!$S12:$S150)</f>
        <v>0</v>
      </c>
      <c r="AO5" s="89">
        <f>SUMIF(Data!$N12:$N150,AO3,Data!$S12:$S150)</f>
        <v>0</v>
      </c>
      <c r="AP5" s="89">
        <f>SUMIF(Data!$N12:$N150,AP3,Data!$S12:$S150)</f>
        <v>0</v>
      </c>
      <c r="AQ5" s="89">
        <f>SUMIF(Data!$N12:$N150,AQ3,Data!$S12:$S150)</f>
        <v>0</v>
      </c>
      <c r="AR5" s="89">
        <f>SUMIF(Data!$N12:$N150,AR3,Data!$S12:$S150)</f>
        <v>0</v>
      </c>
      <c r="AS5" s="89">
        <f>SUMIF(Data!$N12:$N150,AS3,Data!$S12:$S150)</f>
        <v>0</v>
      </c>
      <c r="AT5" s="89">
        <f>SUMIF(Data!$N12:$N150,AT3,Data!$S12:$S150)</f>
        <v>0</v>
      </c>
      <c r="AU5" s="89">
        <f>SUMIF(Data!$N12:$N150,AU3,Data!$S12:$S150)</f>
        <v>0</v>
      </c>
      <c r="AV5" s="89">
        <f>SUMIF(Data!$N12:$N150,AV3,Data!$S12:$S150)</f>
        <v>0</v>
      </c>
      <c r="AW5" s="89">
        <f>SUMIF(Data!$N12:$N150,AW3,Data!$S12:$S150)</f>
        <v>0</v>
      </c>
      <c r="AX5" s="89">
        <f>SUMIF(Data!$N12:$N150,AX3,Data!$S12:$S150)</f>
        <v>0</v>
      </c>
      <c r="AY5" s="89">
        <f>SUMIF(Data!$N12:$N150,AY3,Data!$S12:$S150)</f>
        <v>0</v>
      </c>
      <c r="AZ5" s="89">
        <f>SUMIF(Data!$N12:$N150,AZ3,Data!$S12:$S150)</f>
        <v>0</v>
      </c>
      <c r="BA5" s="89">
        <f>SUMIF(Data!$N12:$N150,BA3,Data!$S12:$S150)</f>
        <v>0</v>
      </c>
      <c r="BB5" s="89">
        <f>SUMIF(Data!$N12:$N150,BB3,Data!$S12:$S150)</f>
        <v>0</v>
      </c>
    </row>
    <row r="6" spans="1:54" ht="15.6" customHeight="1" x14ac:dyDescent="0.3">
      <c r="A6" s="92">
        <f>SUM(C6:BB6)</f>
        <v>120330.5</v>
      </c>
      <c r="B6" s="74" t="s">
        <v>142</v>
      </c>
      <c r="C6" s="92">
        <f>SUMIF(Data!$X12:$X150,C3,Data!$AD12:$AD150)-SUMIFS(Data!$AD$12:$AD$150,Data!$X$12:$X$150,C3,Data!$R$12:$R$150,"2017-074")</f>
        <v>120330.5</v>
      </c>
      <c r="D6" s="92">
        <f>SUMIF(Data!$X12:$X150,D3,Data!$AD12:$AD150)-SUMIFS(Data!$AD$12:$AD$150,Data!$X$12:$X$150,D3,Data!$R$12:$R$150,"2017-074")</f>
        <v>0</v>
      </c>
      <c r="E6" s="92">
        <f>SUMIF(Data!$X12:$X150,E3,Data!$AD12:$AD150)-SUMIFS(Data!$AD$12:$AD$150,Data!$X$12:$X$150,E3,Data!$R$12:$R$150,"2017-074")</f>
        <v>0</v>
      </c>
      <c r="F6" s="93">
        <f>SUMIF(Data!$X12:$X150,F3,Data!$AD12:$AD150)-SUMIFS(Data!$AD$12:$AD$150,Data!$X$12:$X$150,F3,Data!$R$12:$R$150,"2017-074")</f>
        <v>0</v>
      </c>
      <c r="G6" s="92">
        <f>SUMIF(Data!$X12:$X150,G3,Data!$AD12:$AD150)-SUMIFS(Data!$AD$12:$AD$150,Data!$X$12:$X$150,G3,Data!$R$12:$R$150,"2017-074")</f>
        <v>0</v>
      </c>
      <c r="H6" s="92">
        <f>SUMIF(Data!$X12:$X150,H3,Data!$AD12:$AD150)-SUMIFS(Data!$AD$12:$AD$150,Data!$X$12:$X$150,H3,Data!$R$12:$R$150,"2017-074")</f>
        <v>0</v>
      </c>
      <c r="I6" s="92">
        <f>SUMIF(Data!$X12:$X150,I3,Data!$AD12:$AD150)-SUMIFS(Data!$AD$12:$AD$150,Data!$X$12:$X$150,I3,Data!$R$12:$R$150,"2017-074")</f>
        <v>0</v>
      </c>
      <c r="J6" s="92">
        <f>SUMIF(Data!$X12:$X150,J3,Data!$AD12:$AD150)-SUMIFS(Data!$AD$12:$AD$150,Data!$X$12:$X$150,J3,Data!$R$12:$R$150,"2017-074")</f>
        <v>0</v>
      </c>
      <c r="K6" s="92">
        <f>SUMIF(Data!$X12:$X150,K3,Data!$AD12:$AD150)-SUMIFS(Data!$AD$12:$AD$150,Data!$X$12:$X$150,K3,Data!$R$12:$R$150,"2017-074")</f>
        <v>0</v>
      </c>
      <c r="L6" s="92">
        <f>SUMIF(Data!$X12:$X150,L3,Data!$AD12:$AD150)-SUMIFS(Data!$AD$12:$AD$150,Data!$X$12:$X$150,L3,Data!$R$12:$R$150,"2017-074")</f>
        <v>0</v>
      </c>
      <c r="M6" s="92">
        <f>SUMIF(Data!$X12:$X150,M3,Data!$AD12:$AD150)-SUMIFS(Data!$AD$12:$AD$150,Data!$X$12:$X$150,M3,Data!$R$12:$R$150,"2017-074")</f>
        <v>0</v>
      </c>
      <c r="N6" s="93">
        <f>SUMIF(Data!$X12:$X150,N3,Data!$AD12:$AD150)-SUMIFS(Data!$AD$12:$AD$150,Data!$X$12:$X$150,N3,Data!$R$12:$R$150,"2017-074")</f>
        <v>0</v>
      </c>
      <c r="O6" s="92">
        <f>SUMIF(Data!$X12:$X150,O3,Data!$AD12:$AD150)-SUMIFS(Data!$AD$12:$AD$150,Data!$X$12:$X$150,O3,Data!$R$12:$R$150,"2017-074")</f>
        <v>0</v>
      </c>
      <c r="P6" s="92">
        <f>SUMIF(Data!$X12:$X150,P3,Data!$AD12:$AD150)-SUMIFS(Data!$AD$12:$AD$150,Data!$X$12:$X$150,P3,Data!$R$12:$R$150,"2017-074")</f>
        <v>0</v>
      </c>
      <c r="Q6" s="92">
        <f>SUMIF(Data!$X12:$X150,Q3,Data!$AD12:$AD150)-SUMIFS(Data!$AD$12:$AD$150,Data!$X$12:$X$150,Q3,Data!$R$12:$R$150,"2017-074")</f>
        <v>0</v>
      </c>
      <c r="R6" s="92">
        <f>SUMIF(Data!$X12:$X150,R3,Data!$AD12:$AD150)-SUMIFS(Data!$AD$12:$AD$150,Data!$X$12:$X$150,R3,Data!$R$12:$R$150,"2017-074")</f>
        <v>0</v>
      </c>
      <c r="S6" s="92">
        <f>SUMIF(Data!$X12:$X150,S3,Data!$AD12:$AD150)-SUMIFS(Data!$AD$12:$AD$150,Data!$X$12:$X$150,S3,Data!$R$12:$R$150,"2017-074")</f>
        <v>0</v>
      </c>
      <c r="T6" s="92">
        <f>SUMIF(Data!$X12:$X150,T3,Data!$AD12:$AD150)-SUMIFS(Data!$AD$12:$AD$150,Data!$X$12:$X$150,T3,Data!$R$12:$R$150,"2017-074")</f>
        <v>0</v>
      </c>
      <c r="U6" s="92">
        <f>SUMIF(Data!$X12:$X150,U3,Data!$AD12:$AD150)-SUMIFS(Data!$AD$12:$AD$150,Data!$X$12:$X$150,U3,Data!$R$12:$R$150,"2017-074")</f>
        <v>0</v>
      </c>
      <c r="V6" s="93">
        <f>SUMIF(Data!$X12:$X851,V3,Data!$AD12:$AD851)-SUMIFS(Data!$AD$12:$AD$150,Data!$X$12:$X$150,V3,Data!$R$12:$R$150,"2017-074")</f>
        <v>0</v>
      </c>
      <c r="W6" s="92">
        <f>SUMIF(Data!$X12:$X851,W3,Data!$AD12:$AD851)-SUMIFS(Data!$AD$12:$AD$150,Data!$X$12:$X$150,W3,Data!$R$12:$R$150,"2017-074")</f>
        <v>0</v>
      </c>
      <c r="X6" s="92">
        <f>SUMIF(Data!$X12:$X150,X3,Data!$AD12:$AD150)-SUMIFS(Data!$AD$12:$AD$150,Data!$X$12:$X$150,X3,Data!$R$12:$R$150,"2017-074")</f>
        <v>0</v>
      </c>
      <c r="Y6" s="94">
        <f>SUMIF(Data!$X12:$X851,Y3,Data!$AD12:$AD851)-SUMIFS(Data!$AD$12:$AD$150,Data!$X$12:$X$150,Y3,Data!$R$12:$R$150,"2017-074")</f>
        <v>0</v>
      </c>
      <c r="Z6" s="94">
        <f>SUMIF(Data!$X12:$X851,Z3,Data!$AD12:$AD851)-SUMIFS(Data!$AD$12:$AD$150,Data!$X$12:$X$150,Z3,Data!$R$12:$R$150,"2017-074")</f>
        <v>0</v>
      </c>
      <c r="AA6" s="94">
        <f>SUMIF(Data!$X12:$X851,AA3,Data!$AD12:$AD851)-SUMIFS(Data!$AD$12:$AD$150,Data!$X$12:$X$150,AA3,Data!$R$12:$R$150,"2017-074")</f>
        <v>0</v>
      </c>
      <c r="AB6" s="94">
        <f>SUMIF(Data!$X12:$X851,AB3,Data!$AD12:$AD851)-SUMIFS(Data!$AD$12:$AD$150,Data!$X$12:$X$150,AB3,Data!$R$12:$R$150,"2017-074")</f>
        <v>0</v>
      </c>
      <c r="AC6" s="94">
        <f>SUMIF(Data!$X12:$X851,AC3,Data!$AD12:$AD851)-SUMIFS(Data!$AD$12:$AD$150,Data!$X$12:$X$150,AC3,Data!$R$12:$R$150,"2017-074")</f>
        <v>0</v>
      </c>
      <c r="AD6" s="94">
        <f>SUMIF(Data!$X12:$X851,AD3,Data!$AD12:$AD851)-SUMIFS(Data!$AD$12:$AD$150,Data!$X$12:$X$150,AD3,Data!$R$12:$R$150,"2017-074")</f>
        <v>0</v>
      </c>
      <c r="AE6" s="95">
        <f>SUMIF(Data!$X12:$X150,AE3,Data!$AD12:$AD150)-SUMIFS(Data!$AD$12:$AD$150,Data!$X$12:$X$150,AE3,Data!$R$12:$R$150,"2017-074")</f>
        <v>0</v>
      </c>
      <c r="AF6" s="96">
        <f>SUMIF(Data!$X12:$X150,AF3,Data!$AD12:$AD150)-SUMIFS(Data!$AD$12:$AD$150,Data!$X$12:$X$150,AF3,Data!$R$12:$R$150,"2017-074")</f>
        <v>0</v>
      </c>
      <c r="AG6" s="96">
        <f>SUMIF(Data!$X12:$X150,AG3,Data!$AD12:$AD150)-SUMIFS(Data!$AD$12:$AD$150,Data!$X$12:$X$150,AG3,Data!$R$12:$R$150,"2017-074")</f>
        <v>0</v>
      </c>
      <c r="AH6" s="96">
        <f>SUMIF(Data!$X12:$X150,AH3,Data!$AD12:$AD150)-SUMIFS(Data!$AD$12:$AD$150,Data!$X$12:$X$150,AH3,Data!$R$12:$R$150,"2017-074")</f>
        <v>0</v>
      </c>
      <c r="AI6" s="97">
        <f>SUMIF(Data!$X12:$X150,AI3,Data!$AD12:$AD150)-SUMIFS(Data!$AD$12:$AD$150,Data!$X$12:$X$150,AI3,Data!$R$12:$R$150,"2017-074")</f>
        <v>0</v>
      </c>
      <c r="AJ6" s="98">
        <f>SUMIF(Data!$X12:$X150,AJ3,Data!$AD12:$AD150)-SUMIFS(Data!$AD$12:$AD$150,Data!$X$12:$X$150,AJ3,Data!$R$12:$R$150,"2017-074")</f>
        <v>0</v>
      </c>
      <c r="AK6" s="98">
        <f>SUMIF(Data!$X12:$X150,AK3,Data!$AD12:$AD150)-SUMIFS(Data!$AD$12:$AD$150,Data!$X$12:$X$150,AK3,Data!$R$12:$R$150,"2017-074")</f>
        <v>0</v>
      </c>
      <c r="AL6" s="98">
        <f>SUMIF(Data!$X12:$X150,AL3,Data!$AD12:$AD150)-SUMIFS(Data!$AD$12:$AD$150,Data!$X$12:$X$150,AL3,Data!$R$12:$R$150,"2017-074")</f>
        <v>0</v>
      </c>
      <c r="AM6" s="98">
        <f>SUMIF(Data!$X12:$X150,AM3,Data!$AD12:$AD150)-SUMIFS(Data!$AD$12:$AD$150,Data!$X$12:$X$150,AM3,Data!$R$12:$R$150,"2017-074")</f>
        <v>0</v>
      </c>
      <c r="AN6" s="98">
        <f>SUMIF(Data!$X12:$X150,AN3,Data!$AD12:$AD150)-SUMIFS(Data!$AD$12:$AD$150,Data!$X$12:$X$150,AN3,Data!$R$12:$R$150,"2017-074")</f>
        <v>0</v>
      </c>
      <c r="AO6" s="98">
        <f>SUMIF(Data!$X12:$X150,AO3,Data!$AD12:$AD150)-SUMIFS(Data!$AD$12:$AD$150,Data!$X$12:$X$150,AO3,Data!$R$12:$R$150,"2017-074")</f>
        <v>0</v>
      </c>
      <c r="AP6" s="98">
        <f>SUMIF(Data!$X12:$X150,AP3,Data!$AD12:$AD150)-SUMIFS(Data!$AD$12:$AD$150,Data!$X$12:$X$150,AP3,Data!$R$12:$R$150,"2017-074")</f>
        <v>0</v>
      </c>
      <c r="AQ6" s="98">
        <f>SUMIF(Data!$X12:$X150,AQ3,Data!$AD12:$AD150)-SUMIFS(Data!$AD$12:$AD$150,Data!$X$12:$X$150,AQ3,Data!$R$12:$R$150,"2017-074")</f>
        <v>0</v>
      </c>
      <c r="AR6" s="98">
        <f>SUMIF(Data!$X12:$X150,AR3,Data!$AD12:$AD150)-SUMIFS(Data!$AD$12:$AD$150,Data!$X$12:$X$150,AR3,Data!$R$12:$R$150,"2017-074")</f>
        <v>0</v>
      </c>
      <c r="AS6" s="98">
        <f>SUMIF(Data!$X12:$X150,AS3,Data!$AD12:$AD150)-SUMIFS(Data!$AD$12:$AD$150,Data!$X$12:$X$150,AS3,Data!$R$12:$R$150,"2017-074")</f>
        <v>0</v>
      </c>
      <c r="AT6" s="98">
        <f>SUMIF(Data!$X12:$X150,AT3,Data!$AD12:$AD150)-SUMIFS(Data!$AD$12:$AD$150,Data!$X$12:$X$150,AT3,Data!$R$12:$R$150,"2017-074")</f>
        <v>0</v>
      </c>
      <c r="AU6" s="98">
        <f>SUMIF(Data!$X12:$X150,AU3,Data!$AD12:$AD150)-SUMIFS(Data!$AD$12:$AD$150,Data!$X$12:$X$150,AU3,Data!$R$12:$R$150,"2017-074")</f>
        <v>0</v>
      </c>
      <c r="AV6" s="98">
        <f>SUMIF(Data!$X12:$X150,AV3,Data!$AD12:$AD150)-SUMIFS(Data!$AD$12:$AD$150,Data!$X$12:$X$150,AV3,Data!$R$12:$R$150,"2017-074")</f>
        <v>0</v>
      </c>
      <c r="AW6" s="98">
        <f>SUMIF(Data!$X12:$X150,AW3,Data!$AD12:$AD150)-SUMIFS(Data!$AD$12:$AD$150,Data!$X$12:$X$150,AW3,Data!$R$12:$R$150,"2017-074")</f>
        <v>0</v>
      </c>
      <c r="AX6" s="98">
        <f>SUMIF(Data!$X12:$X150,AX3,Data!$AD12:$AD150)-SUMIFS(Data!$AD$12:$AD$150,Data!$X$12:$X$150,AX3,Data!$R$12:$R$150,"2017-074")</f>
        <v>0</v>
      </c>
      <c r="AY6" s="98">
        <f>SUMIF(Data!$X12:$X150,AY3,Data!$AD12:$AD150)-SUMIFS(Data!$AD$12:$AD$150,Data!$X$12:$X$150,AY3,Data!$R$12:$R$150,"2017-074")</f>
        <v>0</v>
      </c>
      <c r="AZ6" s="98">
        <f>SUMIF(Data!$X12:$X150,AZ3,Data!$AD12:$AD150)-SUMIFS(Data!$AD$12:$AD$150,Data!$X$12:$X$150,AZ3,Data!$R$12:$R$150,"2017-074")</f>
        <v>0</v>
      </c>
      <c r="BA6" s="98">
        <f>SUMIF(Data!$X12:$X150,BA3,Data!$AD12:$AD150)-SUMIFS(Data!$AD$12:$AD$150,Data!$X$12:$X$150,BA3,Data!$R$12:$R$150,"2017-074")</f>
        <v>0</v>
      </c>
      <c r="BB6" s="98">
        <f>SUMIF(Data!$X12:$X150,BB3,Data!$AD12:$AD150)-SUMIFS(Data!$AD$12:$AD$150,Data!$X$12:$X$150,BB3,Data!$R$12:$R$150,"2017-074")</f>
        <v>0</v>
      </c>
    </row>
    <row r="7" spans="1:54" ht="15.6" customHeight="1" x14ac:dyDescent="0.3">
      <c r="A7" s="3"/>
      <c r="B7" s="83" t="s">
        <v>143</v>
      </c>
      <c r="C7" s="82">
        <f>'Weekly Data'!C5</f>
        <v>0</v>
      </c>
      <c r="D7" s="82">
        <f>'Weekly Data'!D5</f>
        <v>0</v>
      </c>
      <c r="E7" s="82">
        <f>'Weekly Data'!E5</f>
        <v>0</v>
      </c>
      <c r="F7" s="82">
        <f>'Weekly Data'!F5</f>
        <v>0</v>
      </c>
      <c r="G7" s="82">
        <f>'Weekly Data'!G5</f>
        <v>0</v>
      </c>
      <c r="H7" s="82">
        <f>'Weekly Data'!H5</f>
        <v>0</v>
      </c>
      <c r="I7" s="82">
        <f>'Weekly Data'!I5</f>
        <v>0</v>
      </c>
      <c r="J7" s="82">
        <f>'Weekly Data'!J5</f>
        <v>0</v>
      </c>
      <c r="K7" s="82">
        <f>'Weekly Data'!K5</f>
        <v>0</v>
      </c>
      <c r="L7" s="82">
        <f>'Weekly Data'!L5</f>
        <v>0</v>
      </c>
      <c r="M7" s="82">
        <f>'Weekly Data'!M5</f>
        <v>0</v>
      </c>
      <c r="N7" s="82">
        <f>'Weekly Data'!N5</f>
        <v>0</v>
      </c>
      <c r="O7" s="82">
        <f>'Weekly Data'!O5</f>
        <v>0</v>
      </c>
      <c r="P7" s="82">
        <f>'Weekly Data'!P5</f>
        <v>0</v>
      </c>
      <c r="Q7" s="82">
        <f>'Weekly Data'!Q5</f>
        <v>0</v>
      </c>
      <c r="R7" s="82">
        <f>'Weekly Data'!R5</f>
        <v>0</v>
      </c>
      <c r="S7" s="82">
        <f>'Weekly Data'!S5</f>
        <v>0</v>
      </c>
      <c r="T7" s="82">
        <f>'Weekly Data'!T5</f>
        <v>0</v>
      </c>
      <c r="U7" s="82">
        <f>'Weekly Data'!U5</f>
        <v>0</v>
      </c>
      <c r="V7" s="82">
        <f>'Weekly Data'!V5</f>
        <v>0</v>
      </c>
      <c r="W7" s="82">
        <f>'Weekly Data'!W5</f>
        <v>0</v>
      </c>
      <c r="X7" s="82">
        <f>'Weekly Data'!X5</f>
        <v>0</v>
      </c>
      <c r="Y7" s="82">
        <f>'Weekly Data'!Y5</f>
        <v>0</v>
      </c>
      <c r="Z7" s="82">
        <f>'Weekly Data'!Z5</f>
        <v>0</v>
      </c>
      <c r="AA7" s="82">
        <f>'Weekly Data'!AA5</f>
        <v>0</v>
      </c>
      <c r="AB7" s="82">
        <f>'Weekly Data'!AB5</f>
        <v>0</v>
      </c>
      <c r="AC7" s="82">
        <f>'Weekly Data'!AC5</f>
        <v>0</v>
      </c>
      <c r="AD7" s="82">
        <f>'Weekly Data'!AD5</f>
        <v>0</v>
      </c>
      <c r="AE7" s="82">
        <f>'Weekly Data'!AE5</f>
        <v>0</v>
      </c>
      <c r="AF7" s="82">
        <f>'Weekly Data'!AF5</f>
        <v>0</v>
      </c>
      <c r="AG7" s="82">
        <f>'Weekly Data'!AG5</f>
        <v>0</v>
      </c>
      <c r="AH7" s="82">
        <f>'Weekly Data'!AH5</f>
        <v>0</v>
      </c>
      <c r="AI7" s="82">
        <f>'Weekly Data'!AI5</f>
        <v>0</v>
      </c>
      <c r="AJ7" s="82">
        <f>'Weekly Data'!AJ5</f>
        <v>0</v>
      </c>
      <c r="AK7" s="82">
        <f>'Weekly Data'!AK5</f>
        <v>0</v>
      </c>
      <c r="AL7" s="82">
        <f>'Weekly Data'!AL5</f>
        <v>0</v>
      </c>
      <c r="AM7" s="82">
        <f>'Weekly Data'!AM5</f>
        <v>0</v>
      </c>
      <c r="AN7" s="82">
        <f>'Weekly Data'!AN5</f>
        <v>0</v>
      </c>
      <c r="AO7" s="82">
        <f>'Weekly Data'!AO5</f>
        <v>0</v>
      </c>
      <c r="AP7" s="82">
        <f>'Weekly Data'!AP5</f>
        <v>0</v>
      </c>
      <c r="AQ7" s="82">
        <f>'Weekly Data'!AQ5</f>
        <v>0</v>
      </c>
      <c r="AR7" s="82">
        <f>'Weekly Data'!AR5</f>
        <v>0</v>
      </c>
      <c r="AS7" s="82">
        <f>'Weekly Data'!AS5</f>
        <v>0</v>
      </c>
      <c r="AT7" s="82">
        <f>'Weekly Data'!AT5</f>
        <v>0</v>
      </c>
      <c r="AU7" s="82">
        <f>'Weekly Data'!AU5</f>
        <v>0</v>
      </c>
      <c r="AV7" s="82">
        <f>'Weekly Data'!AV5</f>
        <v>0</v>
      </c>
      <c r="AW7" s="82">
        <f>'Weekly Data'!AW5</f>
        <v>0</v>
      </c>
      <c r="AX7" s="82">
        <f>'Weekly Data'!AX5</f>
        <v>0</v>
      </c>
      <c r="AY7" s="82">
        <f>'Weekly Data'!AY5</f>
        <v>0</v>
      </c>
      <c r="AZ7" s="82">
        <f>'Weekly Data'!AZ5</f>
        <v>0</v>
      </c>
      <c r="BA7" s="82">
        <f>'Weekly Data'!BA5</f>
        <v>0</v>
      </c>
      <c r="BB7" s="82">
        <f>'Weekly Data'!BB5</f>
        <v>0</v>
      </c>
    </row>
    <row r="8" spans="1:54" ht="15.6" customHeight="1" x14ac:dyDescent="0.3">
      <c r="A8" s="3"/>
      <c r="B8" s="83" t="s">
        <v>144</v>
      </c>
      <c r="C8" s="82">
        <f>'Weekly Data'!C6</f>
        <v>0</v>
      </c>
      <c r="D8" s="82">
        <f>'Weekly Data'!D6</f>
        <v>0</v>
      </c>
      <c r="E8" s="82">
        <f>'Weekly Data'!E6</f>
        <v>0</v>
      </c>
      <c r="F8" s="82">
        <f>'Weekly Data'!F6</f>
        <v>0</v>
      </c>
      <c r="G8" s="82">
        <f>'Weekly Data'!G6</f>
        <v>0</v>
      </c>
      <c r="H8" s="82">
        <f>'Weekly Data'!H6</f>
        <v>0</v>
      </c>
      <c r="I8" s="82">
        <f>'Weekly Data'!I6</f>
        <v>0</v>
      </c>
      <c r="J8" s="82">
        <f>'Weekly Data'!J6</f>
        <v>0</v>
      </c>
      <c r="K8" s="82">
        <f>'Weekly Data'!K6</f>
        <v>0</v>
      </c>
      <c r="L8" s="82">
        <f>'Weekly Data'!L6</f>
        <v>0</v>
      </c>
      <c r="M8" s="82">
        <f>'Weekly Data'!M6</f>
        <v>0</v>
      </c>
      <c r="N8" s="82">
        <f>'Weekly Data'!N6</f>
        <v>0</v>
      </c>
      <c r="O8" s="82">
        <f>'Weekly Data'!O6</f>
        <v>0</v>
      </c>
      <c r="P8" s="82">
        <f>'Weekly Data'!P6</f>
        <v>0</v>
      </c>
      <c r="Q8" s="82">
        <f>'Weekly Data'!Q6</f>
        <v>0</v>
      </c>
      <c r="R8" s="82">
        <f>'Weekly Data'!R6</f>
        <v>0</v>
      </c>
      <c r="S8" s="82">
        <f>'Weekly Data'!S6</f>
        <v>0</v>
      </c>
      <c r="T8" s="82">
        <f>'Weekly Data'!T6</f>
        <v>0</v>
      </c>
      <c r="U8" s="82">
        <f>'Weekly Data'!U6</f>
        <v>0</v>
      </c>
      <c r="V8" s="82">
        <f>'Weekly Data'!V6</f>
        <v>0</v>
      </c>
      <c r="W8" s="82">
        <f>'Weekly Data'!W6</f>
        <v>0</v>
      </c>
      <c r="X8" s="82">
        <f>'Weekly Data'!X6</f>
        <v>0</v>
      </c>
      <c r="Y8" s="82">
        <f>'Weekly Data'!Y6</f>
        <v>0</v>
      </c>
      <c r="Z8" s="82">
        <f>'Weekly Data'!Z6</f>
        <v>0</v>
      </c>
      <c r="AA8" s="82">
        <f>'Weekly Data'!AA6</f>
        <v>0</v>
      </c>
      <c r="AB8" s="82">
        <f>'Weekly Data'!AB6</f>
        <v>0</v>
      </c>
      <c r="AC8" s="82">
        <f>'Weekly Data'!AC6</f>
        <v>0</v>
      </c>
      <c r="AD8" s="82">
        <f>'Weekly Data'!AD6</f>
        <v>0</v>
      </c>
      <c r="AE8" s="82">
        <f>'Weekly Data'!AE6</f>
        <v>0</v>
      </c>
      <c r="AF8" s="82">
        <f>'Weekly Data'!AF6</f>
        <v>0</v>
      </c>
      <c r="AG8" s="82">
        <f>'Weekly Data'!AG6</f>
        <v>0</v>
      </c>
      <c r="AH8" s="82">
        <f>'Weekly Data'!AH6</f>
        <v>0</v>
      </c>
      <c r="AI8" s="82">
        <f>'Weekly Data'!AI6</f>
        <v>0</v>
      </c>
      <c r="AJ8" s="82">
        <f>'Weekly Data'!AJ6</f>
        <v>0</v>
      </c>
      <c r="AK8" s="82">
        <f>'Weekly Data'!AK6</f>
        <v>0</v>
      </c>
      <c r="AL8" s="82">
        <f>'Weekly Data'!AL6</f>
        <v>0</v>
      </c>
      <c r="AM8" s="82">
        <f>'Weekly Data'!AM6</f>
        <v>0</v>
      </c>
      <c r="AN8" s="82">
        <f>'Weekly Data'!AN6</f>
        <v>0</v>
      </c>
      <c r="AO8" s="82">
        <f>'Weekly Data'!AO6</f>
        <v>0</v>
      </c>
      <c r="AP8" s="82">
        <f>'Weekly Data'!AP6</f>
        <v>0</v>
      </c>
      <c r="AQ8" s="82">
        <f>'Weekly Data'!AQ6</f>
        <v>0</v>
      </c>
      <c r="AR8" s="82">
        <f>'Weekly Data'!AR6</f>
        <v>0</v>
      </c>
      <c r="AS8" s="82">
        <f>'Weekly Data'!AS6</f>
        <v>0</v>
      </c>
      <c r="AT8" s="82">
        <f>'Weekly Data'!AT6</f>
        <v>0</v>
      </c>
      <c r="AU8" s="82">
        <f>'Weekly Data'!AU6</f>
        <v>0</v>
      </c>
      <c r="AV8" s="82">
        <f>'Weekly Data'!AV6</f>
        <v>0</v>
      </c>
      <c r="AW8" s="82">
        <f>'Weekly Data'!AW6</f>
        <v>0</v>
      </c>
      <c r="AX8" s="82">
        <f>'Weekly Data'!AX6</f>
        <v>0</v>
      </c>
      <c r="AY8" s="82">
        <f>'Weekly Data'!AY6</f>
        <v>0</v>
      </c>
      <c r="AZ8" s="82">
        <f>'Weekly Data'!AZ6</f>
        <v>0</v>
      </c>
      <c r="BA8" s="82">
        <f>'Weekly Data'!BA6</f>
        <v>0</v>
      </c>
      <c r="BB8" s="82">
        <f>'Weekly Data'!BB6</f>
        <v>0</v>
      </c>
    </row>
    <row r="9" spans="1:54" ht="15.6" customHeight="1" x14ac:dyDescent="0.3">
      <c r="A9" s="3"/>
      <c r="B9" s="83" t="s">
        <v>145</v>
      </c>
      <c r="C9" s="82">
        <f t="shared" ref="C9:AV9" si="0">C5-C7</f>
        <v>201876</v>
      </c>
      <c r="D9" s="82">
        <f t="shared" si="0"/>
        <v>0</v>
      </c>
      <c r="E9" s="82">
        <f t="shared" si="0"/>
        <v>0</v>
      </c>
      <c r="F9" s="82">
        <f t="shared" si="0"/>
        <v>0</v>
      </c>
      <c r="G9" s="82">
        <f t="shared" si="0"/>
        <v>0</v>
      </c>
      <c r="H9" s="82">
        <f t="shared" si="0"/>
        <v>0</v>
      </c>
      <c r="I9" s="82">
        <f t="shared" si="0"/>
        <v>0</v>
      </c>
      <c r="J9" s="82">
        <f t="shared" si="0"/>
        <v>0</v>
      </c>
      <c r="K9" s="82">
        <f t="shared" si="0"/>
        <v>0</v>
      </c>
      <c r="L9" s="82">
        <f t="shared" si="0"/>
        <v>0</v>
      </c>
      <c r="M9" s="82">
        <f t="shared" si="0"/>
        <v>0</v>
      </c>
      <c r="N9" s="82">
        <f t="shared" si="0"/>
        <v>0</v>
      </c>
      <c r="O9" s="82">
        <f t="shared" si="0"/>
        <v>0</v>
      </c>
      <c r="P9" s="82">
        <f t="shared" si="0"/>
        <v>0</v>
      </c>
      <c r="Q9" s="82">
        <f t="shared" si="0"/>
        <v>0</v>
      </c>
      <c r="R9" s="82">
        <f t="shared" si="0"/>
        <v>0</v>
      </c>
      <c r="S9" s="82">
        <f t="shared" si="0"/>
        <v>0</v>
      </c>
      <c r="T9" s="82">
        <f t="shared" si="0"/>
        <v>0</v>
      </c>
      <c r="U9" s="82">
        <f t="shared" si="0"/>
        <v>0</v>
      </c>
      <c r="V9" s="82">
        <f t="shared" si="0"/>
        <v>0</v>
      </c>
      <c r="W9" s="82">
        <f t="shared" si="0"/>
        <v>0</v>
      </c>
      <c r="X9" s="82">
        <f t="shared" si="0"/>
        <v>0</v>
      </c>
      <c r="Y9" s="82">
        <f t="shared" si="0"/>
        <v>0</v>
      </c>
      <c r="Z9" s="82">
        <f t="shared" si="0"/>
        <v>0</v>
      </c>
      <c r="AA9" s="82">
        <f t="shared" si="0"/>
        <v>0</v>
      </c>
      <c r="AB9" s="82">
        <f t="shared" si="0"/>
        <v>0</v>
      </c>
      <c r="AC9" s="82">
        <f t="shared" si="0"/>
        <v>0</v>
      </c>
      <c r="AD9" s="99">
        <f t="shared" si="0"/>
        <v>0</v>
      </c>
      <c r="AE9" s="82">
        <f t="shared" si="0"/>
        <v>0</v>
      </c>
      <c r="AF9" s="82">
        <f t="shared" si="0"/>
        <v>0</v>
      </c>
      <c r="AG9" s="82">
        <f t="shared" si="0"/>
        <v>0</v>
      </c>
      <c r="AH9" s="82">
        <f t="shared" si="0"/>
        <v>0</v>
      </c>
      <c r="AI9" s="82">
        <f t="shared" si="0"/>
        <v>0</v>
      </c>
      <c r="AJ9" s="82">
        <f t="shared" si="0"/>
        <v>0</v>
      </c>
      <c r="AK9" s="82">
        <f t="shared" si="0"/>
        <v>0</v>
      </c>
      <c r="AL9" s="82">
        <f t="shared" si="0"/>
        <v>0</v>
      </c>
      <c r="AM9" s="82">
        <f t="shared" si="0"/>
        <v>0</v>
      </c>
      <c r="AN9" s="82">
        <f t="shared" si="0"/>
        <v>0</v>
      </c>
      <c r="AO9" s="82">
        <f t="shared" si="0"/>
        <v>0</v>
      </c>
      <c r="AP9" s="82">
        <f t="shared" si="0"/>
        <v>0</v>
      </c>
      <c r="AQ9" s="82">
        <f t="shared" si="0"/>
        <v>0</v>
      </c>
      <c r="AR9" s="82">
        <f t="shared" si="0"/>
        <v>0</v>
      </c>
      <c r="AS9" s="82">
        <f t="shared" si="0"/>
        <v>0</v>
      </c>
      <c r="AT9" s="82">
        <f t="shared" si="0"/>
        <v>0</v>
      </c>
      <c r="AU9" s="82">
        <f t="shared" si="0"/>
        <v>0</v>
      </c>
      <c r="AV9" s="82">
        <f t="shared" si="0"/>
        <v>0</v>
      </c>
      <c r="AW9" s="3"/>
      <c r="AX9" s="3"/>
      <c r="AY9" s="3"/>
      <c r="AZ9" s="3"/>
      <c r="BA9" s="3"/>
      <c r="BB9" s="3"/>
    </row>
    <row r="10" spans="1:54" ht="15.6" customHeight="1" x14ac:dyDescent="0.3">
      <c r="A10" s="3"/>
      <c r="B10" s="83" t="s">
        <v>146</v>
      </c>
      <c r="C10" s="82">
        <f>C4</f>
        <v>289916.40000000002</v>
      </c>
      <c r="D10" s="82">
        <f t="shared" ref="D10:AV10" si="1">D4+C10</f>
        <v>289916.40000000002</v>
      </c>
      <c r="E10" s="82">
        <f t="shared" si="1"/>
        <v>289916.40000000002</v>
      </c>
      <c r="F10" s="82">
        <f t="shared" si="1"/>
        <v>289916.40000000002</v>
      </c>
      <c r="G10" s="82">
        <f t="shared" si="1"/>
        <v>289916.40000000002</v>
      </c>
      <c r="H10" s="82">
        <f t="shared" si="1"/>
        <v>289916.40000000002</v>
      </c>
      <c r="I10" s="82">
        <f t="shared" si="1"/>
        <v>289916.40000000002</v>
      </c>
      <c r="J10" s="82">
        <f t="shared" si="1"/>
        <v>289916.40000000002</v>
      </c>
      <c r="K10" s="82">
        <f t="shared" si="1"/>
        <v>289916.40000000002</v>
      </c>
      <c r="L10" s="82">
        <f t="shared" si="1"/>
        <v>289916.40000000002</v>
      </c>
      <c r="M10" s="82">
        <f t="shared" si="1"/>
        <v>289916.40000000002</v>
      </c>
      <c r="N10" s="82">
        <f t="shared" si="1"/>
        <v>289916.40000000002</v>
      </c>
      <c r="O10" s="82">
        <f t="shared" si="1"/>
        <v>289916.40000000002</v>
      </c>
      <c r="P10" s="82">
        <f t="shared" si="1"/>
        <v>289916.40000000002</v>
      </c>
      <c r="Q10" s="82">
        <f t="shared" si="1"/>
        <v>289916.40000000002</v>
      </c>
      <c r="R10" s="82">
        <f t="shared" si="1"/>
        <v>289916.40000000002</v>
      </c>
      <c r="S10" s="82">
        <f t="shared" si="1"/>
        <v>289916.40000000002</v>
      </c>
      <c r="T10" s="82">
        <f t="shared" si="1"/>
        <v>289916.40000000002</v>
      </c>
      <c r="U10" s="82">
        <f t="shared" si="1"/>
        <v>289916.40000000002</v>
      </c>
      <c r="V10" s="82">
        <f t="shared" si="1"/>
        <v>289916.40000000002</v>
      </c>
      <c r="W10" s="82">
        <f t="shared" si="1"/>
        <v>289916.40000000002</v>
      </c>
      <c r="X10" s="82">
        <f t="shared" si="1"/>
        <v>289916.40000000002</v>
      </c>
      <c r="Y10" s="82">
        <f t="shared" si="1"/>
        <v>289916.40000000002</v>
      </c>
      <c r="Z10" s="82">
        <f t="shared" si="1"/>
        <v>289916.40000000002</v>
      </c>
      <c r="AA10" s="82">
        <f t="shared" si="1"/>
        <v>289916.40000000002</v>
      </c>
      <c r="AB10" s="82">
        <f t="shared" si="1"/>
        <v>289916.40000000002</v>
      </c>
      <c r="AC10" s="82">
        <f t="shared" si="1"/>
        <v>289916.40000000002</v>
      </c>
      <c r="AD10" s="99">
        <f t="shared" si="1"/>
        <v>289916.40000000002</v>
      </c>
      <c r="AE10" s="82">
        <f t="shared" si="1"/>
        <v>289916.40000000002</v>
      </c>
      <c r="AF10" s="82">
        <f t="shared" si="1"/>
        <v>289916.40000000002</v>
      </c>
      <c r="AG10" s="82">
        <f t="shared" si="1"/>
        <v>289916.40000000002</v>
      </c>
      <c r="AH10" s="82">
        <f t="shared" si="1"/>
        <v>289916.40000000002</v>
      </c>
      <c r="AI10" s="82">
        <f t="shared" si="1"/>
        <v>289916.40000000002</v>
      </c>
      <c r="AJ10" s="82">
        <f t="shared" si="1"/>
        <v>289916.40000000002</v>
      </c>
      <c r="AK10" s="82">
        <f t="shared" si="1"/>
        <v>289916.40000000002</v>
      </c>
      <c r="AL10" s="82">
        <f t="shared" si="1"/>
        <v>289916.40000000002</v>
      </c>
      <c r="AM10" s="82">
        <f t="shared" si="1"/>
        <v>289916.40000000002</v>
      </c>
      <c r="AN10" s="82">
        <f t="shared" si="1"/>
        <v>289916.40000000002</v>
      </c>
      <c r="AO10" s="82">
        <f t="shared" si="1"/>
        <v>289916.40000000002</v>
      </c>
      <c r="AP10" s="82">
        <f t="shared" si="1"/>
        <v>289916.40000000002</v>
      </c>
      <c r="AQ10" s="82">
        <f t="shared" si="1"/>
        <v>289916.40000000002</v>
      </c>
      <c r="AR10" s="82">
        <f t="shared" si="1"/>
        <v>289916.40000000002</v>
      </c>
      <c r="AS10" s="82">
        <f t="shared" si="1"/>
        <v>289916.40000000002</v>
      </c>
      <c r="AT10" s="82">
        <f t="shared" si="1"/>
        <v>289916.40000000002</v>
      </c>
      <c r="AU10" s="82">
        <f t="shared" si="1"/>
        <v>289916.40000000002</v>
      </c>
      <c r="AV10" s="82">
        <f t="shared" si="1"/>
        <v>289916.40000000002</v>
      </c>
      <c r="AW10" s="3"/>
      <c r="AX10" s="3"/>
      <c r="AY10" s="3"/>
      <c r="AZ10" s="3"/>
      <c r="BA10" s="3"/>
      <c r="BB10" s="3"/>
    </row>
    <row r="11" spans="1:54" ht="15.6" customHeight="1" x14ac:dyDescent="0.3">
      <c r="A11" s="3"/>
      <c r="B11" s="83" t="s">
        <v>147</v>
      </c>
      <c r="C11" s="82">
        <f>C5</f>
        <v>201876</v>
      </c>
      <c r="D11" s="82">
        <f t="shared" ref="D11:AV11" si="2">D5+C11</f>
        <v>201876</v>
      </c>
      <c r="E11" s="82">
        <f t="shared" si="2"/>
        <v>201876</v>
      </c>
      <c r="F11" s="82">
        <f t="shared" si="2"/>
        <v>201876</v>
      </c>
      <c r="G11" s="82">
        <f t="shared" si="2"/>
        <v>201876</v>
      </c>
      <c r="H11" s="82">
        <f t="shared" si="2"/>
        <v>201876</v>
      </c>
      <c r="I11" s="82">
        <f t="shared" si="2"/>
        <v>201876</v>
      </c>
      <c r="J11" s="82">
        <f t="shared" si="2"/>
        <v>201876</v>
      </c>
      <c r="K11" s="82">
        <f t="shared" si="2"/>
        <v>201876</v>
      </c>
      <c r="L11" s="82">
        <f t="shared" si="2"/>
        <v>201876</v>
      </c>
      <c r="M11" s="82">
        <f t="shared" si="2"/>
        <v>201876</v>
      </c>
      <c r="N11" s="82">
        <f t="shared" si="2"/>
        <v>201876</v>
      </c>
      <c r="O11" s="82">
        <f t="shared" si="2"/>
        <v>201876</v>
      </c>
      <c r="P11" s="82">
        <f t="shared" si="2"/>
        <v>201876</v>
      </c>
      <c r="Q11" s="82">
        <f t="shared" si="2"/>
        <v>201876</v>
      </c>
      <c r="R11" s="82">
        <f t="shared" si="2"/>
        <v>201876</v>
      </c>
      <c r="S11" s="82">
        <f t="shared" si="2"/>
        <v>201876</v>
      </c>
      <c r="T11" s="82">
        <f t="shared" si="2"/>
        <v>201876</v>
      </c>
      <c r="U11" s="82">
        <f t="shared" si="2"/>
        <v>201876</v>
      </c>
      <c r="V11" s="82">
        <f t="shared" si="2"/>
        <v>201876</v>
      </c>
      <c r="W11" s="82">
        <f t="shared" si="2"/>
        <v>201876</v>
      </c>
      <c r="X11" s="82">
        <f t="shared" si="2"/>
        <v>201876</v>
      </c>
      <c r="Y11" s="82">
        <f t="shared" si="2"/>
        <v>201876</v>
      </c>
      <c r="Z11" s="82">
        <f t="shared" si="2"/>
        <v>201876</v>
      </c>
      <c r="AA11" s="82">
        <f t="shared" si="2"/>
        <v>201876</v>
      </c>
      <c r="AB11" s="82">
        <f t="shared" si="2"/>
        <v>201876</v>
      </c>
      <c r="AC11" s="82">
        <f t="shared" si="2"/>
        <v>201876</v>
      </c>
      <c r="AD11" s="99">
        <f t="shared" si="2"/>
        <v>201876</v>
      </c>
      <c r="AE11" s="82">
        <f t="shared" si="2"/>
        <v>201876</v>
      </c>
      <c r="AF11" s="82">
        <f t="shared" si="2"/>
        <v>201876</v>
      </c>
      <c r="AG11" s="82">
        <f t="shared" si="2"/>
        <v>201876</v>
      </c>
      <c r="AH11" s="82">
        <f t="shared" si="2"/>
        <v>201876</v>
      </c>
      <c r="AI11" s="82">
        <f t="shared" si="2"/>
        <v>201876</v>
      </c>
      <c r="AJ11" s="82">
        <f t="shared" si="2"/>
        <v>201876</v>
      </c>
      <c r="AK11" s="82">
        <f t="shared" si="2"/>
        <v>201876</v>
      </c>
      <c r="AL11" s="82">
        <f t="shared" si="2"/>
        <v>201876</v>
      </c>
      <c r="AM11" s="82">
        <f t="shared" si="2"/>
        <v>201876</v>
      </c>
      <c r="AN11" s="82">
        <f t="shared" si="2"/>
        <v>201876</v>
      </c>
      <c r="AO11" s="82">
        <f t="shared" si="2"/>
        <v>201876</v>
      </c>
      <c r="AP11" s="82">
        <f t="shared" si="2"/>
        <v>201876</v>
      </c>
      <c r="AQ11" s="82">
        <f t="shared" si="2"/>
        <v>201876</v>
      </c>
      <c r="AR11" s="82">
        <f t="shared" si="2"/>
        <v>201876</v>
      </c>
      <c r="AS11" s="82">
        <f t="shared" si="2"/>
        <v>201876</v>
      </c>
      <c r="AT11" s="82">
        <f t="shared" si="2"/>
        <v>201876</v>
      </c>
      <c r="AU11" s="82">
        <f t="shared" si="2"/>
        <v>201876</v>
      </c>
      <c r="AV11" s="82">
        <f t="shared" si="2"/>
        <v>201876</v>
      </c>
      <c r="AW11" s="3"/>
      <c r="AX11" s="3"/>
      <c r="AY11" s="3"/>
      <c r="AZ11" s="3"/>
      <c r="BA11" s="3"/>
      <c r="BB11" s="3"/>
    </row>
    <row r="12" spans="1:54" ht="15.6" customHeight="1" x14ac:dyDescent="0.3">
      <c r="A12" s="3"/>
      <c r="B12" s="83" t="s">
        <v>148</v>
      </c>
      <c r="C12" s="82">
        <f>C6</f>
        <v>120330.5</v>
      </c>
      <c r="D12" s="82">
        <f t="shared" ref="D12:AV12" si="3">D6+C12</f>
        <v>120330.5</v>
      </c>
      <c r="E12" s="82">
        <f t="shared" si="3"/>
        <v>120330.5</v>
      </c>
      <c r="F12" s="82">
        <f t="shared" si="3"/>
        <v>120330.5</v>
      </c>
      <c r="G12" s="82">
        <f t="shared" si="3"/>
        <v>120330.5</v>
      </c>
      <c r="H12" s="82">
        <f t="shared" si="3"/>
        <v>120330.5</v>
      </c>
      <c r="I12" s="82">
        <f t="shared" si="3"/>
        <v>120330.5</v>
      </c>
      <c r="J12" s="82">
        <f t="shared" si="3"/>
        <v>120330.5</v>
      </c>
      <c r="K12" s="82">
        <f t="shared" si="3"/>
        <v>120330.5</v>
      </c>
      <c r="L12" s="82">
        <f t="shared" si="3"/>
        <v>120330.5</v>
      </c>
      <c r="M12" s="82">
        <f t="shared" si="3"/>
        <v>120330.5</v>
      </c>
      <c r="N12" s="82">
        <f t="shared" si="3"/>
        <v>120330.5</v>
      </c>
      <c r="O12" s="82">
        <f t="shared" si="3"/>
        <v>120330.5</v>
      </c>
      <c r="P12" s="82">
        <f t="shared" si="3"/>
        <v>120330.5</v>
      </c>
      <c r="Q12" s="82">
        <f t="shared" si="3"/>
        <v>120330.5</v>
      </c>
      <c r="R12" s="82">
        <f t="shared" si="3"/>
        <v>120330.5</v>
      </c>
      <c r="S12" s="82">
        <f t="shared" si="3"/>
        <v>120330.5</v>
      </c>
      <c r="T12" s="82">
        <f t="shared" si="3"/>
        <v>120330.5</v>
      </c>
      <c r="U12" s="82">
        <f t="shared" si="3"/>
        <v>120330.5</v>
      </c>
      <c r="V12" s="82">
        <f t="shared" si="3"/>
        <v>120330.5</v>
      </c>
      <c r="W12" s="82">
        <f t="shared" si="3"/>
        <v>120330.5</v>
      </c>
      <c r="X12" s="82">
        <f t="shared" si="3"/>
        <v>120330.5</v>
      </c>
      <c r="Y12" s="82">
        <f t="shared" si="3"/>
        <v>120330.5</v>
      </c>
      <c r="Z12" s="82">
        <f t="shared" si="3"/>
        <v>120330.5</v>
      </c>
      <c r="AA12" s="82">
        <f t="shared" si="3"/>
        <v>120330.5</v>
      </c>
      <c r="AB12" s="82">
        <f t="shared" si="3"/>
        <v>120330.5</v>
      </c>
      <c r="AC12" s="82">
        <f t="shared" si="3"/>
        <v>120330.5</v>
      </c>
      <c r="AD12" s="99">
        <f t="shared" si="3"/>
        <v>120330.5</v>
      </c>
      <c r="AE12" s="82">
        <f t="shared" si="3"/>
        <v>120330.5</v>
      </c>
      <c r="AF12" s="82">
        <f t="shared" si="3"/>
        <v>120330.5</v>
      </c>
      <c r="AG12" s="82">
        <f t="shared" si="3"/>
        <v>120330.5</v>
      </c>
      <c r="AH12" s="82">
        <f t="shared" si="3"/>
        <v>120330.5</v>
      </c>
      <c r="AI12" s="82">
        <f t="shared" si="3"/>
        <v>120330.5</v>
      </c>
      <c r="AJ12" s="82">
        <f t="shared" si="3"/>
        <v>120330.5</v>
      </c>
      <c r="AK12" s="82">
        <f t="shared" si="3"/>
        <v>120330.5</v>
      </c>
      <c r="AL12" s="82">
        <f t="shared" si="3"/>
        <v>120330.5</v>
      </c>
      <c r="AM12" s="82">
        <f t="shared" si="3"/>
        <v>120330.5</v>
      </c>
      <c r="AN12" s="82">
        <f t="shared" si="3"/>
        <v>120330.5</v>
      </c>
      <c r="AO12" s="82">
        <f t="shared" si="3"/>
        <v>120330.5</v>
      </c>
      <c r="AP12" s="82">
        <f t="shared" si="3"/>
        <v>120330.5</v>
      </c>
      <c r="AQ12" s="82">
        <f t="shared" si="3"/>
        <v>120330.5</v>
      </c>
      <c r="AR12" s="82">
        <f t="shared" si="3"/>
        <v>120330.5</v>
      </c>
      <c r="AS12" s="82">
        <f t="shared" si="3"/>
        <v>120330.5</v>
      </c>
      <c r="AT12" s="82">
        <f t="shared" si="3"/>
        <v>120330.5</v>
      </c>
      <c r="AU12" s="82">
        <f t="shared" si="3"/>
        <v>120330.5</v>
      </c>
      <c r="AV12" s="82">
        <f t="shared" si="3"/>
        <v>120330.5</v>
      </c>
      <c r="AW12" s="3"/>
      <c r="AX12" s="3"/>
      <c r="AY12" s="3"/>
      <c r="AZ12" s="3"/>
      <c r="BA12" s="3"/>
      <c r="BB12" s="3"/>
    </row>
    <row r="13" spans="1:54" ht="15.6" customHeight="1" x14ac:dyDescent="0.3">
      <c r="A13" s="3"/>
      <c r="B13" s="83" t="s">
        <v>149</v>
      </c>
      <c r="C13" s="85">
        <f>6176.6+C5-C6</f>
        <v>87722.1</v>
      </c>
      <c r="D13" s="82">
        <f t="shared" ref="D13:AI13" si="4">C13+D5-D6</f>
        <v>87722.1</v>
      </c>
      <c r="E13" s="82">
        <f t="shared" si="4"/>
        <v>87722.1</v>
      </c>
      <c r="F13" s="82">
        <f t="shared" si="4"/>
        <v>87722.1</v>
      </c>
      <c r="G13" s="82">
        <f t="shared" si="4"/>
        <v>87722.1</v>
      </c>
      <c r="H13" s="82">
        <f t="shared" si="4"/>
        <v>87722.1</v>
      </c>
      <c r="I13" s="82">
        <f t="shared" si="4"/>
        <v>87722.1</v>
      </c>
      <c r="J13" s="82">
        <f t="shared" si="4"/>
        <v>87722.1</v>
      </c>
      <c r="K13" s="82">
        <f t="shared" si="4"/>
        <v>87722.1</v>
      </c>
      <c r="L13" s="82">
        <f t="shared" si="4"/>
        <v>87722.1</v>
      </c>
      <c r="M13" s="82">
        <f t="shared" si="4"/>
        <v>87722.1</v>
      </c>
      <c r="N13" s="82">
        <f t="shared" si="4"/>
        <v>87722.1</v>
      </c>
      <c r="O13" s="82">
        <f t="shared" si="4"/>
        <v>87722.1</v>
      </c>
      <c r="P13" s="82">
        <f t="shared" si="4"/>
        <v>87722.1</v>
      </c>
      <c r="Q13" s="82">
        <f t="shared" si="4"/>
        <v>87722.1</v>
      </c>
      <c r="R13" s="82">
        <f t="shared" si="4"/>
        <v>87722.1</v>
      </c>
      <c r="S13" s="82">
        <f t="shared" si="4"/>
        <v>87722.1</v>
      </c>
      <c r="T13" s="82">
        <f t="shared" si="4"/>
        <v>87722.1</v>
      </c>
      <c r="U13" s="82">
        <f t="shared" si="4"/>
        <v>87722.1</v>
      </c>
      <c r="V13" s="82">
        <f t="shared" si="4"/>
        <v>87722.1</v>
      </c>
      <c r="W13" s="82">
        <f t="shared" si="4"/>
        <v>87722.1</v>
      </c>
      <c r="X13" s="82">
        <f t="shared" si="4"/>
        <v>87722.1</v>
      </c>
      <c r="Y13" s="82">
        <f t="shared" si="4"/>
        <v>87722.1</v>
      </c>
      <c r="Z13" s="82">
        <f t="shared" si="4"/>
        <v>87722.1</v>
      </c>
      <c r="AA13" s="82">
        <f t="shared" si="4"/>
        <v>87722.1</v>
      </c>
      <c r="AB13" s="82">
        <f t="shared" si="4"/>
        <v>87722.1</v>
      </c>
      <c r="AC13" s="82">
        <f t="shared" si="4"/>
        <v>87722.1</v>
      </c>
      <c r="AD13" s="99">
        <f t="shared" si="4"/>
        <v>87722.1</v>
      </c>
      <c r="AE13" s="82">
        <f t="shared" si="4"/>
        <v>87722.1</v>
      </c>
      <c r="AF13" s="82">
        <f t="shared" si="4"/>
        <v>87722.1</v>
      </c>
      <c r="AG13" s="82">
        <f t="shared" si="4"/>
        <v>87722.1</v>
      </c>
      <c r="AH13" s="82">
        <f t="shared" si="4"/>
        <v>87722.1</v>
      </c>
      <c r="AI13" s="82">
        <f t="shared" si="4"/>
        <v>87722.1</v>
      </c>
      <c r="AJ13" s="82">
        <f t="shared" ref="AJ13:BB13" si="5">AI13+AJ5-AJ6</f>
        <v>87722.1</v>
      </c>
      <c r="AK13" s="82">
        <f t="shared" si="5"/>
        <v>87722.1</v>
      </c>
      <c r="AL13" s="82">
        <f t="shared" si="5"/>
        <v>87722.1</v>
      </c>
      <c r="AM13" s="82">
        <f t="shared" si="5"/>
        <v>87722.1</v>
      </c>
      <c r="AN13" s="82">
        <f t="shared" si="5"/>
        <v>87722.1</v>
      </c>
      <c r="AO13" s="82">
        <f t="shared" si="5"/>
        <v>87722.1</v>
      </c>
      <c r="AP13" s="82">
        <f t="shared" si="5"/>
        <v>87722.1</v>
      </c>
      <c r="AQ13" s="82">
        <f t="shared" si="5"/>
        <v>87722.1</v>
      </c>
      <c r="AR13" s="82">
        <f t="shared" si="5"/>
        <v>87722.1</v>
      </c>
      <c r="AS13" s="82">
        <f t="shared" si="5"/>
        <v>87722.1</v>
      </c>
      <c r="AT13" s="82">
        <f t="shared" si="5"/>
        <v>87722.1</v>
      </c>
      <c r="AU13" s="82">
        <f t="shared" si="5"/>
        <v>87722.1</v>
      </c>
      <c r="AV13" s="82">
        <f t="shared" si="5"/>
        <v>87722.1</v>
      </c>
      <c r="AW13" s="82">
        <f t="shared" si="5"/>
        <v>87722.1</v>
      </c>
      <c r="AX13" s="82">
        <f t="shared" si="5"/>
        <v>87722.1</v>
      </c>
      <c r="AY13" s="82">
        <f t="shared" si="5"/>
        <v>87722.1</v>
      </c>
      <c r="AZ13" s="82">
        <f t="shared" si="5"/>
        <v>87722.1</v>
      </c>
      <c r="BA13" s="82">
        <f t="shared" si="5"/>
        <v>87722.1</v>
      </c>
      <c r="BB13" s="82">
        <f t="shared" si="5"/>
        <v>87722.1</v>
      </c>
    </row>
    <row r="14" spans="1:54" ht="15.6" customHeight="1" x14ac:dyDescent="0.3">
      <c r="A14" s="72" t="s">
        <v>150</v>
      </c>
      <c r="B14" s="74"/>
      <c r="C14" s="94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100"/>
      <c r="AE14" s="92"/>
      <c r="AF14" s="75" t="str">
        <f t="shared" ref="AF14:BB14" si="6">AF3</f>
        <v>S30</v>
      </c>
      <c r="AG14" s="75" t="str">
        <f t="shared" si="6"/>
        <v>S31</v>
      </c>
      <c r="AH14" s="75" t="str">
        <f t="shared" si="6"/>
        <v>S32</v>
      </c>
      <c r="AI14" s="75" t="str">
        <f t="shared" si="6"/>
        <v>S33</v>
      </c>
      <c r="AJ14" s="75" t="str">
        <f t="shared" si="6"/>
        <v>S34</v>
      </c>
      <c r="AK14" s="75" t="str">
        <f t="shared" si="6"/>
        <v>S35</v>
      </c>
      <c r="AL14" s="75" t="str">
        <f t="shared" si="6"/>
        <v>S36</v>
      </c>
      <c r="AM14" s="75" t="str">
        <f t="shared" si="6"/>
        <v>S37</v>
      </c>
      <c r="AN14" s="75" t="str">
        <f t="shared" si="6"/>
        <v>S38</v>
      </c>
      <c r="AO14" s="75" t="str">
        <f t="shared" si="6"/>
        <v>S39</v>
      </c>
      <c r="AP14" s="75" t="str">
        <f t="shared" si="6"/>
        <v>S40</v>
      </c>
      <c r="AQ14" s="75" t="str">
        <f t="shared" si="6"/>
        <v>S41</v>
      </c>
      <c r="AR14" s="75" t="str">
        <f t="shared" si="6"/>
        <v>S42</v>
      </c>
      <c r="AS14" s="75" t="str">
        <f t="shared" si="6"/>
        <v>S43</v>
      </c>
      <c r="AT14" s="75" t="str">
        <f t="shared" si="6"/>
        <v>S44</v>
      </c>
      <c r="AU14" s="75" t="str">
        <f t="shared" si="6"/>
        <v>S45</v>
      </c>
      <c r="AV14" s="75" t="str">
        <f t="shared" si="6"/>
        <v>S46</v>
      </c>
      <c r="AW14" s="75" t="str">
        <f t="shared" si="6"/>
        <v>S47</v>
      </c>
      <c r="AX14" s="75" t="str">
        <f t="shared" si="6"/>
        <v>S48</v>
      </c>
      <c r="AY14" s="75" t="str">
        <f t="shared" si="6"/>
        <v>S49</v>
      </c>
      <c r="AZ14" s="75" t="str">
        <f t="shared" si="6"/>
        <v>S50</v>
      </c>
      <c r="BA14" s="75" t="str">
        <f t="shared" si="6"/>
        <v>S51</v>
      </c>
      <c r="BB14" s="75" t="str">
        <f t="shared" si="6"/>
        <v>S52</v>
      </c>
    </row>
    <row r="15" spans="1:54" ht="15.6" customHeight="1" x14ac:dyDescent="0.3">
      <c r="A15" s="666" t="s">
        <v>151</v>
      </c>
      <c r="B15" s="85" t="s">
        <v>152</v>
      </c>
      <c r="C15" s="101"/>
      <c r="D15" s="8"/>
      <c r="E15" s="71"/>
      <c r="F15" s="71"/>
      <c r="G15" s="71"/>
      <c r="H15" s="71"/>
      <c r="I15" s="71"/>
      <c r="J15" s="71"/>
      <c r="K15" s="71"/>
      <c r="L15" s="8"/>
      <c r="M15" s="8"/>
      <c r="N15" s="8"/>
      <c r="O15" s="71"/>
      <c r="P15" s="8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02"/>
      <c r="AE15" s="103"/>
      <c r="AF15" s="104"/>
      <c r="AG15" s="104"/>
      <c r="AH15" s="104"/>
      <c r="AI15" s="104"/>
      <c r="AJ15" s="3"/>
      <c r="AK15" s="3"/>
      <c r="AL15" s="103"/>
      <c r="AM15" s="104"/>
      <c r="AN15" s="103"/>
      <c r="AO15" s="104"/>
      <c r="AP15" s="104"/>
      <c r="AQ15" s="103"/>
      <c r="AR15" s="104"/>
      <c r="AS15" s="104"/>
      <c r="AT15" s="104"/>
      <c r="AU15" s="104"/>
      <c r="AV15" s="104"/>
      <c r="AW15" s="104"/>
      <c r="AX15" s="3"/>
      <c r="AY15" s="3"/>
      <c r="AZ15" s="3"/>
      <c r="BA15" s="3"/>
      <c r="BB15" s="3"/>
    </row>
    <row r="16" spans="1:54" ht="15.6" customHeight="1" x14ac:dyDescent="0.3">
      <c r="A16" s="667"/>
      <c r="B16" s="85" t="s">
        <v>153</v>
      </c>
      <c r="C16" s="89"/>
      <c r="D16" s="8"/>
      <c r="E16" s="71"/>
      <c r="F16" s="71"/>
      <c r="G16" s="71"/>
      <c r="H16" s="71"/>
      <c r="I16" s="71"/>
      <c r="J16" s="71"/>
      <c r="K16" s="71"/>
      <c r="L16" s="8"/>
      <c r="M16" s="8"/>
      <c r="N16" s="8"/>
      <c r="O16" s="71"/>
      <c r="P16" s="8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105"/>
      <c r="AE16" s="106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106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.6" customHeight="1" x14ac:dyDescent="0.3">
      <c r="A17" s="668"/>
      <c r="B17" s="74" t="s">
        <v>154</v>
      </c>
      <c r="C17" s="98"/>
      <c r="D17" s="8"/>
      <c r="E17" s="71"/>
      <c r="F17" s="71"/>
      <c r="G17" s="71"/>
      <c r="H17" s="71"/>
      <c r="I17" s="71"/>
      <c r="J17" s="71"/>
      <c r="K17" s="71"/>
      <c r="L17" s="8"/>
      <c r="M17" s="8"/>
      <c r="N17" s="8"/>
      <c r="O17" s="71"/>
      <c r="P17" s="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08"/>
      <c r="AE17" s="109"/>
      <c r="AF17" s="110"/>
      <c r="AG17" s="110"/>
      <c r="AH17" s="111"/>
      <c r="AI17" s="111"/>
      <c r="AJ17" s="111"/>
      <c r="AK17" s="110"/>
      <c r="AL17" s="111"/>
      <c r="AM17" s="111"/>
      <c r="AN17" s="111"/>
      <c r="AO17" s="111"/>
      <c r="AP17" s="111"/>
      <c r="AQ17" s="110"/>
      <c r="AR17" s="111"/>
      <c r="AS17" s="111"/>
      <c r="AT17" s="111"/>
      <c r="AU17" s="111"/>
      <c r="AV17" s="111"/>
      <c r="AW17" s="111"/>
      <c r="AX17" s="3"/>
      <c r="AY17" s="3"/>
      <c r="AZ17" s="3"/>
      <c r="BA17" s="3"/>
      <c r="BB17" s="3"/>
    </row>
    <row r="18" spans="1:54" ht="15.6" customHeight="1" x14ac:dyDescent="0.3">
      <c r="A18" s="666" t="s">
        <v>155</v>
      </c>
      <c r="B18" s="83" t="s">
        <v>156</v>
      </c>
      <c r="C18" s="87"/>
      <c r="D18" s="8"/>
      <c r="E18" s="71"/>
      <c r="F18" s="71"/>
      <c r="G18" s="71"/>
      <c r="H18" s="71"/>
      <c r="I18" s="71"/>
      <c r="J18" s="71"/>
      <c r="K18" s="71"/>
      <c r="L18" s="8"/>
      <c r="M18" s="8"/>
      <c r="N18" s="8"/>
      <c r="O18" s="71"/>
      <c r="P18" s="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05"/>
      <c r="AE18" s="89"/>
      <c r="AF18" s="89"/>
      <c r="AG18" s="106"/>
      <c r="AH18" s="112"/>
      <c r="AI18" s="104"/>
      <c r="AJ18" s="106"/>
      <c r="AK18" s="112"/>
      <c r="AL18" s="89"/>
      <c r="AM18" s="89"/>
      <c r="AN18" s="106"/>
      <c r="AO18" s="106"/>
      <c r="AP18" s="112"/>
      <c r="AQ18" s="112"/>
      <c r="AR18" s="112"/>
      <c r="AS18" s="106"/>
      <c r="AT18" s="89"/>
      <c r="AU18" s="89"/>
      <c r="AV18" s="3"/>
      <c r="AW18" s="3"/>
      <c r="AX18" s="3"/>
      <c r="AY18" s="3"/>
      <c r="AZ18" s="3"/>
      <c r="BA18" s="3"/>
      <c r="BB18" s="3"/>
    </row>
    <row r="19" spans="1:54" ht="15.6" customHeight="1" x14ac:dyDescent="0.3">
      <c r="A19" s="667"/>
      <c r="B19" s="83" t="s">
        <v>157</v>
      </c>
      <c r="C19" s="87"/>
      <c r="D19" s="8"/>
      <c r="E19" s="71"/>
      <c r="F19" s="71"/>
      <c r="G19" s="71"/>
      <c r="H19" s="71"/>
      <c r="I19" s="71"/>
      <c r="J19" s="71"/>
      <c r="K19" s="71"/>
      <c r="L19" s="8"/>
      <c r="M19" s="8"/>
      <c r="N19" s="8"/>
      <c r="O19" s="71"/>
      <c r="P19" s="8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105"/>
      <c r="AE19" s="89"/>
      <c r="AF19" s="106"/>
      <c r="AG19" s="112"/>
      <c r="AH19" s="106"/>
      <c r="AI19" s="101"/>
      <c r="AJ19" s="112"/>
      <c r="AK19" s="112"/>
      <c r="AL19" s="89"/>
      <c r="AM19" s="89"/>
      <c r="AN19" s="89"/>
      <c r="AO19" s="106"/>
      <c r="AP19" s="106"/>
      <c r="AQ19" s="112"/>
      <c r="AR19" s="106"/>
      <c r="AS19" s="89"/>
      <c r="AT19" s="106"/>
      <c r="AU19" s="112"/>
      <c r="AV19" s="3"/>
      <c r="AW19" s="3"/>
      <c r="AX19" s="3"/>
      <c r="AY19" s="3"/>
      <c r="AZ19" s="3"/>
      <c r="BA19" s="3"/>
      <c r="BB19" s="3"/>
    </row>
    <row r="20" spans="1:54" ht="15.6" customHeight="1" x14ac:dyDescent="0.3">
      <c r="A20" s="668"/>
      <c r="B20" s="74" t="s">
        <v>158</v>
      </c>
      <c r="C20" s="96"/>
      <c r="D20" s="8"/>
      <c r="E20" s="71"/>
      <c r="F20" s="71"/>
      <c r="G20" s="71"/>
      <c r="H20" s="71"/>
      <c r="I20" s="71"/>
      <c r="J20" s="71"/>
      <c r="K20" s="71"/>
      <c r="L20" s="8"/>
      <c r="M20" s="8"/>
      <c r="N20" s="8"/>
      <c r="O20" s="71"/>
      <c r="P20" s="8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13"/>
      <c r="AE20" s="98"/>
      <c r="AF20" s="114"/>
      <c r="AG20" s="115"/>
      <c r="AH20" s="114"/>
      <c r="AI20" s="111"/>
      <c r="AJ20" s="114"/>
      <c r="AK20" s="115"/>
      <c r="AL20" s="98"/>
      <c r="AM20" s="98"/>
      <c r="AN20" s="98"/>
      <c r="AO20" s="114"/>
      <c r="AP20" s="115"/>
      <c r="AQ20" s="114"/>
      <c r="AR20" s="115"/>
      <c r="AS20" s="114"/>
      <c r="AT20" s="114"/>
      <c r="AU20" s="115"/>
      <c r="AV20" s="3"/>
      <c r="AW20" s="3"/>
      <c r="AX20" s="3"/>
      <c r="AY20" s="3"/>
      <c r="AZ20" s="3"/>
      <c r="BA20" s="3"/>
      <c r="BB20" s="3"/>
    </row>
    <row r="21" spans="1:54" ht="19.5" customHeight="1" x14ac:dyDescent="0.3">
      <c r="A21" s="3"/>
      <c r="B21" s="116"/>
      <c r="C21" s="44"/>
      <c r="D21" s="8"/>
      <c r="E21" s="71"/>
      <c r="F21" s="71"/>
      <c r="G21" s="71"/>
      <c r="H21" s="71"/>
      <c r="I21" s="71"/>
      <c r="J21" s="71"/>
      <c r="K21" s="71"/>
      <c r="L21" s="8"/>
      <c r="M21" s="8"/>
      <c r="N21" s="8"/>
      <c r="O21" s="71"/>
      <c r="P21" s="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117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9.5" customHeight="1" x14ac:dyDescent="0.3">
      <c r="A22" s="118" t="s">
        <v>159</v>
      </c>
      <c r="B22" s="119">
        <f>450000-A6</f>
        <v>329669.5</v>
      </c>
      <c r="C22" s="44"/>
      <c r="D22" s="8"/>
      <c r="E22" s="71"/>
      <c r="F22" s="71"/>
      <c r="G22" s="71"/>
      <c r="H22" s="71"/>
      <c r="I22" s="71"/>
      <c r="J22" s="71"/>
      <c r="K22" s="71"/>
      <c r="L22" s="8"/>
      <c r="M22" s="8"/>
      <c r="N22" s="8"/>
      <c r="O22" s="71"/>
      <c r="P22" s="8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117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9.5" customHeight="1" x14ac:dyDescent="0.3">
      <c r="A23" s="120"/>
      <c r="B23" s="121"/>
      <c r="C23" s="44"/>
      <c r="D23" s="8"/>
      <c r="E23" s="71"/>
      <c r="F23" s="71"/>
      <c r="G23" s="71"/>
      <c r="H23" s="71"/>
      <c r="I23" s="71"/>
      <c r="J23" s="71"/>
      <c r="K23" s="71"/>
      <c r="L23" s="8"/>
      <c r="M23" s="8"/>
      <c r="N23" s="8"/>
      <c r="O23" s="71"/>
      <c r="P23" s="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117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9.5" customHeight="1" x14ac:dyDescent="0.3">
      <c r="A24" s="120"/>
      <c r="B24" s="121"/>
      <c r="C24" s="44"/>
      <c r="D24" s="8"/>
      <c r="E24" s="71"/>
      <c r="F24" s="71"/>
      <c r="G24" s="71"/>
      <c r="H24" s="71"/>
      <c r="I24" s="71"/>
      <c r="J24" s="71"/>
      <c r="K24" s="71"/>
      <c r="L24" s="8"/>
      <c r="M24" s="8"/>
      <c r="N24" s="8"/>
      <c r="O24" s="71"/>
      <c r="P24" s="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117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.6" customHeight="1" x14ac:dyDescent="0.3">
      <c r="A25" s="122" t="s">
        <v>160</v>
      </c>
      <c r="B25" s="8"/>
      <c r="C25" s="70"/>
      <c r="D25" s="8"/>
      <c r="E25" s="71"/>
      <c r="F25" s="71"/>
      <c r="G25" s="71"/>
      <c r="H25" s="71"/>
      <c r="I25" s="71"/>
      <c r="J25" s="71"/>
      <c r="K25" s="71"/>
      <c r="L25" s="8"/>
      <c r="M25" s="8"/>
      <c r="N25" s="8"/>
      <c r="O25" s="71"/>
      <c r="P25" s="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2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.6" customHeight="1" x14ac:dyDescent="0.3">
      <c r="A26" s="72" t="s">
        <v>74</v>
      </c>
      <c r="B26" s="124" t="s">
        <v>84</v>
      </c>
      <c r="C26" s="70"/>
      <c r="D26" s="125" t="s">
        <v>59</v>
      </c>
      <c r="E26" s="75" t="s">
        <v>76</v>
      </c>
      <c r="F26" s="126" t="s">
        <v>161</v>
      </c>
      <c r="G26" s="126" t="s">
        <v>162</v>
      </c>
      <c r="H26" s="126" t="s">
        <v>163</v>
      </c>
      <c r="I26" s="71"/>
      <c r="J26" s="71"/>
      <c r="K26" s="71"/>
      <c r="L26" s="8"/>
      <c r="M26" s="8"/>
      <c r="N26" s="8"/>
      <c r="O26" s="71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.6" customHeight="1" x14ac:dyDescent="0.3">
      <c r="A27" s="127"/>
      <c r="B27" s="128"/>
      <c r="C27" s="129"/>
      <c r="D27" s="130"/>
      <c r="E27" s="131"/>
      <c r="F27" s="132"/>
      <c r="G27" s="131"/>
      <c r="H27" s="133"/>
      <c r="I27" s="134"/>
      <c r="J27" s="134"/>
      <c r="K27" s="134"/>
      <c r="L27" s="129"/>
      <c r="M27" s="129"/>
      <c r="N27" s="129"/>
      <c r="O27" s="134"/>
      <c r="P27" s="129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.6" customHeight="1" x14ac:dyDescent="0.3">
      <c r="A28" s="127"/>
      <c r="B28" s="128"/>
      <c r="C28" s="129"/>
      <c r="D28" s="130"/>
      <c r="E28" s="131"/>
      <c r="F28" s="132"/>
      <c r="G28" s="131"/>
      <c r="H28" s="133"/>
      <c r="I28" s="134"/>
      <c r="J28" s="134"/>
      <c r="K28" s="134"/>
      <c r="L28" s="129"/>
      <c r="M28" s="129"/>
      <c r="N28" s="129"/>
      <c r="O28" s="134"/>
      <c r="P28" s="129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.6" customHeight="1" x14ac:dyDescent="0.3">
      <c r="A29" s="136"/>
      <c r="B29" s="8"/>
      <c r="C29" s="137"/>
      <c r="D29" s="42"/>
      <c r="E29" s="138"/>
      <c r="F29" s="139"/>
      <c r="G29" s="140"/>
      <c r="H29" s="141"/>
      <c r="I29" s="142"/>
      <c r="J29" s="142"/>
      <c r="K29" s="142"/>
      <c r="L29" s="137"/>
      <c r="M29" s="137"/>
      <c r="N29" s="137"/>
      <c r="O29" s="142"/>
      <c r="P29" s="137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.6" customHeight="1" x14ac:dyDescent="0.3">
      <c r="A30" s="144"/>
      <c r="B30" s="8"/>
      <c r="C30" s="137"/>
      <c r="D30" s="42"/>
      <c r="E30" s="138"/>
      <c r="F30" s="145"/>
      <c r="G30" s="146"/>
      <c r="H30" s="147"/>
      <c r="I30" s="142"/>
      <c r="J30" s="142"/>
      <c r="K30" s="142"/>
      <c r="L30" s="137"/>
      <c r="M30" s="137"/>
      <c r="N30" s="137"/>
      <c r="O30" s="142"/>
      <c r="P30" s="137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ht="15.6" customHeight="1" x14ac:dyDescent="0.3">
      <c r="A31" s="148"/>
      <c r="B31" s="8"/>
      <c r="C31" s="137"/>
      <c r="D31" s="42"/>
      <c r="E31" s="138"/>
      <c r="F31" s="149"/>
      <c r="G31" s="150"/>
      <c r="H31" s="151"/>
      <c r="I31" s="142"/>
      <c r="J31" s="142"/>
      <c r="K31" s="142"/>
      <c r="L31" s="137"/>
      <c r="M31" s="137"/>
      <c r="N31" s="137"/>
      <c r="O31" s="142"/>
      <c r="P31" s="137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ht="15.6" customHeight="1" x14ac:dyDescent="0.3">
      <c r="A32" s="3"/>
      <c r="B32" s="8"/>
      <c r="C32" s="137"/>
      <c r="D32" s="42"/>
      <c r="E32" s="138"/>
      <c r="F32" s="31"/>
      <c r="G32" s="44"/>
      <c r="H32" s="9"/>
      <c r="I32" s="142"/>
      <c r="J32" s="142"/>
      <c r="K32" s="142"/>
      <c r="L32" s="137"/>
      <c r="M32" s="137"/>
      <c r="N32" s="137"/>
      <c r="O32" s="142"/>
      <c r="P32" s="137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ht="15.6" customHeight="1" x14ac:dyDescent="0.3">
      <c r="A33" s="3"/>
      <c r="B33" s="8"/>
      <c r="C33" s="137"/>
      <c r="D33" s="42"/>
      <c r="E33" s="138"/>
      <c r="F33" s="31"/>
      <c r="G33" s="44"/>
      <c r="H33" s="9"/>
      <c r="I33" s="142"/>
      <c r="J33" s="142"/>
      <c r="K33" s="142"/>
      <c r="L33" s="137"/>
      <c r="M33" s="137"/>
      <c r="N33" s="137"/>
      <c r="O33" s="142"/>
      <c r="P33" s="137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ht="15.6" customHeight="1" x14ac:dyDescent="0.3">
      <c r="A34" s="3"/>
      <c r="B34" s="8"/>
      <c r="C34" s="137"/>
      <c r="D34" s="42"/>
      <c r="E34" s="138"/>
      <c r="F34" s="31"/>
      <c r="G34" s="44"/>
      <c r="H34" s="9"/>
      <c r="I34" s="142"/>
      <c r="J34" s="142"/>
      <c r="K34" s="142"/>
      <c r="L34" s="137"/>
      <c r="M34" s="137"/>
      <c r="N34" s="137"/>
      <c r="O34" s="142"/>
      <c r="P34" s="137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ht="15.6" customHeight="1" x14ac:dyDescent="0.3">
      <c r="A35" s="3"/>
      <c r="B35" s="8"/>
      <c r="C35" s="137"/>
      <c r="D35" s="42"/>
      <c r="E35" s="138"/>
      <c r="F35" s="31"/>
      <c r="G35" s="44"/>
      <c r="H35" s="9"/>
      <c r="I35" s="142"/>
      <c r="J35" s="142"/>
      <c r="K35" s="142"/>
      <c r="L35" s="137"/>
      <c r="M35" s="137"/>
      <c r="N35" s="137"/>
      <c r="O35" s="142"/>
      <c r="P35" s="137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ht="15.6" customHeight="1" x14ac:dyDescent="0.3">
      <c r="A36" s="152"/>
      <c r="B36" s="8"/>
      <c r="C36" s="137"/>
      <c r="D36" s="42"/>
      <c r="E36" s="138"/>
      <c r="F36" s="153"/>
      <c r="G36" s="154"/>
      <c r="H36" s="155"/>
      <c r="I36" s="142"/>
      <c r="J36" s="142"/>
      <c r="K36" s="142"/>
      <c r="L36" s="137"/>
      <c r="M36" s="137"/>
      <c r="N36" s="137"/>
      <c r="O36" s="142"/>
      <c r="P36" s="137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ht="15.6" customHeight="1" x14ac:dyDescent="0.3">
      <c r="A37" s="3"/>
      <c r="B37" s="8"/>
      <c r="C37" s="137"/>
      <c r="D37" s="42"/>
      <c r="E37" s="138"/>
      <c r="F37" s="31"/>
      <c r="G37" s="44"/>
      <c r="H37" s="9"/>
      <c r="I37" s="142"/>
      <c r="J37" s="142"/>
      <c r="K37" s="142"/>
      <c r="L37" s="137"/>
      <c r="M37" s="137"/>
      <c r="N37" s="137"/>
      <c r="O37" s="142"/>
      <c r="P37" s="137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ht="15.6" customHeight="1" x14ac:dyDescent="0.3">
      <c r="A38" s="3"/>
      <c r="B38" s="8"/>
      <c r="C38" s="137"/>
      <c r="D38" s="42"/>
      <c r="E38" s="138"/>
      <c r="F38" s="31"/>
      <c r="G38" s="44"/>
      <c r="H38" s="9"/>
      <c r="I38" s="142"/>
      <c r="J38" s="142"/>
      <c r="K38" s="142"/>
      <c r="L38" s="137"/>
      <c r="M38" s="137"/>
      <c r="N38" s="137"/>
      <c r="O38" s="142"/>
      <c r="P38" s="137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ht="15.6" customHeight="1" x14ac:dyDescent="0.3">
      <c r="A39" s="3"/>
      <c r="B39" s="8"/>
      <c r="C39" s="70"/>
      <c r="D39" s="31"/>
      <c r="E39" s="156"/>
      <c r="F39" s="31"/>
      <c r="G39" s="44"/>
      <c r="H39" s="9"/>
      <c r="I39" s="71"/>
      <c r="J39" s="71"/>
      <c r="K39" s="71"/>
      <c r="L39" s="8"/>
      <c r="M39" s="8"/>
      <c r="N39" s="8"/>
      <c r="O39" s="71"/>
      <c r="P39" s="8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ht="15.6" customHeight="1" x14ac:dyDescent="0.3">
      <c r="A40" s="3"/>
      <c r="B40" s="8"/>
      <c r="C40" s="70"/>
      <c r="D40" s="31"/>
      <c r="E40" s="156"/>
      <c r="F40" s="31"/>
      <c r="G40" s="44"/>
      <c r="H40" s="9"/>
      <c r="I40" s="71"/>
      <c r="J40" s="71"/>
      <c r="K40" s="71"/>
      <c r="L40" s="8"/>
      <c r="M40" s="8"/>
      <c r="N40" s="8"/>
      <c r="O40" s="71"/>
      <c r="P40" s="8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ht="15.6" customHeight="1" x14ac:dyDescent="0.3">
      <c r="A41" s="3"/>
      <c r="B41" s="8"/>
      <c r="C41" s="70"/>
      <c r="D41" s="31"/>
      <c r="E41" s="156"/>
      <c r="F41" s="31"/>
      <c r="G41" s="44"/>
      <c r="H41" s="9"/>
      <c r="I41" s="71"/>
      <c r="J41" s="71"/>
      <c r="K41" s="71"/>
      <c r="L41" s="8"/>
      <c r="M41" s="8"/>
      <c r="N41" s="8"/>
      <c r="O41" s="71"/>
      <c r="P41" s="8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ht="15.6" customHeight="1" x14ac:dyDescent="0.3">
      <c r="A42" s="3"/>
      <c r="B42" s="8"/>
      <c r="C42" s="70"/>
      <c r="D42" s="8"/>
      <c r="E42" s="156"/>
      <c r="F42" s="31"/>
      <c r="G42" s="71"/>
      <c r="H42" s="9"/>
      <c r="I42" s="71"/>
      <c r="J42" s="71"/>
      <c r="K42" s="71"/>
      <c r="L42" s="8"/>
      <c r="M42" s="8"/>
      <c r="N42" s="8"/>
      <c r="O42" s="71"/>
      <c r="P42" s="8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ht="19.5" customHeight="1" x14ac:dyDescent="0.3">
      <c r="A43" s="107"/>
      <c r="B43" s="157"/>
      <c r="C43" s="157"/>
      <c r="D43" s="157"/>
      <c r="E43" s="158"/>
      <c r="F43" s="153"/>
      <c r="G43" s="154"/>
      <c r="H43" s="155"/>
      <c r="I43" s="159"/>
      <c r="J43" s="159"/>
      <c r="K43" s="159"/>
      <c r="L43" s="157"/>
      <c r="M43" s="157"/>
      <c r="N43" s="157"/>
      <c r="O43" s="159"/>
      <c r="P43" s="15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ht="19.5" customHeight="1" x14ac:dyDescent="0.3">
      <c r="A44" s="3"/>
      <c r="B44" s="8"/>
      <c r="C44" s="70"/>
      <c r="D44" s="8"/>
      <c r="E44" s="71"/>
      <c r="F44" s="71"/>
      <c r="G44" s="71"/>
      <c r="H44" s="71"/>
      <c r="I44" s="71"/>
      <c r="J44" s="71"/>
      <c r="K44" s="71"/>
      <c r="L44" s="8"/>
      <c r="M44" s="8"/>
      <c r="N44" s="8"/>
      <c r="O44" s="71"/>
      <c r="P44" s="8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 ht="19.5" customHeight="1" x14ac:dyDescent="0.3">
      <c r="A45" s="3"/>
      <c r="B45" s="8"/>
      <c r="C45" s="70"/>
      <c r="D45" s="8"/>
      <c r="E45" s="71"/>
      <c r="F45" s="71"/>
      <c r="G45" s="160" t="s">
        <v>51</v>
      </c>
      <c r="H45" s="161">
        <f>SUM(H27:H43)</f>
        <v>0</v>
      </c>
      <c r="I45" s="71"/>
      <c r="J45" s="71"/>
      <c r="K45" s="71"/>
      <c r="L45" s="8"/>
      <c r="M45" s="8"/>
      <c r="N45" s="8"/>
      <c r="O45" s="71"/>
      <c r="P45" s="8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ht="19.5" customHeight="1" x14ac:dyDescent="0.3">
      <c r="A46" s="3"/>
      <c r="B46" s="8"/>
      <c r="C46" s="70"/>
      <c r="D46" s="8"/>
      <c r="E46" s="71"/>
      <c r="F46" s="71"/>
      <c r="G46" s="71"/>
      <c r="H46" s="71"/>
      <c r="I46" s="71"/>
      <c r="J46" s="71"/>
      <c r="K46" s="71"/>
      <c r="L46" s="8"/>
      <c r="M46" s="8"/>
      <c r="N46" s="8"/>
      <c r="O46" s="71"/>
      <c r="P46" s="8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ht="19.5" customHeight="1" x14ac:dyDescent="0.3">
      <c r="A47" s="3"/>
      <c r="B47" s="8"/>
      <c r="C47" s="70"/>
      <c r="D47" s="8"/>
      <c r="E47" s="71"/>
      <c r="F47" s="71"/>
      <c r="G47" s="71"/>
      <c r="H47" s="71"/>
      <c r="I47" s="71"/>
      <c r="J47" s="71"/>
      <c r="K47" s="71"/>
      <c r="L47" s="8"/>
      <c r="M47" s="8"/>
      <c r="N47" s="8"/>
      <c r="O47" s="71"/>
      <c r="P47" s="8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ht="19.5" customHeight="1" x14ac:dyDescent="0.3">
      <c r="A48" s="3"/>
      <c r="B48" s="162" t="s">
        <v>164</v>
      </c>
      <c r="C48" s="70"/>
      <c r="D48" s="8"/>
      <c r="E48" s="71"/>
      <c r="F48" s="71"/>
      <c r="G48" s="71"/>
      <c r="H48" s="71"/>
      <c r="I48" s="71"/>
      <c r="J48" s="71"/>
      <c r="K48" s="71"/>
      <c r="L48" s="8"/>
      <c r="M48" s="8"/>
      <c r="N48" s="8"/>
      <c r="O48" s="71"/>
      <c r="P48" s="8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 ht="15.6" customHeight="1" x14ac:dyDescent="0.3">
      <c r="A49" s="72" t="s">
        <v>86</v>
      </c>
      <c r="B49" s="73" t="s">
        <v>165</v>
      </c>
      <c r="C49" s="74" t="s">
        <v>88</v>
      </c>
      <c r="D49" s="74" t="s">
        <v>89</v>
      </c>
      <c r="E49" s="75" t="s">
        <v>90</v>
      </c>
      <c r="F49" s="76" t="s">
        <v>91</v>
      </c>
      <c r="G49" s="76" t="s">
        <v>92</v>
      </c>
      <c r="H49" s="76" t="s">
        <v>93</v>
      </c>
      <c r="I49" s="75" t="s">
        <v>94</v>
      </c>
      <c r="J49" s="76" t="s">
        <v>95</v>
      </c>
      <c r="K49" s="75" t="s">
        <v>96</v>
      </c>
      <c r="L49" s="77" t="s">
        <v>97</v>
      </c>
      <c r="M49" s="77" t="s">
        <v>98</v>
      </c>
      <c r="N49" s="77" t="s">
        <v>99</v>
      </c>
      <c r="O49" s="76" t="s">
        <v>100</v>
      </c>
      <c r="P49" s="77" t="s">
        <v>101</v>
      </c>
      <c r="Q49" s="78" t="s">
        <v>102</v>
      </c>
      <c r="R49" s="78" t="s">
        <v>103</v>
      </c>
      <c r="S49" s="79" t="s">
        <v>104</v>
      </c>
      <c r="T49" s="78" t="s">
        <v>105</v>
      </c>
      <c r="U49" s="78" t="s">
        <v>106</v>
      </c>
      <c r="V49" s="78" t="s">
        <v>107</v>
      </c>
      <c r="W49" s="78" t="s">
        <v>108</v>
      </c>
      <c r="X49" s="78" t="s">
        <v>109</v>
      </c>
      <c r="Y49" s="78" t="s">
        <v>110</v>
      </c>
      <c r="Z49" s="78" t="s">
        <v>111</v>
      </c>
      <c r="AA49" s="78" t="s">
        <v>112</v>
      </c>
      <c r="AB49" s="78" t="s">
        <v>113</v>
      </c>
      <c r="AC49" s="78" t="s">
        <v>114</v>
      </c>
      <c r="AD49" s="80" t="s">
        <v>115</v>
      </c>
      <c r="AE49" s="78" t="s">
        <v>116</v>
      </c>
      <c r="AF49" s="78" t="s">
        <v>117</v>
      </c>
      <c r="AG49" s="78" t="s">
        <v>118</v>
      </c>
      <c r="AH49" s="78" t="s">
        <v>119</v>
      </c>
      <c r="AI49" s="81" t="s">
        <v>120</v>
      </c>
      <c r="AJ49" s="78" t="s">
        <v>121</v>
      </c>
      <c r="AK49" s="78" t="s">
        <v>122</v>
      </c>
      <c r="AL49" s="78" t="s">
        <v>123</v>
      </c>
      <c r="AM49" s="78" t="s">
        <v>124</v>
      </c>
      <c r="AN49" s="78" t="s">
        <v>125</v>
      </c>
      <c r="AO49" s="78" t="s">
        <v>126</v>
      </c>
      <c r="AP49" s="78" t="s">
        <v>127</v>
      </c>
      <c r="AQ49" s="78" t="s">
        <v>128</v>
      </c>
      <c r="AR49" s="78" t="s">
        <v>129</v>
      </c>
      <c r="AS49" s="78" t="s">
        <v>130</v>
      </c>
      <c r="AT49" s="78" t="s">
        <v>131</v>
      </c>
      <c r="AU49" s="78" t="s">
        <v>132</v>
      </c>
      <c r="AV49" s="78" t="s">
        <v>133</v>
      </c>
      <c r="AW49" s="78" t="s">
        <v>134</v>
      </c>
      <c r="AX49" s="78" t="s">
        <v>135</v>
      </c>
      <c r="AY49" s="78" t="s">
        <v>136</v>
      </c>
      <c r="AZ49" s="78" t="s">
        <v>137</v>
      </c>
      <c r="BA49" s="78" t="s">
        <v>138</v>
      </c>
      <c r="BB49" s="78" t="s">
        <v>139</v>
      </c>
    </row>
    <row r="50" spans="1:54" ht="15.6" customHeight="1" x14ac:dyDescent="0.3">
      <c r="A50" s="82">
        <f>SUM(C50:BB50)</f>
        <v>9471379</v>
      </c>
      <c r="B50" s="83" t="s">
        <v>140</v>
      </c>
      <c r="C50" s="9">
        <v>287284</v>
      </c>
      <c r="D50" s="123">
        <v>777640</v>
      </c>
      <c r="E50" s="123">
        <v>1213378</v>
      </c>
      <c r="F50" s="123">
        <v>698312</v>
      </c>
      <c r="G50" s="123">
        <v>1776908</v>
      </c>
      <c r="H50" s="123">
        <v>1001876</v>
      </c>
      <c r="I50" s="123">
        <v>288332</v>
      </c>
      <c r="J50" s="123">
        <v>614417</v>
      </c>
      <c r="K50" s="123">
        <v>760267</v>
      </c>
      <c r="L50" s="123">
        <v>323789</v>
      </c>
      <c r="M50" s="123">
        <v>979795</v>
      </c>
      <c r="N50" s="123">
        <v>701882</v>
      </c>
      <c r="O50" s="123">
        <v>47499</v>
      </c>
      <c r="P50" s="8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163"/>
      <c r="AF50" s="3"/>
      <c r="AG50" s="3"/>
      <c r="AH50" s="123"/>
      <c r="AI50" s="3"/>
      <c r="AJ50" s="3"/>
      <c r="AK50" s="163"/>
      <c r="AL50" s="3"/>
      <c r="AM50" s="123"/>
      <c r="AN50" s="3"/>
      <c r="AO50" s="3"/>
      <c r="AP50" s="163"/>
      <c r="AQ50" s="3"/>
      <c r="AR50" s="3"/>
      <c r="AS50" s="3"/>
      <c r="AT50" s="3"/>
      <c r="AU50" s="3"/>
      <c r="AV50" s="3"/>
      <c r="AW50" s="123"/>
      <c r="AX50" s="3"/>
      <c r="AY50" s="3"/>
      <c r="AZ50" s="3"/>
      <c r="BA50" s="3"/>
      <c r="BB50" s="3"/>
    </row>
    <row r="51" spans="1:54" ht="15.6" customHeight="1" x14ac:dyDescent="0.3">
      <c r="A51" s="92">
        <f>SUM(C51:CC51)</f>
        <v>996860</v>
      </c>
      <c r="B51" s="74" t="s">
        <v>141</v>
      </c>
      <c r="C51" s="155">
        <v>68929</v>
      </c>
      <c r="D51" s="164">
        <v>24573</v>
      </c>
      <c r="E51" s="164">
        <v>11899</v>
      </c>
      <c r="F51" s="164">
        <v>63152</v>
      </c>
      <c r="G51" s="164">
        <v>206178</v>
      </c>
      <c r="H51" s="164">
        <v>22931</v>
      </c>
      <c r="I51" s="164">
        <v>13438</v>
      </c>
      <c r="J51" s="164">
        <v>11152</v>
      </c>
      <c r="K51" s="164">
        <v>14606</v>
      </c>
      <c r="L51" s="164">
        <v>45030</v>
      </c>
      <c r="M51" s="164">
        <v>137720</v>
      </c>
      <c r="N51" s="164">
        <v>115591</v>
      </c>
      <c r="O51" s="164">
        <v>71293</v>
      </c>
      <c r="P51" s="155">
        <v>190368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165"/>
      <c r="AF51" s="3"/>
      <c r="AG51" s="3"/>
      <c r="AH51" s="164"/>
      <c r="AI51" s="3"/>
      <c r="AJ51" s="3"/>
      <c r="AK51" s="165"/>
      <c r="AL51" s="164"/>
      <c r="AM51" s="164"/>
      <c r="AN51" s="3"/>
      <c r="AO51" s="164"/>
      <c r="AP51" s="165"/>
      <c r="AQ51" s="164"/>
      <c r="AR51" s="164"/>
      <c r="AS51" s="164"/>
      <c r="AT51" s="164"/>
      <c r="AU51" s="164"/>
      <c r="AV51" s="164"/>
      <c r="AW51" s="164"/>
      <c r="AX51" s="3"/>
      <c r="AY51" s="3"/>
      <c r="AZ51" s="3"/>
      <c r="BA51" s="3"/>
      <c r="BB51" s="3"/>
    </row>
    <row r="52" spans="1:54" ht="45.75" customHeight="1" x14ac:dyDescent="0.3">
      <c r="A52" s="166"/>
      <c r="B52" s="167"/>
      <c r="C52" s="168" t="s">
        <v>166</v>
      </c>
      <c r="D52" s="168" t="s">
        <v>167</v>
      </c>
      <c r="E52" s="169" t="s">
        <v>168</v>
      </c>
      <c r="F52" s="170" t="s">
        <v>169</v>
      </c>
      <c r="G52" s="170" t="s">
        <v>170</v>
      </c>
      <c r="H52" s="169" t="s">
        <v>171</v>
      </c>
      <c r="I52" s="169" t="s">
        <v>172</v>
      </c>
      <c r="J52" s="169" t="s">
        <v>173</v>
      </c>
      <c r="K52" s="169" t="s">
        <v>174</v>
      </c>
      <c r="L52" s="168" t="s">
        <v>175</v>
      </c>
      <c r="M52" s="168" t="s">
        <v>176</v>
      </c>
      <c r="N52" s="168" t="s">
        <v>177</v>
      </c>
      <c r="O52" s="169" t="s">
        <v>178</v>
      </c>
      <c r="P52" s="168" t="s">
        <v>179</v>
      </c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2"/>
      <c r="AB52" s="172"/>
      <c r="AC52" s="172"/>
      <c r="AD52" s="173"/>
      <c r="AE52" s="172"/>
      <c r="AF52" s="172"/>
      <c r="AG52" s="172"/>
      <c r="AH52" s="171"/>
      <c r="AI52" s="171"/>
      <c r="AJ52" s="171"/>
      <c r="AK52" s="174"/>
      <c r="AL52" s="171"/>
      <c r="AM52" s="171"/>
      <c r="AN52" s="171"/>
      <c r="AO52" s="171"/>
      <c r="AP52" s="171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6"/>
      <c r="BB52" s="175"/>
    </row>
    <row r="53" spans="1:54" ht="31.5" customHeight="1" x14ac:dyDescent="0.3">
      <c r="A53" s="177"/>
      <c r="B53" s="178"/>
      <c r="C53" s="168" t="s">
        <v>180</v>
      </c>
      <c r="D53" s="168" t="s">
        <v>181</v>
      </c>
      <c r="E53" s="169" t="s">
        <v>182</v>
      </c>
      <c r="F53" s="170" t="s">
        <v>183</v>
      </c>
      <c r="G53" s="170" t="s">
        <v>184</v>
      </c>
      <c r="H53" s="169" t="s">
        <v>185</v>
      </c>
      <c r="I53" s="169" t="s">
        <v>186</v>
      </c>
      <c r="J53" s="169" t="s">
        <v>187</v>
      </c>
      <c r="K53" s="169" t="s">
        <v>188</v>
      </c>
      <c r="L53" s="168" t="s">
        <v>189</v>
      </c>
      <c r="M53" s="168" t="s">
        <v>190</v>
      </c>
      <c r="N53" s="168" t="s">
        <v>191</v>
      </c>
      <c r="O53" s="169" t="s">
        <v>192</v>
      </c>
      <c r="P53" s="168" t="s">
        <v>193</v>
      </c>
      <c r="Q53" s="171"/>
      <c r="R53" s="171"/>
      <c r="S53" s="3"/>
      <c r="T53" s="171"/>
      <c r="U53" s="171"/>
      <c r="V53" s="171"/>
      <c r="W53" s="171"/>
      <c r="X53" s="171"/>
      <c r="Y53" s="171"/>
      <c r="Z53" s="171"/>
      <c r="AA53" s="172"/>
      <c r="AB53" s="172"/>
      <c r="AC53" s="172"/>
      <c r="AD53" s="173"/>
      <c r="AE53" s="172"/>
      <c r="AF53" s="172"/>
      <c r="AG53" s="172"/>
      <c r="AH53" s="171"/>
      <c r="AI53" s="171"/>
      <c r="AJ53" s="179"/>
      <c r="AK53" s="180"/>
      <c r="AL53" s="171"/>
      <c r="AM53" s="171"/>
      <c r="AN53" s="171"/>
      <c r="AO53" s="171"/>
      <c r="AP53" s="174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6"/>
      <c r="BB53" s="175"/>
    </row>
    <row r="54" spans="1:54" ht="31.8" customHeight="1" x14ac:dyDescent="0.3">
      <c r="A54" s="3"/>
      <c r="B54" s="181"/>
      <c r="C54" s="168"/>
      <c r="D54" s="168" t="s">
        <v>194</v>
      </c>
      <c r="E54" s="169" t="s">
        <v>195</v>
      </c>
      <c r="F54" s="170" t="s">
        <v>196</v>
      </c>
      <c r="G54" s="170" t="s">
        <v>197</v>
      </c>
      <c r="H54" s="169" t="s">
        <v>198</v>
      </c>
      <c r="I54" s="169" t="s">
        <v>199</v>
      </c>
      <c r="J54" s="169" t="s">
        <v>200</v>
      </c>
      <c r="K54" s="169" t="s">
        <v>201</v>
      </c>
      <c r="L54" s="168" t="s">
        <v>202</v>
      </c>
      <c r="M54" s="168" t="s">
        <v>203</v>
      </c>
      <c r="N54" s="168" t="s">
        <v>204</v>
      </c>
      <c r="O54" s="169" t="s">
        <v>205</v>
      </c>
      <c r="P54" s="168" t="s">
        <v>206</v>
      </c>
      <c r="Q54" s="171"/>
      <c r="R54" s="172"/>
      <c r="S54" s="171"/>
      <c r="T54" s="171"/>
      <c r="U54" s="171"/>
      <c r="V54" s="171"/>
      <c r="W54" s="171"/>
      <c r="X54" s="171"/>
      <c r="Y54" s="171"/>
      <c r="Z54" s="171"/>
      <c r="AA54" s="172"/>
      <c r="AB54" s="172"/>
      <c r="AC54" s="172"/>
      <c r="AD54" s="173"/>
      <c r="AE54" s="172"/>
      <c r="AF54" s="172"/>
      <c r="AG54" s="172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82"/>
      <c r="AU54" s="30"/>
      <c r="AV54" s="182"/>
      <c r="AW54" s="182"/>
      <c r="AX54" s="182"/>
      <c r="AY54" s="182"/>
      <c r="AZ54" s="182"/>
      <c r="BA54" s="182"/>
      <c r="BB54" s="182"/>
    </row>
    <row r="55" spans="1:54" ht="41.4" customHeight="1" x14ac:dyDescent="0.3">
      <c r="A55" s="3"/>
      <c r="B55" s="8"/>
      <c r="C55" s="168"/>
      <c r="D55" s="168" t="s">
        <v>207</v>
      </c>
      <c r="E55" s="169" t="s">
        <v>208</v>
      </c>
      <c r="F55" s="169" t="s">
        <v>209</v>
      </c>
      <c r="G55" s="169" t="s">
        <v>210</v>
      </c>
      <c r="H55" s="169" t="s">
        <v>211</v>
      </c>
      <c r="I55" s="169"/>
      <c r="J55" s="169" t="s">
        <v>185</v>
      </c>
      <c r="K55" s="183" t="s">
        <v>212</v>
      </c>
      <c r="L55" s="184" t="s">
        <v>213</v>
      </c>
      <c r="M55" s="184" t="s">
        <v>214</v>
      </c>
      <c r="N55" s="184" t="s">
        <v>215</v>
      </c>
      <c r="O55" s="169" t="s">
        <v>216</v>
      </c>
      <c r="P55" s="168" t="s">
        <v>217</v>
      </c>
      <c r="Q55" s="171"/>
      <c r="R55" s="185"/>
      <c r="S55" s="185"/>
      <c r="T55" s="171"/>
      <c r="U55" s="171"/>
      <c r="V55" s="171"/>
      <c r="W55" s="171"/>
      <c r="X55" s="172"/>
      <c r="Y55" s="172"/>
      <c r="Z55" s="171"/>
      <c r="AA55" s="172"/>
      <c r="AB55" s="172"/>
      <c r="AC55" s="171"/>
      <c r="AD55" s="173"/>
      <c r="AE55" s="172"/>
      <c r="AF55" s="172"/>
      <c r="AG55" s="172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1"/>
      <c r="AT55" s="182"/>
      <c r="AU55" s="30"/>
      <c r="AV55" s="182"/>
      <c r="AW55" s="182"/>
      <c r="AX55" s="182"/>
      <c r="AY55" s="182"/>
      <c r="AZ55" s="182"/>
      <c r="BA55" s="182"/>
      <c r="BB55" s="182"/>
    </row>
    <row r="56" spans="1:54" ht="41.4" customHeight="1" x14ac:dyDescent="0.3">
      <c r="A56" s="3"/>
      <c r="B56" s="8"/>
      <c r="C56" s="168"/>
      <c r="D56" s="168" t="s">
        <v>218</v>
      </c>
      <c r="E56" s="169" t="s">
        <v>219</v>
      </c>
      <c r="F56" s="169" t="s">
        <v>220</v>
      </c>
      <c r="G56" s="169"/>
      <c r="H56" s="169" t="s">
        <v>221</v>
      </c>
      <c r="I56" s="169"/>
      <c r="J56" s="169" t="s">
        <v>222</v>
      </c>
      <c r="K56" s="183" t="s">
        <v>223</v>
      </c>
      <c r="L56" s="184" t="s">
        <v>224</v>
      </c>
      <c r="M56" s="184" t="s">
        <v>225</v>
      </c>
      <c r="N56" s="184" t="s">
        <v>226</v>
      </c>
      <c r="O56" s="169" t="s">
        <v>227</v>
      </c>
      <c r="P56" s="168" t="s">
        <v>228</v>
      </c>
      <c r="Q56" s="171"/>
      <c r="R56" s="185"/>
      <c r="S56" s="171"/>
      <c r="T56" s="171"/>
      <c r="U56" s="171"/>
      <c r="V56" s="171"/>
      <c r="W56" s="185"/>
      <c r="X56" s="171"/>
      <c r="Y56" s="171"/>
      <c r="Z56" s="172"/>
      <c r="AA56" s="172"/>
      <c r="AB56" s="172"/>
      <c r="AC56" s="171"/>
      <c r="AD56" s="173"/>
      <c r="AE56" s="172"/>
      <c r="AF56" s="172"/>
      <c r="AG56" s="172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1"/>
      <c r="AT56" s="182"/>
      <c r="AU56" s="30"/>
      <c r="AV56" s="182"/>
      <c r="AW56" s="182"/>
      <c r="AX56" s="182"/>
      <c r="AY56" s="182"/>
      <c r="AZ56" s="182"/>
      <c r="BA56" s="182"/>
      <c r="BB56" s="182"/>
    </row>
    <row r="57" spans="1:54" ht="31.5" customHeight="1" x14ac:dyDescent="0.3">
      <c r="A57" s="3"/>
      <c r="B57" s="8"/>
      <c r="C57" s="168"/>
      <c r="D57" s="168" t="s">
        <v>229</v>
      </c>
      <c r="E57" s="169" t="s">
        <v>230</v>
      </c>
      <c r="F57" s="183" t="s">
        <v>231</v>
      </c>
      <c r="G57" s="169"/>
      <c r="H57" s="169" t="s">
        <v>232</v>
      </c>
      <c r="I57" s="169"/>
      <c r="J57" s="169" t="s">
        <v>233</v>
      </c>
      <c r="K57" s="183" t="s">
        <v>234</v>
      </c>
      <c r="L57" s="184" t="s">
        <v>185</v>
      </c>
      <c r="M57" s="184" t="s">
        <v>235</v>
      </c>
      <c r="N57" s="184" t="s">
        <v>236</v>
      </c>
      <c r="O57" s="169" t="s">
        <v>237</v>
      </c>
      <c r="P57" s="186" t="s">
        <v>238</v>
      </c>
      <c r="Q57" s="171"/>
      <c r="R57" s="171"/>
      <c r="S57" s="171"/>
      <c r="T57" s="171"/>
      <c r="U57" s="185"/>
      <c r="V57" s="171"/>
      <c r="W57" s="171"/>
      <c r="X57" s="172"/>
      <c r="Y57" s="185"/>
      <c r="Z57" s="172"/>
      <c r="AA57" s="172"/>
      <c r="AB57" s="172"/>
      <c r="AC57" s="3"/>
      <c r="AD57" s="187"/>
      <c r="AE57" s="172"/>
      <c r="AF57" s="171"/>
      <c r="AG57" s="172"/>
      <c r="AH57" s="171"/>
      <c r="AI57" s="171"/>
      <c r="AJ57" s="171"/>
      <c r="AK57" s="171"/>
      <c r="AL57" s="172"/>
      <c r="AM57" s="171"/>
      <c r="AN57" s="171"/>
      <c r="AO57" s="171"/>
      <c r="AP57" s="171"/>
      <c r="AQ57" s="171"/>
      <c r="AR57" s="171"/>
      <c r="AS57" s="171"/>
      <c r="AT57" s="182"/>
      <c r="AU57" s="30"/>
      <c r="AV57" s="182"/>
      <c r="AW57" s="182"/>
      <c r="AX57" s="182"/>
      <c r="AY57" s="182"/>
      <c r="AZ57" s="182"/>
      <c r="BA57" s="182"/>
      <c r="BB57" s="182"/>
    </row>
    <row r="58" spans="1:54" ht="31.5" customHeight="1" x14ac:dyDescent="0.3">
      <c r="A58" s="3"/>
      <c r="B58" s="8"/>
      <c r="C58" s="168"/>
      <c r="D58" s="168" t="s">
        <v>239</v>
      </c>
      <c r="E58" s="169" t="s">
        <v>240</v>
      </c>
      <c r="F58" s="183" t="s">
        <v>241</v>
      </c>
      <c r="G58" s="71"/>
      <c r="H58" s="169" t="s">
        <v>242</v>
      </c>
      <c r="I58" s="169"/>
      <c r="J58" s="169" t="s">
        <v>243</v>
      </c>
      <c r="K58" s="183" t="s">
        <v>244</v>
      </c>
      <c r="L58" s="184" t="s">
        <v>245</v>
      </c>
      <c r="M58" s="184" t="s">
        <v>246</v>
      </c>
      <c r="N58" s="184" t="s">
        <v>247</v>
      </c>
      <c r="O58" s="169" t="s">
        <v>248</v>
      </c>
      <c r="P58" s="186" t="s">
        <v>249</v>
      </c>
      <c r="Q58" s="171"/>
      <c r="R58" s="171"/>
      <c r="S58" s="171"/>
      <c r="T58" s="171"/>
      <c r="U58" s="171"/>
      <c r="V58" s="171"/>
      <c r="W58" s="171"/>
      <c r="X58" s="185"/>
      <c r="Y58" s="171"/>
      <c r="Z58" s="185"/>
      <c r="AA58" s="172"/>
      <c r="AB58" s="185"/>
      <c r="AC58" s="171"/>
      <c r="AD58" s="187"/>
      <c r="AE58" s="185"/>
      <c r="AF58" s="171"/>
      <c r="AG58" s="172"/>
      <c r="AH58" s="185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1"/>
      <c r="AT58" s="182"/>
      <c r="AU58" s="30"/>
      <c r="AV58" s="182"/>
      <c r="AW58" s="182"/>
      <c r="AX58" s="182"/>
      <c r="AY58" s="182"/>
      <c r="AZ58" s="182"/>
      <c r="BA58" s="182"/>
      <c r="BB58" s="182"/>
    </row>
    <row r="59" spans="1:54" ht="21.6" customHeight="1" x14ac:dyDescent="0.3">
      <c r="A59" s="3"/>
      <c r="B59" s="8"/>
      <c r="C59" s="70"/>
      <c r="D59" s="8"/>
      <c r="E59" s="169" t="s">
        <v>185</v>
      </c>
      <c r="F59" s="183" t="s">
        <v>250</v>
      </c>
      <c r="G59" s="71"/>
      <c r="H59" s="169"/>
      <c r="I59" s="169"/>
      <c r="J59" s="169" t="s">
        <v>243</v>
      </c>
      <c r="K59" s="183"/>
      <c r="L59" s="184" t="s">
        <v>251</v>
      </c>
      <c r="M59" s="184" t="s">
        <v>252</v>
      </c>
      <c r="N59" s="184" t="s">
        <v>247</v>
      </c>
      <c r="O59" s="169" t="s">
        <v>253</v>
      </c>
      <c r="P59" s="168" t="s">
        <v>254</v>
      </c>
      <c r="Q59" s="171"/>
      <c r="R59" s="171"/>
      <c r="S59" s="171"/>
      <c r="T59" s="171"/>
      <c r="U59" s="171"/>
      <c r="V59" s="171"/>
      <c r="W59" s="185"/>
      <c r="X59" s="171"/>
      <c r="Y59" s="171"/>
      <c r="Z59" s="172"/>
      <c r="AA59" s="172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82"/>
      <c r="AU59" s="30"/>
      <c r="AV59" s="182"/>
      <c r="AW59" s="182"/>
      <c r="AX59" s="182"/>
      <c r="AY59" s="182"/>
      <c r="AZ59" s="182"/>
      <c r="BA59" s="182"/>
      <c r="BB59" s="182"/>
    </row>
    <row r="60" spans="1:54" ht="31.8" customHeight="1" x14ac:dyDescent="0.3">
      <c r="A60" s="3"/>
      <c r="B60" s="8"/>
      <c r="C60" s="70"/>
      <c r="D60" s="8"/>
      <c r="E60" s="169" t="s">
        <v>255</v>
      </c>
      <c r="F60" s="183"/>
      <c r="G60" s="71"/>
      <c r="H60" s="169"/>
      <c r="I60" s="169"/>
      <c r="J60" s="169"/>
      <c r="K60" s="183"/>
      <c r="L60" s="188" t="s">
        <v>256</v>
      </c>
      <c r="M60" s="184" t="s">
        <v>257</v>
      </c>
      <c r="N60" s="184"/>
      <c r="O60" s="169" t="s">
        <v>258</v>
      </c>
      <c r="P60" s="168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2"/>
      <c r="AB60" s="171"/>
      <c r="AC60" s="185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82"/>
      <c r="AU60" s="30"/>
      <c r="AV60" s="182"/>
      <c r="AW60" s="182"/>
      <c r="AX60" s="182"/>
      <c r="AY60" s="182"/>
      <c r="AZ60" s="182"/>
      <c r="BA60" s="182"/>
      <c r="BB60" s="182"/>
    </row>
    <row r="61" spans="1:54" ht="31.5" customHeight="1" x14ac:dyDescent="0.3">
      <c r="A61" s="3"/>
      <c r="B61" s="8"/>
      <c r="C61" s="70"/>
      <c r="D61" s="8"/>
      <c r="E61" s="71"/>
      <c r="F61" s="183"/>
      <c r="G61" s="71"/>
      <c r="H61" s="169"/>
      <c r="I61" s="169"/>
      <c r="J61" s="169"/>
      <c r="K61" s="183"/>
      <c r="L61" s="184" t="s">
        <v>259</v>
      </c>
      <c r="M61" s="184" t="s">
        <v>260</v>
      </c>
      <c r="N61" s="184"/>
      <c r="O61" s="169"/>
      <c r="P61" s="168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3"/>
      <c r="AI61" s="171"/>
      <c r="AJ61" s="171"/>
      <c r="AK61" s="171"/>
      <c r="AL61" s="171"/>
      <c r="AM61" s="185"/>
      <c r="AN61" s="171"/>
      <c r="AO61" s="171"/>
      <c r="AP61" s="171"/>
      <c r="AQ61" s="171"/>
      <c r="AR61" s="171"/>
      <c r="AS61" s="171"/>
      <c r="AT61" s="182"/>
      <c r="AU61" s="30"/>
      <c r="AV61" s="182"/>
      <c r="AW61" s="182"/>
      <c r="AX61" s="182"/>
      <c r="AY61" s="182"/>
      <c r="AZ61" s="182"/>
      <c r="BA61" s="182"/>
      <c r="BB61" s="182"/>
    </row>
    <row r="62" spans="1:54" ht="21.6" customHeight="1" x14ac:dyDescent="0.3">
      <c r="A62" s="3"/>
      <c r="B62" s="8"/>
      <c r="C62" s="70"/>
      <c r="D62" s="8"/>
      <c r="E62" s="71"/>
      <c r="F62" s="183"/>
      <c r="G62" s="189"/>
      <c r="H62" s="71"/>
      <c r="I62" s="169"/>
      <c r="J62" s="169"/>
      <c r="K62" s="169"/>
      <c r="L62" s="190"/>
      <c r="M62" s="168" t="s">
        <v>261</v>
      </c>
      <c r="N62" s="168"/>
      <c r="O62" s="169"/>
      <c r="P62" s="168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3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82"/>
      <c r="AU62" s="30"/>
      <c r="AV62" s="182"/>
      <c r="AW62" s="182"/>
      <c r="AX62" s="182"/>
      <c r="AY62" s="182"/>
      <c r="AZ62" s="182"/>
      <c r="BA62" s="182"/>
      <c r="BB62" s="182"/>
    </row>
    <row r="63" spans="1:54" ht="31.5" customHeight="1" x14ac:dyDescent="0.3">
      <c r="A63" s="669" t="s">
        <v>262</v>
      </c>
      <c r="B63" s="670"/>
      <c r="C63" s="671"/>
      <c r="D63" s="670"/>
      <c r="E63" s="672"/>
      <c r="F63" s="71"/>
      <c r="G63" s="71"/>
      <c r="H63" s="169"/>
      <c r="I63" s="169"/>
      <c r="J63" s="71"/>
      <c r="K63" s="71"/>
      <c r="L63" s="8"/>
      <c r="M63" s="168" t="s">
        <v>263</v>
      </c>
      <c r="N63" s="168"/>
      <c r="O63" s="169"/>
      <c r="P63" s="168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3"/>
      <c r="AD63" s="185"/>
      <c r="AE63" s="171"/>
      <c r="AF63" s="171"/>
      <c r="AG63" s="171"/>
      <c r="AH63" s="3"/>
      <c r="AI63" s="171"/>
      <c r="AJ63" s="171"/>
      <c r="AK63" s="171"/>
      <c r="AL63" s="171"/>
      <c r="AM63" s="185"/>
      <c r="AN63" s="171"/>
      <c r="AO63" s="171"/>
      <c r="AP63" s="171"/>
      <c r="AQ63" s="171"/>
      <c r="AR63" s="171"/>
      <c r="AS63" s="171"/>
      <c r="AT63" s="182"/>
      <c r="AU63" s="3"/>
      <c r="AV63" s="182"/>
      <c r="AW63" s="182"/>
      <c r="AX63" s="182"/>
      <c r="AY63" s="182"/>
      <c r="AZ63" s="182"/>
      <c r="BA63" s="182"/>
      <c r="BB63" s="182"/>
    </row>
    <row r="64" spans="1:54" ht="19.5" customHeight="1" x14ac:dyDescent="0.3">
      <c r="A64" s="3" t="s">
        <v>264</v>
      </c>
      <c r="B64" s="192" t="s">
        <v>265</v>
      </c>
      <c r="C64" s="9"/>
      <c r="D64" s="8"/>
      <c r="E64" s="71"/>
      <c r="F64" s="71"/>
      <c r="G64" s="71"/>
      <c r="H64" s="71"/>
      <c r="I64" s="71"/>
      <c r="J64" s="71"/>
      <c r="K64" s="9"/>
      <c r="L64" s="8"/>
      <c r="M64" s="168"/>
      <c r="N64" s="168"/>
      <c r="O64" s="169"/>
      <c r="P64" s="168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3"/>
      <c r="AD64" s="171"/>
      <c r="AE64" s="171"/>
      <c r="AF64" s="171"/>
      <c r="AG64" s="171"/>
      <c r="AH64" s="3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1"/>
      <c r="AT64" s="182"/>
      <c r="AU64" s="3"/>
      <c r="AV64" s="182"/>
      <c r="AW64" s="182"/>
      <c r="AX64" s="182"/>
      <c r="AY64" s="182"/>
      <c r="AZ64" s="182"/>
      <c r="BA64" s="182"/>
      <c r="BB64" s="182"/>
    </row>
    <row r="65" spans="1:54" ht="19.5" customHeight="1" x14ac:dyDescent="0.3">
      <c r="A65" s="3" t="s">
        <v>266</v>
      </c>
      <c r="B65" s="192" t="s">
        <v>267</v>
      </c>
      <c r="C65" s="192" t="s">
        <v>268</v>
      </c>
      <c r="D65" s="8"/>
      <c r="E65" s="9"/>
      <c r="F65" s="9"/>
      <c r="G65" s="9"/>
      <c r="H65" s="9"/>
      <c r="I65" s="9"/>
      <c r="J65" s="9"/>
      <c r="K65" s="9"/>
      <c r="L65" s="8"/>
      <c r="M65" s="168"/>
      <c r="N65" s="168"/>
      <c r="O65" s="169"/>
      <c r="P65" s="168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93"/>
      <c r="AD65" s="171"/>
      <c r="AE65" s="171"/>
      <c r="AF65" s="171"/>
      <c r="AG65" s="171"/>
      <c r="AH65" s="3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1"/>
      <c r="AT65" s="182"/>
      <c r="AU65" s="3"/>
      <c r="AV65" s="182"/>
      <c r="AW65" s="182"/>
      <c r="AX65" s="182"/>
      <c r="AY65" s="182"/>
      <c r="AZ65" s="182"/>
      <c r="BA65" s="182"/>
      <c r="BB65" s="182"/>
    </row>
    <row r="66" spans="1:54" ht="19.5" customHeight="1" x14ac:dyDescent="0.3">
      <c r="A66" s="194" t="s">
        <v>269</v>
      </c>
      <c r="B66" s="9">
        <v>6841.6500000000005</v>
      </c>
      <c r="C66" s="9">
        <v>5701.8000000000011</v>
      </c>
      <c r="D66" s="8"/>
      <c r="E66" s="9"/>
      <c r="F66" s="9"/>
      <c r="G66" s="9"/>
      <c r="H66" s="9"/>
      <c r="I66" s="9"/>
      <c r="J66" s="9"/>
      <c r="K66" s="9"/>
      <c r="L66" s="8"/>
      <c r="M66" s="8"/>
      <c r="N66" s="8"/>
      <c r="O66" s="71"/>
      <c r="P66" s="8"/>
      <c r="Q66" s="3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3"/>
      <c r="AD66" s="185"/>
      <c r="AE66" s="185"/>
      <c r="AF66" s="185"/>
      <c r="AG66" s="185"/>
      <c r="AH66" s="3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95"/>
      <c r="AU66" s="3"/>
      <c r="AV66" s="195"/>
      <c r="AW66" s="195"/>
      <c r="AX66" s="195"/>
      <c r="AY66" s="195"/>
      <c r="AZ66" s="195"/>
      <c r="BA66" s="195"/>
      <c r="BB66" s="195"/>
    </row>
    <row r="67" spans="1:54" ht="19.5" customHeight="1" x14ac:dyDescent="0.3">
      <c r="A67" s="194" t="s">
        <v>270</v>
      </c>
      <c r="B67" s="9">
        <v>7725</v>
      </c>
      <c r="C67" s="9">
        <v>3190</v>
      </c>
      <c r="D67" s="8"/>
      <c r="E67" s="9"/>
      <c r="F67" s="9"/>
      <c r="G67" s="9"/>
      <c r="H67" s="9"/>
      <c r="I67" s="9"/>
      <c r="J67" s="9"/>
      <c r="K67" s="9"/>
      <c r="L67" s="8"/>
      <c r="M67" s="168"/>
      <c r="N67" s="168"/>
      <c r="O67" s="169"/>
      <c r="P67" s="168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3"/>
      <c r="AD67" s="171"/>
      <c r="AE67" s="171"/>
      <c r="AF67" s="171"/>
      <c r="AG67" s="171"/>
      <c r="AH67" s="3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1"/>
      <c r="AT67" s="182"/>
      <c r="AU67" s="3"/>
      <c r="AV67" s="182"/>
      <c r="AW67" s="182"/>
      <c r="AX67" s="182"/>
      <c r="AY67" s="182"/>
      <c r="AZ67" s="182"/>
      <c r="BA67" s="182"/>
      <c r="BB67" s="182"/>
    </row>
    <row r="68" spans="1:54" ht="19.5" customHeight="1" x14ac:dyDescent="0.3">
      <c r="A68" s="194" t="s">
        <v>271</v>
      </c>
      <c r="B68" s="9">
        <v>7080</v>
      </c>
      <c r="C68" s="9">
        <v>20947.599999999999</v>
      </c>
      <c r="D68" s="8"/>
      <c r="E68" s="9"/>
      <c r="F68" s="9"/>
      <c r="G68" s="9"/>
      <c r="H68" s="9"/>
      <c r="I68" s="9"/>
      <c r="J68" s="9"/>
      <c r="K68" s="9"/>
      <c r="L68" s="8"/>
      <c r="M68" s="168"/>
      <c r="N68" s="168"/>
      <c r="O68" s="169"/>
      <c r="P68" s="168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3"/>
      <c r="AD68" s="171"/>
      <c r="AE68" s="171"/>
      <c r="AF68" s="171"/>
      <c r="AG68" s="171"/>
      <c r="AH68" s="3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  <c r="AS68" s="171"/>
      <c r="AT68" s="182"/>
      <c r="AU68" s="3"/>
      <c r="AV68" s="3"/>
      <c r="AW68" s="3"/>
      <c r="AX68" s="3"/>
      <c r="AY68" s="3"/>
      <c r="AZ68" s="3"/>
      <c r="BA68" s="3"/>
      <c r="BB68" s="3"/>
    </row>
    <row r="69" spans="1:54" ht="19.5" customHeight="1" x14ac:dyDescent="0.3">
      <c r="A69" s="194" t="s">
        <v>272</v>
      </c>
      <c r="B69" s="9">
        <v>10972</v>
      </c>
      <c r="C69" s="9">
        <v>4179</v>
      </c>
      <c r="D69" s="8"/>
      <c r="E69" s="9"/>
      <c r="F69" s="9"/>
      <c r="G69" s="9"/>
      <c r="H69" s="9"/>
      <c r="I69" s="9"/>
      <c r="J69" s="9"/>
      <c r="K69" s="9"/>
      <c r="L69" s="8"/>
      <c r="M69" s="8"/>
      <c r="N69" s="8"/>
      <c r="O69" s="71"/>
      <c r="P69" s="8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182"/>
      <c r="AU69" s="3"/>
      <c r="AV69" s="3"/>
      <c r="AW69" s="3"/>
      <c r="AX69" s="3"/>
      <c r="AY69" s="3"/>
      <c r="AZ69" s="3"/>
      <c r="BA69" s="3"/>
      <c r="BB69" s="3"/>
    </row>
    <row r="70" spans="1:54" ht="19.5" customHeight="1" x14ac:dyDescent="0.3">
      <c r="A70" s="194" t="s">
        <v>273</v>
      </c>
      <c r="B70" s="9">
        <v>437</v>
      </c>
      <c r="C70" s="9">
        <v>8941.5499999999993</v>
      </c>
      <c r="D70" s="8"/>
      <c r="E70" s="9"/>
      <c r="F70" s="9"/>
      <c r="G70" s="9"/>
      <c r="H70" s="9"/>
      <c r="I70" s="9"/>
      <c r="J70" s="9"/>
      <c r="K70" s="9"/>
      <c r="L70" s="8"/>
      <c r="M70" s="8"/>
      <c r="N70" s="8"/>
      <c r="O70" s="71"/>
      <c r="P70" s="8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182"/>
      <c r="AU70" s="3"/>
      <c r="AV70" s="3"/>
      <c r="AW70" s="3"/>
      <c r="AX70" s="3"/>
      <c r="AY70" s="3"/>
      <c r="AZ70" s="3"/>
      <c r="BA70" s="3"/>
      <c r="BB70" s="3"/>
    </row>
    <row r="71" spans="1:54" ht="19.5" customHeight="1" x14ac:dyDescent="0.3">
      <c r="A71" s="194" t="s">
        <v>274</v>
      </c>
      <c r="B71" s="9"/>
      <c r="C71" s="9">
        <v>62251</v>
      </c>
      <c r="D71" s="8"/>
      <c r="E71" s="9"/>
      <c r="F71" s="9"/>
      <c r="G71" s="9"/>
      <c r="H71" s="9"/>
      <c r="I71" s="9"/>
      <c r="J71" s="9"/>
      <c r="K71" s="9"/>
      <c r="L71" s="8"/>
      <c r="M71" s="8"/>
      <c r="N71" s="8"/>
      <c r="O71" s="71"/>
      <c r="P71" s="8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182"/>
      <c r="AU71" s="3"/>
      <c r="AV71" s="3"/>
      <c r="AW71" s="3"/>
      <c r="AX71" s="3"/>
      <c r="AY71" s="3"/>
      <c r="AZ71" s="3"/>
      <c r="BA71" s="3"/>
      <c r="BB71" s="3"/>
    </row>
    <row r="72" spans="1:54" ht="19.5" customHeight="1" x14ac:dyDescent="0.3">
      <c r="A72" s="194" t="s">
        <v>275</v>
      </c>
      <c r="B72" s="9">
        <v>18241</v>
      </c>
      <c r="C72" s="9"/>
      <c r="D72" s="8"/>
      <c r="E72" s="9"/>
      <c r="F72" s="9"/>
      <c r="G72" s="9"/>
      <c r="H72" s="9"/>
      <c r="I72" s="9"/>
      <c r="J72" s="9"/>
      <c r="K72" s="9"/>
      <c r="L72" s="8"/>
      <c r="M72" s="8"/>
      <c r="N72" s="8"/>
      <c r="O72" s="71"/>
      <c r="P72" s="8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182"/>
      <c r="AU72" s="3"/>
      <c r="AV72" s="3"/>
      <c r="AW72" s="3"/>
      <c r="AX72" s="3"/>
      <c r="AY72" s="3"/>
      <c r="AZ72" s="3"/>
      <c r="BA72" s="3"/>
      <c r="BB72" s="3"/>
    </row>
    <row r="73" spans="1:54" ht="19.5" customHeight="1" x14ac:dyDescent="0.3">
      <c r="A73" s="194" t="s">
        <v>276</v>
      </c>
      <c r="B73" s="9">
        <v>0</v>
      </c>
      <c r="C73" s="9">
        <v>32943</v>
      </c>
      <c r="D73" s="8"/>
      <c r="E73" s="9"/>
      <c r="F73" s="9"/>
      <c r="G73" s="9"/>
      <c r="H73" s="9"/>
      <c r="I73" s="9"/>
      <c r="J73" s="9"/>
      <c r="K73" s="9"/>
      <c r="L73" s="8"/>
      <c r="M73" s="8"/>
      <c r="N73" s="8"/>
      <c r="O73" s="71"/>
      <c r="P73" s="8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182"/>
      <c r="AU73" s="3"/>
      <c r="AV73" s="3"/>
      <c r="AW73" s="3"/>
      <c r="AX73" s="3"/>
      <c r="AY73" s="3"/>
      <c r="AZ73" s="3"/>
      <c r="BA73" s="3"/>
      <c r="BB73" s="3"/>
    </row>
    <row r="74" spans="1:54" ht="19.5" customHeight="1" x14ac:dyDescent="0.3">
      <c r="A74" s="194" t="s">
        <v>277</v>
      </c>
      <c r="B74" s="9">
        <v>642</v>
      </c>
      <c r="C74" s="9">
        <v>51600</v>
      </c>
      <c r="D74" s="8"/>
      <c r="E74" s="9"/>
      <c r="F74" s="9"/>
      <c r="G74" s="9"/>
      <c r="H74" s="9"/>
      <c r="I74" s="9"/>
      <c r="J74" s="9"/>
      <c r="K74" s="9"/>
      <c r="L74" s="8"/>
      <c r="M74" s="8"/>
      <c r="N74" s="8"/>
      <c r="O74" s="71"/>
      <c r="P74" s="8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182"/>
      <c r="AU74" s="3"/>
      <c r="AV74" s="3"/>
      <c r="AW74" s="3"/>
      <c r="AX74" s="3"/>
      <c r="AY74" s="3"/>
      <c r="AZ74" s="3"/>
      <c r="BA74" s="3"/>
      <c r="BB74" s="3"/>
    </row>
    <row r="75" spans="1:54" ht="19.5" customHeight="1" x14ac:dyDescent="0.3">
      <c r="A75" s="194" t="s">
        <v>278</v>
      </c>
      <c r="B75" s="9"/>
      <c r="C75" s="9">
        <v>9211.68</v>
      </c>
      <c r="D75" s="8"/>
      <c r="E75" s="9"/>
      <c r="F75" s="9"/>
      <c r="G75" s="9"/>
      <c r="H75" s="9"/>
      <c r="I75" s="9"/>
      <c r="J75" s="9"/>
      <c r="K75" s="9"/>
      <c r="L75" s="8"/>
      <c r="M75" s="8"/>
      <c r="N75" s="8"/>
      <c r="O75" s="71"/>
      <c r="P75" s="8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ht="19.5" customHeight="1" x14ac:dyDescent="0.3">
      <c r="A76" s="194"/>
      <c r="B76" s="9"/>
      <c r="C76" s="9"/>
      <c r="D76" s="9"/>
      <c r="E76" s="9"/>
      <c r="F76" s="9"/>
      <c r="G76" s="9"/>
      <c r="H76" s="9"/>
      <c r="I76" s="9"/>
      <c r="J76" s="9"/>
      <c r="K76" s="71"/>
      <c r="L76" s="8"/>
      <c r="M76" s="8"/>
      <c r="N76" s="8"/>
      <c r="O76" s="71"/>
      <c r="P76" s="8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 ht="19.5" customHeight="1" x14ac:dyDescent="0.3">
      <c r="A77" s="3"/>
      <c r="B77" s="8"/>
      <c r="C77" s="70"/>
      <c r="D77" s="8"/>
      <c r="E77" s="71"/>
      <c r="F77" s="71"/>
      <c r="G77" s="71"/>
      <c r="H77" s="71"/>
      <c r="I77" s="71"/>
      <c r="J77" s="71"/>
      <c r="K77" s="71"/>
      <c r="L77" s="8"/>
      <c r="M77" s="8"/>
      <c r="N77" s="8"/>
      <c r="O77" s="71"/>
      <c r="P77" s="8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ht="19.5" customHeight="1" x14ac:dyDescent="0.3">
      <c r="A78" s="3"/>
      <c r="B78" s="8"/>
      <c r="C78" s="70"/>
      <c r="D78" s="8"/>
      <c r="E78" s="71"/>
      <c r="F78" s="71"/>
      <c r="G78" s="71"/>
      <c r="H78" s="71"/>
      <c r="I78" s="71"/>
      <c r="J78" s="71"/>
      <c r="K78" s="71"/>
      <c r="L78" s="8"/>
      <c r="M78" s="8"/>
      <c r="N78" s="8"/>
      <c r="O78" s="71"/>
      <c r="P78" s="8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ht="19.5" customHeight="1" x14ac:dyDescent="0.3">
      <c r="A79" s="3"/>
      <c r="B79" s="8"/>
      <c r="C79" s="70"/>
      <c r="D79" s="8"/>
      <c r="E79" s="71"/>
      <c r="F79" s="71"/>
      <c r="G79" s="71"/>
      <c r="H79" s="71"/>
      <c r="I79" s="71"/>
      <c r="J79" s="71"/>
      <c r="K79" s="71"/>
      <c r="L79" s="8"/>
      <c r="M79" s="8"/>
      <c r="N79" s="8"/>
      <c r="O79" s="71"/>
      <c r="P79" s="8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 ht="19.5" customHeight="1" x14ac:dyDescent="0.3">
      <c r="A80" s="3"/>
      <c r="B80" s="8"/>
      <c r="C80" s="70"/>
      <c r="D80" s="8"/>
      <c r="E80" s="71"/>
      <c r="F80" s="71"/>
      <c r="G80" s="71"/>
      <c r="H80" s="71"/>
      <c r="I80" s="71"/>
      <c r="J80" s="71"/>
      <c r="K80" s="71"/>
      <c r="L80" s="8"/>
      <c r="M80" s="8"/>
      <c r="N80" s="8"/>
      <c r="O80" s="71"/>
      <c r="P80" s="8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 ht="19.5" customHeight="1" x14ac:dyDescent="0.3">
      <c r="A81" s="3"/>
      <c r="B81" s="8"/>
      <c r="C81" s="70"/>
      <c r="D81" s="8"/>
      <c r="E81" s="71"/>
      <c r="F81" s="71"/>
      <c r="G81" s="71"/>
      <c r="H81" s="71"/>
      <c r="I81" s="71"/>
      <c r="J81" s="71"/>
      <c r="K81" s="71"/>
      <c r="L81" s="8"/>
      <c r="M81" s="8"/>
      <c r="N81" s="8"/>
      <c r="O81" s="71"/>
      <c r="P81" s="8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 ht="19.5" customHeight="1" x14ac:dyDescent="0.3">
      <c r="A82" s="3"/>
      <c r="B82" s="8"/>
      <c r="C82" s="70"/>
      <c r="D82" s="8"/>
      <c r="E82" s="71"/>
      <c r="F82" s="71"/>
      <c r="G82" s="71"/>
      <c r="H82" s="71"/>
      <c r="I82" s="71"/>
      <c r="J82" s="71"/>
      <c r="K82" s="71"/>
      <c r="L82" s="8"/>
      <c r="M82" s="8"/>
      <c r="N82" s="8"/>
      <c r="O82" s="71"/>
      <c r="P82" s="8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 ht="19.5" customHeight="1" x14ac:dyDescent="0.3">
      <c r="A83" s="3"/>
      <c r="B83" s="8"/>
      <c r="C83" s="70"/>
      <c r="D83" s="8"/>
      <c r="E83" s="71"/>
      <c r="F83" s="71"/>
      <c r="G83" s="71"/>
      <c r="H83" s="71"/>
      <c r="I83" s="71"/>
      <c r="J83" s="71"/>
      <c r="K83" s="71"/>
      <c r="L83" s="8"/>
      <c r="M83" s="8"/>
      <c r="N83" s="8"/>
      <c r="O83" s="71"/>
      <c r="P83" s="8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 ht="19.5" customHeight="1" x14ac:dyDescent="0.3">
      <c r="A84" s="3"/>
      <c r="B84" s="8"/>
      <c r="C84" s="70"/>
      <c r="D84" s="8"/>
      <c r="E84" s="71"/>
      <c r="F84" s="71"/>
      <c r="G84" s="71"/>
      <c r="H84" s="71"/>
      <c r="I84" s="71"/>
      <c r="J84" s="71"/>
      <c r="K84" s="71"/>
      <c r="L84" s="8"/>
      <c r="M84" s="8"/>
      <c r="N84" s="8"/>
      <c r="O84" s="71"/>
      <c r="P84" s="8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 ht="19.5" customHeight="1" x14ac:dyDescent="0.3">
      <c r="A85" s="3"/>
      <c r="B85" s="8"/>
      <c r="C85" s="70"/>
      <c r="D85" s="8"/>
      <c r="E85" s="71"/>
      <c r="F85" s="71"/>
      <c r="G85" s="71"/>
      <c r="H85" s="71"/>
      <c r="I85" s="71"/>
      <c r="J85" s="71"/>
      <c r="K85" s="71"/>
      <c r="L85" s="8"/>
      <c r="M85" s="8"/>
      <c r="N85" s="8"/>
      <c r="O85" s="71"/>
      <c r="P85" s="8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 ht="19.5" customHeight="1" x14ac:dyDescent="0.3">
      <c r="A86" s="3"/>
      <c r="B86" s="8"/>
      <c r="C86" s="70"/>
      <c r="D86" s="8"/>
      <c r="E86" s="71"/>
      <c r="F86" s="71"/>
      <c r="G86" s="71"/>
      <c r="H86" s="71"/>
      <c r="I86" s="71"/>
      <c r="J86" s="71"/>
      <c r="K86" s="71"/>
      <c r="L86" s="8"/>
      <c r="M86" s="8"/>
      <c r="N86" s="8"/>
      <c r="O86" s="71"/>
      <c r="P86" s="8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 ht="19.5" customHeight="1" x14ac:dyDescent="0.3">
      <c r="A87" s="3"/>
      <c r="B87" s="8"/>
      <c r="C87" s="70"/>
      <c r="D87" s="8"/>
      <c r="E87" s="71"/>
      <c r="F87" s="71"/>
      <c r="G87" s="71"/>
      <c r="H87" s="71"/>
      <c r="I87" s="71"/>
      <c r="J87" s="71"/>
      <c r="K87" s="71"/>
      <c r="L87" s="8"/>
      <c r="M87" s="8"/>
      <c r="N87" s="8"/>
      <c r="O87" s="71"/>
      <c r="P87" s="8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 ht="19.5" customHeight="1" x14ac:dyDescent="0.3">
      <c r="A88" s="3"/>
      <c r="B88" s="8"/>
      <c r="C88" s="70"/>
      <c r="D88" s="8"/>
      <c r="E88" s="71"/>
      <c r="F88" s="71"/>
      <c r="G88" s="71"/>
      <c r="H88" s="71"/>
      <c r="I88" s="71"/>
      <c r="J88" s="71"/>
      <c r="K88" s="71"/>
      <c r="L88" s="8"/>
      <c r="M88" s="8"/>
      <c r="N88" s="8"/>
      <c r="O88" s="71"/>
      <c r="P88" s="8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 ht="19.5" customHeight="1" x14ac:dyDescent="0.3">
      <c r="A89" s="3"/>
      <c r="B89" s="8"/>
      <c r="C89" s="70"/>
      <c r="D89" s="8"/>
      <c r="E89" s="71"/>
      <c r="F89" s="71"/>
      <c r="G89" s="71"/>
      <c r="H89" s="71"/>
      <c r="I89" s="71"/>
      <c r="J89" s="71"/>
      <c r="K89" s="71"/>
      <c r="L89" s="8"/>
      <c r="M89" s="8"/>
      <c r="N89" s="8"/>
      <c r="O89" s="71"/>
      <c r="P89" s="8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 ht="19.5" customHeight="1" x14ac:dyDescent="0.3">
      <c r="A90" s="3"/>
      <c r="B90" s="8"/>
      <c r="C90" s="70"/>
      <c r="D90" s="8"/>
      <c r="E90" s="71"/>
      <c r="F90" s="71"/>
      <c r="G90" s="71"/>
      <c r="H90" s="71"/>
      <c r="I90" s="71"/>
      <c r="J90" s="71"/>
      <c r="K90" s="71"/>
      <c r="L90" s="8"/>
      <c r="M90" s="8"/>
      <c r="N90" s="8"/>
      <c r="O90" s="71"/>
      <c r="P90" s="8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 ht="19.5" customHeight="1" x14ac:dyDescent="0.3">
      <c r="A91" s="3"/>
      <c r="B91" s="8"/>
      <c r="C91" s="70"/>
      <c r="D91" s="8"/>
      <c r="E91" s="71"/>
      <c r="F91" s="71"/>
      <c r="G91" s="71"/>
      <c r="H91" s="71"/>
      <c r="I91" s="71"/>
      <c r="J91" s="71"/>
      <c r="K91" s="71"/>
      <c r="L91" s="8"/>
      <c r="M91" s="8"/>
      <c r="N91" s="8"/>
      <c r="O91" s="71"/>
      <c r="P91" s="8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 ht="19.5" customHeight="1" x14ac:dyDescent="0.3">
      <c r="A92" s="3"/>
      <c r="B92" s="8"/>
      <c r="C92" s="70"/>
      <c r="D92" s="8"/>
      <c r="E92" s="71"/>
      <c r="F92" s="71"/>
      <c r="G92" s="71"/>
      <c r="H92" s="71"/>
      <c r="I92" s="71"/>
      <c r="J92" s="71"/>
      <c r="K92" s="71"/>
      <c r="L92" s="8"/>
      <c r="M92" s="8"/>
      <c r="N92" s="8"/>
      <c r="O92" s="71"/>
      <c r="P92" s="8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 ht="19.5" customHeight="1" x14ac:dyDescent="0.3">
      <c r="A93" s="3"/>
      <c r="B93" s="8"/>
      <c r="C93" s="70"/>
      <c r="D93" s="8"/>
      <c r="E93" s="71"/>
      <c r="F93" s="71"/>
      <c r="G93" s="71"/>
      <c r="H93" s="71"/>
      <c r="I93" s="71"/>
      <c r="J93" s="71"/>
      <c r="K93" s="71"/>
      <c r="L93" s="8"/>
      <c r="M93" s="8"/>
      <c r="N93" s="8"/>
      <c r="O93" s="71"/>
      <c r="P93" s="8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 ht="19.5" customHeight="1" x14ac:dyDescent="0.3">
      <c r="A94" s="3"/>
      <c r="B94" s="8"/>
      <c r="C94" s="70"/>
      <c r="D94" s="8"/>
      <c r="E94" s="71"/>
      <c r="F94" s="71"/>
      <c r="G94" s="71"/>
      <c r="H94" s="71"/>
      <c r="I94" s="71"/>
      <c r="J94" s="71"/>
      <c r="K94" s="71"/>
      <c r="L94" s="8"/>
      <c r="M94" s="8"/>
      <c r="N94" s="8"/>
      <c r="O94" s="71"/>
      <c r="P94" s="8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 ht="19.5" customHeight="1" x14ac:dyDescent="0.3">
      <c r="A95" s="3"/>
      <c r="B95" s="8"/>
      <c r="C95" s="70"/>
      <c r="D95" s="8"/>
      <c r="E95" s="71"/>
      <c r="F95" s="71"/>
      <c r="G95" s="71"/>
      <c r="H95" s="71"/>
      <c r="I95" s="71"/>
      <c r="J95" s="71"/>
      <c r="K95" s="71"/>
      <c r="L95" s="8"/>
      <c r="M95" s="8"/>
      <c r="N95" s="8"/>
      <c r="O95" s="71"/>
      <c r="P95" s="8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 ht="19.5" customHeight="1" x14ac:dyDescent="0.3">
      <c r="A96" s="3"/>
      <c r="B96" s="8"/>
      <c r="C96" s="70"/>
      <c r="D96" s="8"/>
      <c r="E96" s="71"/>
      <c r="F96" s="71"/>
      <c r="G96" s="71"/>
      <c r="H96" s="71"/>
      <c r="I96" s="71"/>
      <c r="J96" s="71"/>
      <c r="K96" s="71"/>
      <c r="L96" s="8"/>
      <c r="M96" s="8"/>
      <c r="N96" s="8"/>
      <c r="O96" s="71"/>
      <c r="P96" s="8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 ht="19.5" customHeight="1" x14ac:dyDescent="0.3">
      <c r="A97" s="3"/>
      <c r="B97" s="8"/>
      <c r="C97" s="70"/>
      <c r="D97" s="8"/>
      <c r="E97" s="71"/>
      <c r="F97" s="71"/>
      <c r="G97" s="71"/>
      <c r="H97" s="71"/>
      <c r="I97" s="71"/>
      <c r="J97" s="71"/>
      <c r="K97" s="71"/>
      <c r="L97" s="8"/>
      <c r="M97" s="8"/>
      <c r="N97" s="8"/>
      <c r="O97" s="71"/>
      <c r="P97" s="8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 ht="19.5" customHeight="1" x14ac:dyDescent="0.3">
      <c r="A98" s="3"/>
      <c r="B98" s="8"/>
      <c r="C98" s="70"/>
      <c r="D98" s="8"/>
      <c r="E98" s="71"/>
      <c r="F98" s="71"/>
      <c r="G98" s="71"/>
      <c r="H98" s="71"/>
      <c r="I98" s="71"/>
      <c r="J98" s="71"/>
      <c r="K98" s="71"/>
      <c r="L98" s="8"/>
      <c r="M98" s="8"/>
      <c r="N98" s="8"/>
      <c r="O98" s="71"/>
      <c r="P98" s="8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 ht="19.5" customHeight="1" x14ac:dyDescent="0.3">
      <c r="A99" s="3"/>
      <c r="B99" s="8"/>
      <c r="C99" s="70"/>
      <c r="D99" s="8"/>
      <c r="E99" s="71"/>
      <c r="F99" s="71"/>
      <c r="G99" s="71"/>
      <c r="H99" s="71"/>
      <c r="I99" s="71"/>
      <c r="J99" s="71"/>
      <c r="K99" s="71"/>
      <c r="L99" s="8"/>
      <c r="M99" s="8"/>
      <c r="N99" s="8"/>
      <c r="O99" s="71"/>
      <c r="P99" s="8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ht="19.5" customHeight="1" x14ac:dyDescent="0.3">
      <c r="A100" s="3"/>
      <c r="B100" s="8"/>
      <c r="C100" s="70"/>
      <c r="D100" s="8"/>
      <c r="E100" s="71"/>
      <c r="F100" s="71"/>
      <c r="G100" s="71"/>
      <c r="H100" s="71"/>
      <c r="I100" s="71"/>
      <c r="J100" s="71"/>
      <c r="K100" s="71"/>
      <c r="L100" s="8"/>
      <c r="M100" s="8"/>
      <c r="N100" s="8"/>
      <c r="O100" s="71"/>
      <c r="P100" s="8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ht="19.5" customHeight="1" x14ac:dyDescent="0.3">
      <c r="A101" s="3"/>
      <c r="B101" s="8"/>
      <c r="C101" s="70"/>
      <c r="D101" s="8"/>
      <c r="E101" s="158" t="s">
        <v>279</v>
      </c>
      <c r="F101" s="71"/>
      <c r="G101" s="71"/>
      <c r="H101" s="71"/>
      <c r="I101" s="71"/>
      <c r="J101" s="71"/>
      <c r="K101" s="71"/>
      <c r="L101" s="8"/>
      <c r="M101" s="8"/>
      <c r="N101" s="8"/>
      <c r="O101" s="71"/>
      <c r="P101" s="8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 ht="19.5" customHeight="1" x14ac:dyDescent="0.3">
      <c r="A102" s="3"/>
      <c r="B102" s="8"/>
      <c r="C102" s="157"/>
      <c r="D102" s="155">
        <v>2020</v>
      </c>
      <c r="E102" s="9">
        <f>D103/12</f>
        <v>287641.58333333331</v>
      </c>
      <c r="F102" s="71"/>
      <c r="G102" s="71"/>
      <c r="H102" s="71"/>
      <c r="I102" s="71"/>
      <c r="J102" s="71"/>
      <c r="K102" s="71"/>
      <c r="L102" s="8"/>
      <c r="M102" s="8"/>
      <c r="N102" s="8"/>
      <c r="O102" s="71"/>
      <c r="P102" s="8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 ht="19.5" customHeight="1" x14ac:dyDescent="0.3">
      <c r="A103" s="3"/>
      <c r="B103" s="8"/>
      <c r="C103" s="70" t="s">
        <v>280</v>
      </c>
      <c r="D103" s="9">
        <v>3451699</v>
      </c>
      <c r="E103" s="155">
        <f>D104/12</f>
        <v>108551.33333333333</v>
      </c>
      <c r="F103" s="71"/>
      <c r="G103" s="71"/>
      <c r="H103" s="71"/>
      <c r="I103" s="71"/>
      <c r="J103" s="71"/>
      <c r="K103" s="71"/>
      <c r="L103" s="8"/>
      <c r="M103" s="8"/>
      <c r="N103" s="8"/>
      <c r="O103" s="71"/>
      <c r="P103" s="8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 ht="19.5" customHeight="1" x14ac:dyDescent="0.3">
      <c r="A104" s="3"/>
      <c r="B104" s="8"/>
      <c r="C104" s="157" t="s">
        <v>281</v>
      </c>
      <c r="D104" s="155">
        <v>1302616</v>
      </c>
      <c r="E104" s="9">
        <f>D105/12</f>
        <v>396192.91666666669</v>
      </c>
      <c r="F104" s="71"/>
      <c r="G104" s="71"/>
      <c r="H104" s="71"/>
      <c r="I104" s="71"/>
      <c r="J104" s="71"/>
      <c r="K104" s="71"/>
      <c r="L104" s="8"/>
      <c r="M104" s="8"/>
      <c r="N104" s="8"/>
      <c r="O104" s="71"/>
      <c r="P104" s="8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 ht="19.5" customHeight="1" x14ac:dyDescent="0.3">
      <c r="A105" s="3"/>
      <c r="B105" s="8"/>
      <c r="C105" s="70" t="s">
        <v>86</v>
      </c>
      <c r="D105" s="9">
        <f>D103+D104</f>
        <v>4754315</v>
      </c>
      <c r="E105" s="71"/>
      <c r="F105" s="71"/>
      <c r="G105" s="71" t="s">
        <v>268</v>
      </c>
      <c r="H105" s="71"/>
      <c r="I105" s="71"/>
      <c r="J105" s="71"/>
      <c r="K105" s="71"/>
      <c r="L105" s="8"/>
      <c r="M105" s="8"/>
      <c r="N105" s="8"/>
      <c r="O105" s="71"/>
      <c r="P105" s="8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 ht="19.5" customHeight="1" x14ac:dyDescent="0.3">
      <c r="A106" s="3"/>
      <c r="B106" s="8"/>
      <c r="C106" s="70"/>
      <c r="D106" s="8"/>
      <c r="E106" s="71"/>
      <c r="F106" s="71"/>
      <c r="G106" s="123">
        <f>SUM(P51:S51)</f>
        <v>190368</v>
      </c>
      <c r="H106" s="71"/>
      <c r="I106" s="71"/>
      <c r="J106" s="71"/>
      <c r="K106" s="71"/>
      <c r="L106" s="8"/>
      <c r="M106" s="8"/>
      <c r="N106" s="8"/>
      <c r="O106" s="71"/>
      <c r="P106" s="8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ht="19.5" customHeight="1" x14ac:dyDescent="0.3">
      <c r="A107" s="3"/>
      <c r="B107" s="8"/>
      <c r="C107" s="70"/>
      <c r="D107" s="8"/>
      <c r="E107" s="71"/>
      <c r="F107" s="71"/>
      <c r="G107" s="123">
        <f>SUM(P66:S66)</f>
        <v>0</v>
      </c>
      <c r="H107" s="71"/>
      <c r="I107" s="71"/>
      <c r="J107" s="71"/>
      <c r="K107" s="71"/>
      <c r="L107" s="8"/>
      <c r="M107" s="8"/>
      <c r="N107" s="8"/>
      <c r="O107" s="71"/>
      <c r="P107" s="8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 ht="19.5" customHeight="1" x14ac:dyDescent="0.3">
      <c r="A108" s="3"/>
      <c r="B108" s="8"/>
      <c r="C108" s="70"/>
      <c r="D108" s="8"/>
      <c r="E108" s="71" t="s">
        <v>282</v>
      </c>
      <c r="F108" s="71"/>
      <c r="G108" s="9">
        <f>$E$104</f>
        <v>396192.91666666669</v>
      </c>
      <c r="H108" s="71"/>
      <c r="I108" s="71"/>
      <c r="J108" s="71"/>
      <c r="K108" s="71" t="s">
        <v>283</v>
      </c>
      <c r="L108" s="8"/>
      <c r="M108" s="8"/>
      <c r="N108" s="8"/>
      <c r="O108" s="71"/>
      <c r="P108" s="8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ht="19.5" customHeight="1" x14ac:dyDescent="0.3">
      <c r="A109" s="3"/>
      <c r="B109" s="8"/>
      <c r="C109" s="70"/>
      <c r="D109" s="8" t="s">
        <v>284</v>
      </c>
      <c r="E109" s="123">
        <f>SUM(H51:K51)</f>
        <v>62127</v>
      </c>
      <c r="F109" s="71" t="s">
        <v>267</v>
      </c>
      <c r="G109" s="71"/>
      <c r="H109" s="71" t="s">
        <v>285</v>
      </c>
      <c r="I109" s="71" t="s">
        <v>286</v>
      </c>
      <c r="J109" s="71" t="s">
        <v>287</v>
      </c>
      <c r="K109" s="123">
        <f>SUM(AH51:AK51)</f>
        <v>0</v>
      </c>
      <c r="L109" s="8" t="s">
        <v>288</v>
      </c>
      <c r="M109" s="8" t="s">
        <v>289</v>
      </c>
      <c r="N109" s="8" t="s">
        <v>290</v>
      </c>
      <c r="O109" s="71" t="s">
        <v>291</v>
      </c>
      <c r="P109" s="8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 ht="19.5" customHeight="1" x14ac:dyDescent="0.3">
      <c r="A110" s="3"/>
      <c r="B110" s="8"/>
      <c r="C110" s="162" t="s">
        <v>292</v>
      </c>
      <c r="D110" s="9">
        <f>SUM(C51:G51)</f>
        <v>374731</v>
      </c>
      <c r="E110" s="123">
        <f>SUM(H66:K66)</f>
        <v>0</v>
      </c>
      <c r="F110" s="123">
        <f>SUM(L51:O51)</f>
        <v>369634</v>
      </c>
      <c r="G110" s="71"/>
      <c r="H110" s="123">
        <f>SUM(T51:X51)</f>
        <v>0</v>
      </c>
      <c r="I110" s="123">
        <f>SUM(Y51:AB51)</f>
        <v>0</v>
      </c>
      <c r="J110" s="123">
        <f>SUM(AC51:AG51)</f>
        <v>0</v>
      </c>
      <c r="K110" s="123">
        <f>SUM(AH66:AK66)</f>
        <v>0</v>
      </c>
      <c r="L110" s="8"/>
      <c r="M110" s="8"/>
      <c r="N110" s="8"/>
      <c r="O110" s="71"/>
      <c r="P110" s="8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 ht="19.5" customHeight="1" x14ac:dyDescent="0.3">
      <c r="A111" s="3"/>
      <c r="B111" s="8"/>
      <c r="C111" s="196" t="s">
        <v>293</v>
      </c>
      <c r="D111" s="9">
        <f>SUM(C66:G66)</f>
        <v>5701.8000000000011</v>
      </c>
      <c r="E111" s="9">
        <f>$E$104</f>
        <v>396192.91666666669</v>
      </c>
      <c r="F111" s="123">
        <f>SUM(L66:O66)</f>
        <v>0</v>
      </c>
      <c r="G111" s="123">
        <f>G106+F115</f>
        <v>996860</v>
      </c>
      <c r="H111" s="123">
        <f>SUM(T66:X66)</f>
        <v>0</v>
      </c>
      <c r="I111" s="123">
        <f>SUM(Y66:AB66)</f>
        <v>0</v>
      </c>
      <c r="J111" s="123">
        <f>SUM(AC66:AG66)</f>
        <v>0</v>
      </c>
      <c r="K111" s="9">
        <f>$E$104</f>
        <v>396192.91666666669</v>
      </c>
      <c r="L111" s="8"/>
      <c r="M111" s="8"/>
      <c r="N111" s="8"/>
      <c r="O111" s="71"/>
      <c r="P111" s="8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 ht="19.5" customHeight="1" x14ac:dyDescent="0.3">
      <c r="A112" s="3"/>
      <c r="B112" s="8"/>
      <c r="C112" s="70" t="s">
        <v>294</v>
      </c>
      <c r="D112" s="9">
        <f>$E$104</f>
        <v>396192.91666666669</v>
      </c>
      <c r="E112" s="71"/>
      <c r="F112" s="9">
        <f>$E$104</f>
        <v>396192.91666666669</v>
      </c>
      <c r="G112" s="123">
        <f>G107+F116</f>
        <v>5701.8000000000011</v>
      </c>
      <c r="H112" s="9">
        <f>$E$104</f>
        <v>396192.91666666669</v>
      </c>
      <c r="I112" s="9">
        <f>$E$104</f>
        <v>396192.91666666669</v>
      </c>
      <c r="J112" s="9">
        <f>$E$104</f>
        <v>396192.91666666669</v>
      </c>
      <c r="K112" s="71"/>
      <c r="L112" s="9">
        <f>$E$104</f>
        <v>396192.91666666669</v>
      </c>
      <c r="M112" s="9">
        <f>$E$104</f>
        <v>396192.91666666669</v>
      </c>
      <c r="N112" s="9">
        <f>$E$104</f>
        <v>396192.91666666669</v>
      </c>
      <c r="O112" s="9">
        <f>$E$104</f>
        <v>396192.91666666669</v>
      </c>
      <c r="P112" s="8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 ht="19.5" customHeight="1" x14ac:dyDescent="0.3">
      <c r="A113" s="3"/>
      <c r="B113" s="8"/>
      <c r="C113" s="70"/>
      <c r="D113" s="8"/>
      <c r="E113" s="71"/>
      <c r="F113" s="71"/>
      <c r="G113" s="123">
        <f>G108+F117</f>
        <v>1584771.6666666667</v>
      </c>
      <c r="H113" s="71"/>
      <c r="I113" s="71"/>
      <c r="J113" s="71"/>
      <c r="K113" s="71"/>
      <c r="L113" s="8"/>
      <c r="M113" s="8"/>
      <c r="N113" s="8"/>
      <c r="O113" s="71"/>
      <c r="P113" s="8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 ht="19.5" customHeight="1" x14ac:dyDescent="0.3">
      <c r="A114" s="3"/>
      <c r="B114" s="8"/>
      <c r="C114" s="9" t="s">
        <v>295</v>
      </c>
      <c r="D114" s="8"/>
      <c r="E114" s="123">
        <f>E109+D115</f>
        <v>436858</v>
      </c>
      <c r="F114" s="71"/>
      <c r="G114" s="71"/>
      <c r="H114" s="71"/>
      <c r="I114" s="71"/>
      <c r="J114" s="71"/>
      <c r="K114" s="123">
        <f>K109+J115</f>
        <v>996860</v>
      </c>
      <c r="L114" s="9">
        <v>482000</v>
      </c>
      <c r="M114" s="9">
        <v>714000</v>
      </c>
      <c r="N114" s="9">
        <v>754000</v>
      </c>
      <c r="O114" s="9"/>
      <c r="P114" s="8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 ht="19.5" customHeight="1" x14ac:dyDescent="0.3">
      <c r="A115" s="3"/>
      <c r="B115" s="8"/>
      <c r="C115" s="9" t="s">
        <v>296</v>
      </c>
      <c r="D115" s="9">
        <f>D110</f>
        <v>374731</v>
      </c>
      <c r="E115" s="123">
        <f>E110+D116</f>
        <v>5701.8000000000011</v>
      </c>
      <c r="F115" s="123">
        <f>F110+E114</f>
        <v>806492</v>
      </c>
      <c r="G115" s="71"/>
      <c r="H115" s="123">
        <f>H110+G111</f>
        <v>996860</v>
      </c>
      <c r="I115" s="123">
        <f t="shared" ref="I115:J117" si="7">I110+H115</f>
        <v>996860</v>
      </c>
      <c r="J115" s="123">
        <f t="shared" si="7"/>
        <v>996860</v>
      </c>
      <c r="K115" s="123">
        <f>K110+J116</f>
        <v>5701.8000000000011</v>
      </c>
      <c r="L115" s="123">
        <f>L110+K114+L114</f>
        <v>1478860</v>
      </c>
      <c r="M115" s="123">
        <f>M110+L115+M114</f>
        <v>2192860</v>
      </c>
      <c r="N115" s="123">
        <f>N110+M115+N114</f>
        <v>2946860</v>
      </c>
      <c r="O115" s="123">
        <f>O110+N115+O114</f>
        <v>2946860</v>
      </c>
      <c r="P115" s="8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 ht="19.5" customHeight="1" x14ac:dyDescent="0.3">
      <c r="A116" s="3"/>
      <c r="B116" s="8"/>
      <c r="C116" s="9" t="s">
        <v>297</v>
      </c>
      <c r="D116" s="9">
        <f>D111</f>
        <v>5701.8000000000011</v>
      </c>
      <c r="E116" s="123">
        <f>E111+D117</f>
        <v>792385.83333333337</v>
      </c>
      <c r="F116" s="123">
        <f>F111+E115</f>
        <v>5701.8000000000011</v>
      </c>
      <c r="G116" s="71"/>
      <c r="H116" s="123">
        <f>H111+G112</f>
        <v>5701.8000000000011</v>
      </c>
      <c r="I116" s="123">
        <f t="shared" si="7"/>
        <v>5701.8000000000011</v>
      </c>
      <c r="J116" s="123">
        <f t="shared" si="7"/>
        <v>5701.8000000000011</v>
      </c>
      <c r="K116" s="123">
        <f>K111+J117</f>
        <v>3169543.333333333</v>
      </c>
      <c r="L116" s="123">
        <f>L111+K115</f>
        <v>5701.8000000000011</v>
      </c>
      <c r="M116" s="123">
        <f t="shared" ref="M116:O117" si="8">M111+L116</f>
        <v>5701.8000000000011</v>
      </c>
      <c r="N116" s="123">
        <f t="shared" si="8"/>
        <v>5701.8000000000011</v>
      </c>
      <c r="O116" s="123">
        <f t="shared" si="8"/>
        <v>5701.8000000000011</v>
      </c>
      <c r="P116" s="8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 ht="19.5" customHeight="1" x14ac:dyDescent="0.3">
      <c r="A117" s="3"/>
      <c r="B117" s="8"/>
      <c r="C117" s="9" t="s">
        <v>298</v>
      </c>
      <c r="D117" s="9">
        <f>D112</f>
        <v>396192.91666666669</v>
      </c>
      <c r="E117" s="71"/>
      <c r="F117" s="123">
        <f>F112+E116</f>
        <v>1188578.75</v>
      </c>
      <c r="G117" s="71"/>
      <c r="H117" s="123">
        <f>H112+G113</f>
        <v>1980964.5833333335</v>
      </c>
      <c r="I117" s="123">
        <f t="shared" si="7"/>
        <v>2377157.5</v>
      </c>
      <c r="J117" s="123">
        <f t="shared" si="7"/>
        <v>2773350.4166666665</v>
      </c>
      <c r="K117" s="71"/>
      <c r="L117" s="123">
        <f>L112+K116</f>
        <v>3565736.2499999995</v>
      </c>
      <c r="M117" s="123">
        <f t="shared" si="8"/>
        <v>3961929.166666666</v>
      </c>
      <c r="N117" s="123">
        <f t="shared" si="8"/>
        <v>4358122.083333333</v>
      </c>
      <c r="O117" s="123">
        <f t="shared" si="8"/>
        <v>4754315</v>
      </c>
      <c r="P117" s="8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 ht="19.5" customHeight="1" x14ac:dyDescent="0.3">
      <c r="A118" s="3"/>
      <c r="B118" s="8"/>
      <c r="C118" s="70"/>
      <c r="D118" s="8"/>
      <c r="E118" s="71"/>
      <c r="F118" s="71"/>
      <c r="G118" s="71"/>
      <c r="H118" s="71"/>
      <c r="I118" s="71"/>
      <c r="J118" s="71"/>
      <c r="K118" s="71"/>
      <c r="L118" s="8"/>
      <c r="M118" s="8"/>
      <c r="N118" s="8"/>
      <c r="O118" s="71"/>
      <c r="P118" s="8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 ht="19.5" customHeight="1" x14ac:dyDescent="0.3">
      <c r="A119" s="3"/>
      <c r="B119" s="8"/>
      <c r="C119" s="70"/>
      <c r="D119" s="8"/>
      <c r="E119" s="71"/>
      <c r="F119" s="71"/>
      <c r="G119" s="71"/>
      <c r="H119" s="71"/>
      <c r="I119" s="71"/>
      <c r="J119" s="71"/>
      <c r="K119" s="71"/>
      <c r="L119" s="8"/>
      <c r="M119" s="8"/>
      <c r="N119" s="8"/>
      <c r="O119" s="71"/>
      <c r="P119" s="8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 ht="19.5" customHeight="1" x14ac:dyDescent="0.3">
      <c r="A120" s="3"/>
      <c r="B120" s="8"/>
      <c r="C120" s="70"/>
      <c r="D120" s="8"/>
      <c r="E120" s="71"/>
      <c r="F120" s="71"/>
      <c r="G120" s="71"/>
      <c r="H120" s="71"/>
      <c r="I120" s="71"/>
      <c r="J120" s="71"/>
      <c r="K120" s="71"/>
      <c r="L120" s="8"/>
      <c r="M120" s="8"/>
      <c r="N120" s="8"/>
      <c r="O120" s="71"/>
      <c r="P120" s="8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 ht="19.5" customHeight="1" x14ac:dyDescent="0.3">
      <c r="A121" s="197" t="s">
        <v>299</v>
      </c>
      <c r="B121" s="198" t="s">
        <v>300</v>
      </c>
      <c r="C121" s="124" t="s">
        <v>301</v>
      </c>
      <c r="D121" s="8"/>
      <c r="E121" s="71" t="s">
        <v>302</v>
      </c>
      <c r="F121" s="71"/>
      <c r="G121" s="71"/>
      <c r="H121" s="71"/>
      <c r="I121" s="71"/>
      <c r="J121" s="71"/>
      <c r="K121" s="71"/>
      <c r="L121" s="8"/>
      <c r="M121" s="8"/>
      <c r="N121" s="8"/>
      <c r="O121" s="71"/>
      <c r="P121" s="8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 ht="19.5" customHeight="1" x14ac:dyDescent="0.3">
      <c r="A122" s="33" t="s">
        <v>303</v>
      </c>
      <c r="B122" s="162" t="s">
        <v>304</v>
      </c>
      <c r="C122" s="192">
        <v>805418</v>
      </c>
      <c r="D122" s="8"/>
      <c r="E122" s="71" t="s">
        <v>305</v>
      </c>
      <c r="F122" s="9">
        <f>C122+C123</f>
        <v>823623</v>
      </c>
      <c r="G122" s="71"/>
      <c r="H122" s="71"/>
      <c r="I122" s="71"/>
      <c r="J122" s="71"/>
      <c r="K122" s="71"/>
      <c r="L122" s="8"/>
      <c r="M122" s="8"/>
      <c r="N122" s="8"/>
      <c r="O122" s="71"/>
      <c r="P122" s="8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 ht="19.5" customHeight="1" x14ac:dyDescent="0.3">
      <c r="A123" s="33" t="s">
        <v>306</v>
      </c>
      <c r="B123" s="162" t="s">
        <v>307</v>
      </c>
      <c r="C123" s="192">
        <v>18205</v>
      </c>
      <c r="D123" s="8"/>
      <c r="E123" s="71" t="s">
        <v>308</v>
      </c>
      <c r="F123" s="9">
        <f>C132</f>
        <v>3602505</v>
      </c>
      <c r="G123" s="71"/>
      <c r="H123" s="71"/>
      <c r="I123" s="71"/>
      <c r="J123" s="71"/>
      <c r="K123" s="71"/>
      <c r="L123" s="8"/>
      <c r="M123" s="8"/>
      <c r="N123" s="8"/>
      <c r="O123" s="71"/>
      <c r="P123" s="8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 ht="19.5" customHeight="1" x14ac:dyDescent="0.3">
      <c r="A124" s="199" t="s">
        <v>309</v>
      </c>
      <c r="B124" s="200" t="s">
        <v>310</v>
      </c>
      <c r="C124" s="200">
        <v>190261</v>
      </c>
      <c r="D124" s="8"/>
      <c r="E124" s="71" t="s">
        <v>311</v>
      </c>
      <c r="F124" s="9">
        <f>C133</f>
        <v>64424</v>
      </c>
      <c r="G124" s="71"/>
      <c r="H124" s="71"/>
      <c r="I124" s="71"/>
      <c r="J124" s="71"/>
      <c r="K124" s="71"/>
      <c r="L124" s="8"/>
      <c r="M124" s="8"/>
      <c r="N124" s="8"/>
      <c r="O124" s="71"/>
      <c r="P124" s="8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ht="19.5" customHeight="1" x14ac:dyDescent="0.3">
      <c r="A125" s="201"/>
      <c r="B125" s="200" t="s">
        <v>312</v>
      </c>
      <c r="C125" s="200">
        <v>199752</v>
      </c>
      <c r="D125" s="8"/>
      <c r="E125" s="71" t="s">
        <v>313</v>
      </c>
      <c r="F125" s="9">
        <f>C136</f>
        <v>705800</v>
      </c>
      <c r="G125" s="71"/>
      <c r="H125" s="71"/>
      <c r="I125" s="71"/>
      <c r="J125" s="71"/>
      <c r="K125" s="71"/>
      <c r="L125" s="8"/>
      <c r="M125" s="8"/>
      <c r="N125" s="8"/>
      <c r="O125" s="71"/>
      <c r="P125" s="8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 ht="19.5" customHeight="1" x14ac:dyDescent="0.3">
      <c r="A126" s="201"/>
      <c r="B126" s="200" t="s">
        <v>314</v>
      </c>
      <c r="C126" s="200">
        <v>1441235</v>
      </c>
      <c r="D126" s="8"/>
      <c r="E126" s="71" t="s">
        <v>315</v>
      </c>
      <c r="F126" s="9">
        <f>C140</f>
        <v>60838</v>
      </c>
      <c r="G126" s="71"/>
      <c r="H126" s="71"/>
      <c r="I126" s="71"/>
      <c r="J126" s="71"/>
      <c r="K126" s="71"/>
      <c r="L126" s="8"/>
      <c r="M126" s="8"/>
      <c r="N126" s="8"/>
      <c r="O126" s="71"/>
      <c r="P126" s="8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 ht="19.5" customHeight="1" x14ac:dyDescent="0.3">
      <c r="A127" s="201"/>
      <c r="B127" s="200" t="s">
        <v>316</v>
      </c>
      <c r="C127" s="200">
        <v>1216830</v>
      </c>
      <c r="D127" s="8"/>
      <c r="E127" s="71" t="s">
        <v>317</v>
      </c>
      <c r="F127" s="9">
        <f>C141</f>
        <v>319161</v>
      </c>
      <c r="G127" s="71"/>
      <c r="H127" s="71"/>
      <c r="I127" s="71"/>
      <c r="J127" s="71"/>
      <c r="K127" s="71"/>
      <c r="L127" s="8"/>
      <c r="M127" s="8"/>
      <c r="N127" s="8"/>
      <c r="O127" s="71"/>
      <c r="P127" s="8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ht="19.5" customHeight="1" x14ac:dyDescent="0.3">
      <c r="A128" s="201"/>
      <c r="B128" s="200" t="s">
        <v>318</v>
      </c>
      <c r="C128" s="200">
        <v>466</v>
      </c>
      <c r="D128" s="8"/>
      <c r="E128" s="71"/>
      <c r="F128" s="9">
        <f>C144</f>
        <v>550320</v>
      </c>
      <c r="G128" s="71"/>
      <c r="H128" s="71"/>
      <c r="I128" s="71"/>
      <c r="J128" s="71"/>
      <c r="K128" s="71"/>
      <c r="L128" s="8"/>
      <c r="M128" s="8"/>
      <c r="N128" s="8"/>
      <c r="O128" s="71"/>
      <c r="P128" s="8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ht="19.5" customHeight="1" x14ac:dyDescent="0.3">
      <c r="A129" s="201"/>
      <c r="B129" s="200" t="s">
        <v>319</v>
      </c>
      <c r="C129" s="200">
        <v>158077</v>
      </c>
      <c r="D129" s="8"/>
      <c r="E129" s="71"/>
      <c r="F129" s="71"/>
      <c r="G129" s="71"/>
      <c r="H129" s="71"/>
      <c r="I129" s="71"/>
      <c r="J129" s="71"/>
      <c r="K129" s="71"/>
      <c r="L129" s="8"/>
      <c r="M129" s="8"/>
      <c r="N129" s="8"/>
      <c r="O129" s="71"/>
      <c r="P129" s="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ht="19.5" customHeight="1" x14ac:dyDescent="0.3">
      <c r="A130" s="201"/>
      <c r="B130" s="200" t="s">
        <v>320</v>
      </c>
      <c r="C130" s="200">
        <v>344920</v>
      </c>
      <c r="D130" s="8"/>
      <c r="E130" s="71"/>
      <c r="F130" s="71"/>
      <c r="G130" s="71"/>
      <c r="H130" s="71"/>
      <c r="I130" s="71"/>
      <c r="J130" s="71"/>
      <c r="K130" s="71"/>
      <c r="L130" s="8"/>
      <c r="M130" s="8"/>
      <c r="N130" s="8"/>
      <c r="O130" s="71"/>
      <c r="P130" s="8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ht="19.5" customHeight="1" x14ac:dyDescent="0.3">
      <c r="A131" s="201"/>
      <c r="B131" s="200" t="s">
        <v>308</v>
      </c>
      <c r="C131" s="200">
        <v>50962</v>
      </c>
      <c r="D131" s="8"/>
      <c r="E131" s="71"/>
      <c r="F131" s="71"/>
      <c r="G131" s="71"/>
      <c r="H131" s="71"/>
      <c r="I131" s="71"/>
      <c r="J131" s="71"/>
      <c r="K131" s="71"/>
      <c r="L131" s="8"/>
      <c r="M131" s="8"/>
      <c r="N131" s="8"/>
      <c r="O131" s="71"/>
      <c r="P131" s="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9.5" customHeight="1" x14ac:dyDescent="0.3">
      <c r="A132" s="33" t="s">
        <v>309</v>
      </c>
      <c r="B132" s="162" t="s">
        <v>321</v>
      </c>
      <c r="C132" s="202">
        <v>3602505</v>
      </c>
      <c r="D132" s="8"/>
      <c r="E132" s="71"/>
      <c r="F132" s="71"/>
      <c r="G132" s="71"/>
      <c r="H132" s="71"/>
      <c r="I132" s="71"/>
      <c r="J132" s="71"/>
      <c r="K132" s="71"/>
      <c r="L132" s="8"/>
      <c r="M132" s="8"/>
      <c r="N132" s="8"/>
      <c r="O132" s="71"/>
      <c r="P132" s="8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9.5" customHeight="1" x14ac:dyDescent="0.3">
      <c r="A133" s="33" t="s">
        <v>322</v>
      </c>
      <c r="B133" s="162" t="s">
        <v>308</v>
      </c>
      <c r="C133" s="192">
        <v>64424</v>
      </c>
      <c r="D133" s="8"/>
      <c r="E133" s="71"/>
      <c r="F133" s="71"/>
      <c r="G133" s="71"/>
      <c r="H133" s="71"/>
      <c r="I133" s="71"/>
      <c r="J133" s="71"/>
      <c r="K133" s="71"/>
      <c r="L133" s="8"/>
      <c r="M133" s="8"/>
      <c r="N133" s="8"/>
      <c r="O133" s="71"/>
      <c r="P133" s="8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9.5" customHeight="1" x14ac:dyDescent="0.3">
      <c r="A134" s="199" t="s">
        <v>323</v>
      </c>
      <c r="B134" s="200" t="s">
        <v>324</v>
      </c>
      <c r="C134" s="200">
        <v>284988</v>
      </c>
      <c r="D134" s="8"/>
      <c r="E134" s="71"/>
      <c r="F134" s="71"/>
      <c r="G134" s="71"/>
      <c r="H134" s="71"/>
      <c r="I134" s="71"/>
      <c r="J134" s="71"/>
      <c r="K134" s="71"/>
      <c r="L134" s="8"/>
      <c r="M134" s="8"/>
      <c r="N134" s="8"/>
      <c r="O134" s="71"/>
      <c r="P134" s="8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ht="19.5" customHeight="1" x14ac:dyDescent="0.3">
      <c r="A135" s="201"/>
      <c r="B135" s="200" t="s">
        <v>325</v>
      </c>
      <c r="C135" s="200">
        <v>420812</v>
      </c>
      <c r="D135" s="8"/>
      <c r="E135" s="71"/>
      <c r="F135" s="71"/>
      <c r="G135" s="71"/>
      <c r="H135" s="71"/>
      <c r="I135" s="71"/>
      <c r="J135" s="71"/>
      <c r="K135" s="71"/>
      <c r="L135" s="8"/>
      <c r="M135" s="8"/>
      <c r="N135" s="8"/>
      <c r="O135" s="71"/>
      <c r="P135" s="8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 ht="19.5" customHeight="1" x14ac:dyDescent="0.3">
      <c r="A136" s="33" t="s">
        <v>323</v>
      </c>
      <c r="B136" s="8"/>
      <c r="C136" s="202">
        <v>705800</v>
      </c>
      <c r="D136" s="8"/>
      <c r="E136" s="71"/>
      <c r="F136" s="71"/>
      <c r="G136" s="71"/>
      <c r="H136" s="71"/>
      <c r="I136" s="71"/>
      <c r="J136" s="71"/>
      <c r="K136" s="71"/>
      <c r="L136" s="8"/>
      <c r="M136" s="8"/>
      <c r="N136" s="8"/>
      <c r="O136" s="71"/>
      <c r="P136" s="8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ht="19.5" customHeight="1" x14ac:dyDescent="0.3">
      <c r="A137" s="199" t="s">
        <v>313</v>
      </c>
      <c r="B137" s="203" t="s">
        <v>326</v>
      </c>
      <c r="C137" s="200">
        <v>5635</v>
      </c>
      <c r="D137" s="8"/>
      <c r="E137" s="71"/>
      <c r="F137" s="71"/>
      <c r="G137" s="71"/>
      <c r="H137" s="71"/>
      <c r="I137" s="71"/>
      <c r="J137" s="71"/>
      <c r="K137" s="71"/>
      <c r="L137" s="8"/>
      <c r="M137" s="8"/>
      <c r="N137" s="8"/>
      <c r="O137" s="71"/>
      <c r="P137" s="8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ht="19.5" customHeight="1" x14ac:dyDescent="0.3">
      <c r="A138" s="201"/>
      <c r="B138" s="203" t="s">
        <v>327</v>
      </c>
      <c r="C138" s="200">
        <v>3486</v>
      </c>
      <c r="D138" s="8"/>
      <c r="E138" s="71"/>
      <c r="F138" s="71"/>
      <c r="G138" s="71"/>
      <c r="H138" s="71"/>
      <c r="I138" s="71"/>
      <c r="J138" s="71"/>
      <c r="K138" s="71"/>
      <c r="L138" s="8"/>
      <c r="M138" s="8"/>
      <c r="N138" s="8"/>
      <c r="O138" s="71"/>
      <c r="P138" s="8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ht="19.5" customHeight="1" x14ac:dyDescent="0.3">
      <c r="A139" s="201"/>
      <c r="B139" s="203" t="s">
        <v>328</v>
      </c>
      <c r="C139" s="200">
        <v>51717</v>
      </c>
      <c r="D139" s="8"/>
      <c r="E139" s="71"/>
      <c r="F139" s="71"/>
      <c r="G139" s="71"/>
      <c r="H139" s="71"/>
      <c r="I139" s="71"/>
      <c r="J139" s="71"/>
      <c r="K139" s="71"/>
      <c r="L139" s="8"/>
      <c r="M139" s="8"/>
      <c r="N139" s="8"/>
      <c r="O139" s="71"/>
      <c r="P139" s="8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ht="19.5" customHeight="1" x14ac:dyDescent="0.3">
      <c r="A140" s="33" t="s">
        <v>313</v>
      </c>
      <c r="B140" s="162" t="s">
        <v>321</v>
      </c>
      <c r="C140" s="192">
        <v>60838</v>
      </c>
      <c r="D140" s="8"/>
      <c r="E140" s="71"/>
      <c r="F140" s="71"/>
      <c r="G140" s="71"/>
      <c r="H140" s="71"/>
      <c r="I140" s="71"/>
      <c r="J140" s="71"/>
      <c r="K140" s="71"/>
      <c r="L140" s="8"/>
      <c r="M140" s="8"/>
      <c r="N140" s="8"/>
      <c r="O140" s="71"/>
      <c r="P140" s="8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ht="19.5" customHeight="1" x14ac:dyDescent="0.3">
      <c r="A141" s="33" t="s">
        <v>329</v>
      </c>
      <c r="B141" s="162" t="s">
        <v>330</v>
      </c>
      <c r="C141" s="202">
        <v>319161</v>
      </c>
      <c r="D141" s="8"/>
      <c r="E141" s="71"/>
      <c r="F141" s="71"/>
      <c r="G141" s="71"/>
      <c r="H141" s="71"/>
      <c r="I141" s="71"/>
      <c r="J141" s="71"/>
      <c r="K141" s="71"/>
      <c r="L141" s="8"/>
      <c r="M141" s="8"/>
      <c r="N141" s="8"/>
      <c r="O141" s="71"/>
      <c r="P141" s="8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ht="19.5" customHeight="1" x14ac:dyDescent="0.3">
      <c r="A142" s="199" t="s">
        <v>331</v>
      </c>
      <c r="B142" s="200" t="s">
        <v>332</v>
      </c>
      <c r="C142" s="200">
        <v>282642</v>
      </c>
      <c r="D142" s="8"/>
      <c r="E142" s="71"/>
      <c r="F142" s="71"/>
      <c r="G142" s="71"/>
      <c r="H142" s="71"/>
      <c r="I142" s="71"/>
      <c r="J142" s="71"/>
      <c r="K142" s="71"/>
      <c r="L142" s="8"/>
      <c r="M142" s="8"/>
      <c r="N142" s="8"/>
      <c r="O142" s="71"/>
      <c r="P142" s="8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ht="19.5" customHeight="1" x14ac:dyDescent="0.3">
      <c r="A143" s="201"/>
      <c r="B143" s="200" t="s">
        <v>333</v>
      </c>
      <c r="C143" s="200">
        <v>267677</v>
      </c>
      <c r="D143" s="8"/>
      <c r="E143" s="71"/>
      <c r="F143" s="71"/>
      <c r="G143" s="71"/>
      <c r="H143" s="71"/>
      <c r="I143" s="71"/>
      <c r="J143" s="71"/>
      <c r="K143" s="71"/>
      <c r="L143" s="8"/>
      <c r="M143" s="8"/>
      <c r="N143" s="8"/>
      <c r="O143" s="71"/>
      <c r="P143" s="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ht="19.5" customHeight="1" x14ac:dyDescent="0.3">
      <c r="A144" s="197" t="s">
        <v>331</v>
      </c>
      <c r="B144" s="204" t="s">
        <v>321</v>
      </c>
      <c r="C144" s="124">
        <v>550320</v>
      </c>
      <c r="D144" s="8"/>
      <c r="E144" s="71"/>
      <c r="F144" s="71"/>
      <c r="G144" s="71"/>
      <c r="H144" s="71"/>
      <c r="I144" s="71"/>
      <c r="J144" s="71"/>
      <c r="K144" s="71"/>
      <c r="L144" s="8"/>
      <c r="M144" s="8"/>
      <c r="N144" s="8"/>
      <c r="O144" s="71"/>
      <c r="P144" s="8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ht="19.5" customHeight="1" x14ac:dyDescent="0.3">
      <c r="A145" s="33" t="s">
        <v>334</v>
      </c>
      <c r="B145" s="8"/>
      <c r="C145" s="192">
        <v>6126675</v>
      </c>
      <c r="D145" s="8"/>
      <c r="E145" s="71"/>
      <c r="F145" s="71"/>
      <c r="G145" s="71"/>
      <c r="H145" s="71"/>
      <c r="I145" s="71"/>
      <c r="J145" s="71"/>
      <c r="K145" s="71"/>
      <c r="L145" s="8"/>
      <c r="M145" s="8"/>
      <c r="N145" s="8"/>
      <c r="O145" s="71"/>
      <c r="P145" s="8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</sheetData>
  <mergeCells count="3">
    <mergeCell ref="A15:A17"/>
    <mergeCell ref="A18:A20"/>
    <mergeCell ref="A63:E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N561"/>
  <sheetViews>
    <sheetView workbookViewId="0"/>
  </sheetViews>
  <sheetFormatPr baseColWidth="10" defaultColWidth="8.88671875" defaultRowHeight="14.4" x14ac:dyDescent="0.3"/>
  <cols>
    <col min="1" max="1" width="35.109375" style="17" bestFit="1" customWidth="1"/>
    <col min="2" max="2" width="10.88671875" style="17" bestFit="1" customWidth="1"/>
    <col min="3" max="3" width="8.44140625" style="17" bestFit="1" customWidth="1"/>
    <col min="4" max="4" width="15" style="17" bestFit="1" customWidth="1"/>
    <col min="5" max="5" width="13" style="67" bestFit="1" customWidth="1"/>
    <col min="6" max="6" width="13" style="68" bestFit="1" customWidth="1"/>
    <col min="7" max="7" width="15.109375" style="69" bestFit="1" customWidth="1"/>
    <col min="8" max="8" width="1.5546875" style="17" bestFit="1" customWidth="1"/>
    <col min="9" max="9" width="8.44140625" style="17" bestFit="1" customWidth="1"/>
    <col min="10" max="11" width="12.88671875" style="17" bestFit="1" customWidth="1"/>
    <col min="12" max="12" width="9.88671875" style="17" bestFit="1" customWidth="1"/>
    <col min="13" max="13" width="65.109375" style="17" bestFit="1" customWidth="1"/>
    <col min="14" max="14" width="19.109375" style="17" bestFit="1" customWidth="1"/>
  </cols>
  <sheetData>
    <row r="1" spans="1:14" ht="19.5" customHeight="1" x14ac:dyDescent="0.3">
      <c r="A1" s="3"/>
      <c r="B1" s="3"/>
      <c r="C1" s="3"/>
      <c r="D1" s="3"/>
      <c r="E1" s="48"/>
      <c r="F1" s="9" t="e">
        <f>SUBTOTAL(9,F4:F600)</f>
        <v>#REF!</v>
      </c>
      <c r="G1" s="49"/>
      <c r="H1" s="3"/>
      <c r="I1" s="3"/>
      <c r="J1" s="3"/>
      <c r="K1" s="3"/>
      <c r="L1" s="3"/>
      <c r="M1" s="3"/>
      <c r="N1" s="3"/>
    </row>
    <row r="2" spans="1:14" ht="19.5" customHeight="1" x14ac:dyDescent="0.3">
      <c r="A2" s="50"/>
      <c r="B2" s="50"/>
      <c r="C2" s="673" t="s">
        <v>71</v>
      </c>
      <c r="D2" s="667"/>
      <c r="E2" s="674"/>
      <c r="F2" s="675"/>
      <c r="G2" s="676"/>
      <c r="H2" s="51"/>
      <c r="I2" s="677" t="s">
        <v>72</v>
      </c>
      <c r="J2" s="667"/>
      <c r="K2" s="667"/>
      <c r="L2" s="50" t="s">
        <v>73</v>
      </c>
      <c r="M2" s="52"/>
      <c r="N2" s="52"/>
    </row>
    <row r="3" spans="1:14" ht="28.8" customHeight="1" x14ac:dyDescent="0.3">
      <c r="A3" s="53" t="s">
        <v>74</v>
      </c>
      <c r="B3" s="53" t="s">
        <v>75</v>
      </c>
      <c r="C3" s="54" t="s">
        <v>76</v>
      </c>
      <c r="D3" s="54" t="s">
        <v>77</v>
      </c>
      <c r="E3" s="54" t="s">
        <v>78</v>
      </c>
      <c r="F3" s="55" t="s">
        <v>79</v>
      </c>
      <c r="G3" s="54" t="s">
        <v>80</v>
      </c>
      <c r="H3" s="56"/>
      <c r="I3" s="57" t="s">
        <v>76</v>
      </c>
      <c r="J3" s="58" t="s">
        <v>81</v>
      </c>
      <c r="K3" s="58" t="s">
        <v>82</v>
      </c>
      <c r="L3" s="53" t="s">
        <v>83</v>
      </c>
      <c r="M3" s="53" t="s">
        <v>84</v>
      </c>
      <c r="N3" s="53" t="s">
        <v>75</v>
      </c>
    </row>
    <row r="4" spans="1:14" ht="19.5" hidden="1" customHeight="1" x14ac:dyDescent="0.3">
      <c r="A4" s="59" t="str">
        <f>IF(AND(Data!R3&lt;&gt;"",Data!L3="Accept&amp;#233;"),Data!G3,"")</f>
        <v/>
      </c>
      <c r="B4" s="59" t="str">
        <f>IF(AND(Data!R3&lt;&gt;"",Data!L3="Accept&amp;#233;"),Data!L3,"")</f>
        <v/>
      </c>
      <c r="C4" s="60" t="str">
        <f t="shared" ref="C4:C67" si="0">IF(D4&lt;&gt;"","S"&amp;TEXT(WEEKNUM(D4),"00"),"")</f>
        <v/>
      </c>
      <c r="D4" s="42" t="str">
        <f>IF(AND(Data!Q3&lt;&gt;"",Data!L3="Accept&amp;#233;"),Data!Q3,"")</f>
        <v/>
      </c>
      <c r="E4" s="61" t="str">
        <f>IF(AND(Data!R3&lt;&gt;"",Data!L3="Accept&amp;#233;"),Data!R3,"")</f>
        <v/>
      </c>
      <c r="F4" s="62" t="str">
        <f>IF(AND(Data!R3&lt;&gt;"",Data!L3="Accept&amp;#233;"),Data!S3,"")</f>
        <v/>
      </c>
      <c r="G4" s="63">
        <f>IF(Data!R3='Delivery Plan'!E4,Data!U3,"")</f>
        <v>0</v>
      </c>
      <c r="H4" s="51"/>
      <c r="I4" s="60" t="str">
        <f t="shared" ref="I4:I67" si="1">IF(J4&lt;&gt;"","S"&amp;TEXT(WEEKNUM(J4),"00"),"")</f>
        <v/>
      </c>
      <c r="J4" s="42" t="str">
        <f>IF(AND(E4=Data!R3,Data!AA3&lt;&gt;""),Data!AA3,"")</f>
        <v/>
      </c>
      <c r="K4" s="64" t="str">
        <f>IF(AND(E4=Data!R3,Data!AE3&lt;&gt;""),Data!AE3,"")</f>
        <v/>
      </c>
      <c r="L4" s="65">
        <f>IF(E4=Data!R3,Data!AI3,"")</f>
        <v>2</v>
      </c>
      <c r="M4" s="65" t="str">
        <f>IF(E4=Data!R3,Data!AJ3,"")</f>
        <v>Roulettes</v>
      </c>
      <c r="N4" s="66" t="str">
        <f>IF(AND(Data!R3&lt;&gt;"",Data!L3="Accept&amp;#233;"),Data!K3,"")</f>
        <v/>
      </c>
    </row>
    <row r="5" spans="1:14" ht="19.5" hidden="1" customHeight="1" x14ac:dyDescent="0.3">
      <c r="A5" s="59" t="str">
        <f>IF(AND(Data!R4&lt;&gt;"",Data!L4="Accept&amp;#233;"),Data!G4,"")</f>
        <v/>
      </c>
      <c r="B5" s="59" t="str">
        <f>IF(AND(Data!R4&lt;&gt;"",Data!L4="Accept&amp;#233;"),Data!L4,"")</f>
        <v/>
      </c>
      <c r="C5" s="60" t="str">
        <f t="shared" si="0"/>
        <v/>
      </c>
      <c r="D5" s="42" t="str">
        <f>IF(AND(Data!Q4&lt;&gt;"",Data!L4="Accept&amp;#233;"),Data!Q4,"")</f>
        <v/>
      </c>
      <c r="E5" s="61" t="str">
        <f>IF(AND(Data!R4&lt;&gt;"",Data!L4="Accept&amp;#233;"),Data!R4,"")</f>
        <v/>
      </c>
      <c r="F5" s="62" t="str">
        <f>IF(AND(Data!R4&lt;&gt;"",Data!L4="Accept&amp;#233;"),Data!S4,"")</f>
        <v/>
      </c>
      <c r="G5" s="63" t="str">
        <f>IF(Data!R4='Delivery Plan'!E5,Data!U4,"")</f>
        <v/>
      </c>
      <c r="H5" s="51"/>
      <c r="I5" s="60" t="str">
        <f t="shared" si="1"/>
        <v/>
      </c>
      <c r="J5" s="42" t="str">
        <f>IF(AND(E5=Data!R4,Data!AA4&lt;&gt;""),Data!AA4,"")</f>
        <v/>
      </c>
      <c r="K5" s="64" t="str">
        <f>IF(AND(E5=Data!R4,Data!AE4&lt;&gt;""),Data!AE4,"")</f>
        <v/>
      </c>
      <c r="L5" s="65" t="str">
        <f>IF(E5=Data!R4,Data!AI4,"")</f>
        <v/>
      </c>
      <c r="M5" s="65" t="str">
        <f>IF(E5=Data!R4,Data!AJ4,"")</f>
        <v/>
      </c>
      <c r="N5" s="66" t="str">
        <f>IF(AND(Data!R4&lt;&gt;"",Data!L4="Accept&amp;#233;"),Data!K4,"")</f>
        <v/>
      </c>
    </row>
    <row r="6" spans="1:14" ht="19.5" hidden="1" customHeight="1" x14ac:dyDescent="0.3">
      <c r="A6" s="59" t="str">
        <f>IF(AND(Data!R5&lt;&gt;"",Data!L5="Accept&amp;#233;"),Data!G5,"")</f>
        <v/>
      </c>
      <c r="B6" s="59" t="str">
        <f>IF(AND(Data!R5&lt;&gt;"",Data!L5="Accept&amp;#233;"),Data!L5,"")</f>
        <v/>
      </c>
      <c r="C6" s="60" t="str">
        <f t="shared" si="0"/>
        <v/>
      </c>
      <c r="D6" s="42" t="str">
        <f>IF(AND(Data!Q5&lt;&gt;"",Data!L5="Accept&amp;#233;"),Data!Q5,"")</f>
        <v/>
      </c>
      <c r="E6" s="61" t="str">
        <f>IF(AND(Data!R5&lt;&gt;"",Data!L5="Accept&amp;#233;"),Data!R5,"")</f>
        <v/>
      </c>
      <c r="F6" s="62" t="str">
        <f>IF(AND(Data!R5&lt;&gt;"",Data!L5="Accept&amp;#233;"),Data!S5,"")</f>
        <v/>
      </c>
      <c r="G6" s="63">
        <f>IF(Data!R5='Delivery Plan'!E6,Data!U5,"")</f>
        <v>0</v>
      </c>
      <c r="H6" s="51"/>
      <c r="I6" s="60" t="str">
        <f t="shared" si="1"/>
        <v/>
      </c>
      <c r="J6" s="42" t="str">
        <f>IF(AND(E6=Data!R5,Data!AA5&lt;&gt;""),Data!AA5,"")</f>
        <v/>
      </c>
      <c r="K6" s="64" t="str">
        <f>IF(AND(E6=Data!R5,Data!AE5&lt;&gt;""),Data!AE5,"")</f>
        <v/>
      </c>
      <c r="L6" s="65">
        <f>IF(E6=Data!R5,Data!AI5,"")</f>
        <v>1</v>
      </c>
      <c r="M6" s="65" t="str">
        <f>IF(E6=Data!R5,Data!AJ5,"")</f>
        <v>Essais en charge liste de crics et vérins sur site Dinard</v>
      </c>
      <c r="N6" s="66" t="str">
        <f>IF(AND(Data!R5&lt;&gt;"",Data!L5="Accept&amp;#233;"),Data!K5,"")</f>
        <v/>
      </c>
    </row>
    <row r="7" spans="1:14" ht="19.5" hidden="1" customHeight="1" x14ac:dyDescent="0.3">
      <c r="A7" s="59" t="str">
        <f>IF(AND(Data!R6&lt;&gt;"",Data!L6="Accept&amp;#233;"),Data!G6,"")</f>
        <v/>
      </c>
      <c r="B7" s="59" t="str">
        <f>IF(AND(Data!R6&lt;&gt;"",Data!L6="Accept&amp;#233;"),Data!L6,"")</f>
        <v/>
      </c>
      <c r="C7" s="60" t="str">
        <f t="shared" si="0"/>
        <v/>
      </c>
      <c r="D7" s="42" t="str">
        <f>IF(AND(Data!Q6&lt;&gt;"",Data!L6="Accept&amp;#233;"),Data!Q6,"")</f>
        <v/>
      </c>
      <c r="E7" s="61" t="str">
        <f>IF(AND(Data!R6&lt;&gt;"",Data!L6="Accept&amp;#233;"),Data!R6,"")</f>
        <v/>
      </c>
      <c r="F7" s="62" t="str">
        <f>IF(AND(Data!R6&lt;&gt;"",Data!L6="Accept&amp;#233;"),Data!S6,"")</f>
        <v/>
      </c>
      <c r="G7" s="63">
        <f>IF(Data!R6='Delivery Plan'!E7,Data!U6,"")</f>
        <v>0</v>
      </c>
      <c r="H7" s="51"/>
      <c r="I7" s="60" t="str">
        <f t="shared" si="1"/>
        <v/>
      </c>
      <c r="J7" s="42" t="str">
        <f>IF(AND(E7=Data!R6,Data!AA6&lt;&gt;""),Data!AA6,"")</f>
        <v/>
      </c>
      <c r="K7" s="64">
        <f>IF(AND(E7=Data!R6,Data!AE6&lt;&gt;""),Data!AE6,"")</f>
        <v>25569.042186643517</v>
      </c>
      <c r="L7" s="65">
        <f>IF(E7=Data!R6,Data!AI6,"")</f>
        <v>1</v>
      </c>
      <c r="M7" s="65" t="str">
        <f>IF(E7=Data!R6,Data!AJ6,"")</f>
        <v>Réparation sur outil n°107</v>
      </c>
      <c r="N7" s="66" t="str">
        <f>IF(AND(Data!R6&lt;&gt;"",Data!L6="Accept&amp;#233;"),Data!K6,"")</f>
        <v/>
      </c>
    </row>
    <row r="8" spans="1:14" ht="19.5" hidden="1" customHeight="1" x14ac:dyDescent="0.3">
      <c r="A8" s="59" t="str">
        <f>IF(AND(Data!R7&lt;&gt;"",Data!L7="Accept&amp;#233;"),Data!G7,"")</f>
        <v/>
      </c>
      <c r="B8" s="59" t="str">
        <f>IF(AND(Data!R7&lt;&gt;"",Data!L7="Accept&amp;#233;"),Data!L7,"")</f>
        <v/>
      </c>
      <c r="C8" s="60" t="str">
        <f t="shared" si="0"/>
        <v/>
      </c>
      <c r="D8" s="42" t="str">
        <f>IF(AND(Data!Q7&lt;&gt;"",Data!L7="Accept&amp;#233;"),Data!Q7,"")</f>
        <v/>
      </c>
      <c r="E8" s="61" t="str">
        <f>IF(AND(Data!R7&lt;&gt;"",Data!L7="Accept&amp;#233;"),Data!R7,"")</f>
        <v/>
      </c>
      <c r="F8" s="62" t="str">
        <f>IF(AND(Data!R7&lt;&gt;"",Data!L7="Accept&amp;#233;"),Data!S7,"")</f>
        <v/>
      </c>
      <c r="G8" s="63">
        <f>IF(Data!R7='Delivery Plan'!E8,Data!U7,"")</f>
        <v>0</v>
      </c>
      <c r="H8" s="51"/>
      <c r="I8" s="60" t="str">
        <f t="shared" si="1"/>
        <v/>
      </c>
      <c r="J8" s="42" t="str">
        <f>IF(AND(E8=Data!R7,Data!AA7&lt;&gt;""),Data!AA7,"")</f>
        <v/>
      </c>
      <c r="K8" s="64" t="str">
        <f>IF(AND(E8=Data!R7,Data!AE7&lt;&gt;""),Data!AE7,"")</f>
        <v/>
      </c>
      <c r="L8" s="65">
        <f>IF(E8=Data!R7,Data!AI7,"")</f>
        <v>1</v>
      </c>
      <c r="M8" s="65" t="str">
        <f>IF(E8=Data!R7,Data!AJ7,"")</f>
        <v>Conception et fabrication plateformes NH90 Caïman</v>
      </c>
      <c r="N8" s="66" t="str">
        <f>IF(AND(Data!R7&lt;&gt;"",Data!L7="Accept&amp;#233;"),Data!K7,"")</f>
        <v/>
      </c>
    </row>
    <row r="9" spans="1:14" ht="19.5" hidden="1" customHeight="1" x14ac:dyDescent="0.3">
      <c r="A9" s="59" t="str">
        <f>IF(AND(Data!R8&lt;&gt;"",Data!L8="Accept&amp;#233;"),Data!G8,"")</f>
        <v/>
      </c>
      <c r="B9" s="59" t="str">
        <f>IF(AND(Data!R8&lt;&gt;"",Data!L8="Accept&amp;#233;"),Data!L8,"")</f>
        <v/>
      </c>
      <c r="C9" s="60" t="str">
        <f t="shared" si="0"/>
        <v/>
      </c>
      <c r="D9" s="42" t="str">
        <f>IF(AND(Data!Q8&lt;&gt;"",Data!L8="Accept&amp;#233;"),Data!Q8,"")</f>
        <v/>
      </c>
      <c r="E9" s="61" t="str">
        <f>IF(AND(Data!R8&lt;&gt;"",Data!L8="Accept&amp;#233;"),Data!R8,"")</f>
        <v/>
      </c>
      <c r="F9" s="62" t="str">
        <f>IF(AND(Data!R8&lt;&gt;"",Data!L8="Accept&amp;#233;"),Data!S8,"")</f>
        <v/>
      </c>
      <c r="G9" s="63">
        <f>IF(Data!R8='Delivery Plan'!E9,Data!U8,"")</f>
        <v>0</v>
      </c>
      <c r="H9" s="51"/>
      <c r="I9" s="60" t="str">
        <f t="shared" si="1"/>
        <v/>
      </c>
      <c r="J9" s="42" t="str">
        <f>IF(AND(E9=Data!R8,Data!AA8&lt;&gt;""),Data!AA8,"")</f>
        <v/>
      </c>
      <c r="K9" s="64" t="str">
        <f>IF(AND(E9=Data!R8,Data!AE8&lt;&gt;""),Data!AE8,"")</f>
        <v/>
      </c>
      <c r="L9" s="65">
        <f>IF(E9=Data!R8,Data!AI8,"")</f>
        <v>1</v>
      </c>
      <c r="M9" s="65" t="str">
        <f>IF(E9=Data!R8,Data!AJ8,"")</f>
        <v>Entretien préventif et curatif des moyens de levage - Candidature</v>
      </c>
      <c r="N9" s="66" t="str">
        <f>IF(AND(Data!R8&lt;&gt;"",Data!L8="Accept&amp;#233;"),Data!K8,"")</f>
        <v/>
      </c>
    </row>
    <row r="10" spans="1:14" ht="19.5" hidden="1" customHeight="1" x14ac:dyDescent="0.3">
      <c r="A10" s="59" t="str">
        <f>IF(AND(Data!R9&lt;&gt;"",Data!L9="Accept&amp;#233;"),Data!G9,"")</f>
        <v/>
      </c>
      <c r="B10" s="59" t="str">
        <f>IF(AND(Data!R9&lt;&gt;"",Data!L9="Accept&amp;#233;"),Data!L9,"")</f>
        <v/>
      </c>
      <c r="C10" s="60" t="str">
        <f t="shared" si="0"/>
        <v/>
      </c>
      <c r="D10" s="42" t="str">
        <f>IF(AND(Data!Q9&lt;&gt;"",Data!L9="Accept&amp;#233;"),Data!Q9,"")</f>
        <v/>
      </c>
      <c r="E10" s="61" t="str">
        <f>IF(AND(Data!R9&lt;&gt;"",Data!L9="Accept&amp;#233;"),Data!R9,"")</f>
        <v/>
      </c>
      <c r="F10" s="62" t="str">
        <f>IF(AND(Data!R9&lt;&gt;"",Data!L9="Accept&amp;#233;"),Data!S9,"")</f>
        <v/>
      </c>
      <c r="G10" s="63" t="str">
        <f>IF(Data!R9='Delivery Plan'!E10,Data!U9,"")</f>
        <v/>
      </c>
      <c r="H10" s="51"/>
      <c r="I10" s="60" t="str">
        <f t="shared" si="1"/>
        <v/>
      </c>
      <c r="J10" s="42" t="str">
        <f>IF(AND(E10=Data!R9,Data!AA9&lt;&gt;""),Data!AA9,"")</f>
        <v/>
      </c>
      <c r="K10" s="64" t="str">
        <f>IF(AND(E10=Data!R9,Data!AE9&lt;&gt;""),Data!AE9,"")</f>
        <v/>
      </c>
      <c r="L10" s="65" t="str">
        <f>IF(E10=Data!R9,Data!AI9,"")</f>
        <v/>
      </c>
      <c r="M10" s="65" t="str">
        <f>IF(E10=Data!R9,Data!AJ9,"")</f>
        <v/>
      </c>
      <c r="N10" s="66" t="str">
        <f>IF(AND(Data!R9&lt;&gt;"",Data!L9="Accept&amp;#233;"),Data!K9,"")</f>
        <v/>
      </c>
    </row>
    <row r="11" spans="1:14" ht="19.5" hidden="1" customHeight="1" x14ac:dyDescent="0.3">
      <c r="A11" s="59" t="str">
        <f>IF(AND(Data!R10&lt;&gt;"",Data!L10="Accept&amp;#233;"),Data!G10,"")</f>
        <v/>
      </c>
      <c r="B11" s="59" t="str">
        <f>IF(AND(Data!R10&lt;&gt;"",Data!L10="Accept&amp;#233;"),Data!L10,"")</f>
        <v/>
      </c>
      <c r="C11" s="60" t="str">
        <f t="shared" si="0"/>
        <v/>
      </c>
      <c r="D11" s="42" t="str">
        <f>IF(AND(Data!Q10&lt;&gt;"",Data!L10="Accept&amp;#233;"),Data!Q10,"")</f>
        <v/>
      </c>
      <c r="E11" s="61" t="str">
        <f>IF(AND(Data!R10&lt;&gt;"",Data!L10="Accept&amp;#233;"),Data!R10,"")</f>
        <v/>
      </c>
      <c r="F11" s="62" t="str">
        <f>IF(AND(Data!R10&lt;&gt;"",Data!L10="Accept&amp;#233;"),Data!S10,"")</f>
        <v/>
      </c>
      <c r="G11" s="63" t="str">
        <f>IF(Data!R10='Delivery Plan'!E11,Data!U10,"")</f>
        <v/>
      </c>
      <c r="H11" s="51"/>
      <c r="I11" s="60" t="str">
        <f t="shared" si="1"/>
        <v/>
      </c>
      <c r="J11" s="42" t="str">
        <f>IF(AND(E11=Data!R10,Data!AA10&lt;&gt;""),Data!AA10,"")</f>
        <v/>
      </c>
      <c r="K11" s="64" t="str">
        <f>IF(AND(E11=Data!R10,Data!AE10&lt;&gt;""),Data!AE10,"")</f>
        <v/>
      </c>
      <c r="L11" s="65" t="str">
        <f>IF(E11=Data!R10,Data!AI10,"")</f>
        <v/>
      </c>
      <c r="M11" s="65" t="str">
        <f>IF(E11=Data!R10,Data!AJ10,"")</f>
        <v/>
      </c>
      <c r="N11" s="66" t="str">
        <f>IF(AND(Data!R10&lt;&gt;"",Data!L10="Accept&amp;#233;"),Data!K10,"")</f>
        <v/>
      </c>
    </row>
    <row r="12" spans="1:14" ht="19.5" hidden="1" customHeight="1" x14ac:dyDescent="0.3">
      <c r="A12" s="59" t="str">
        <f>IF(AND(Data!R11&lt;&gt;"",Data!L11="Accept&amp;#233;"),Data!G11,"")</f>
        <v/>
      </c>
      <c r="B12" s="59" t="str">
        <f>IF(AND(Data!R11&lt;&gt;"",Data!L11="Accept&amp;#233;"),Data!L11,"")</f>
        <v/>
      </c>
      <c r="C12" s="60" t="str">
        <f t="shared" si="0"/>
        <v/>
      </c>
      <c r="D12" s="42" t="str">
        <f>IF(AND(Data!Q11&lt;&gt;"",Data!L11="Accept&amp;#233;"),Data!Q11,"")</f>
        <v/>
      </c>
      <c r="E12" s="61" t="str">
        <f>IF(AND(Data!R11&lt;&gt;"",Data!L11="Accept&amp;#233;"),Data!R11,"")</f>
        <v/>
      </c>
      <c r="F12" s="62" t="str">
        <f>IF(AND(Data!R11&lt;&gt;"",Data!L11="Accept&amp;#233;"),Data!S11,"")</f>
        <v/>
      </c>
      <c r="G12" s="63" t="str">
        <f>IF(Data!R11='Delivery Plan'!E12,Data!U11,"")</f>
        <v/>
      </c>
      <c r="H12" s="51"/>
      <c r="I12" s="60" t="str">
        <f t="shared" si="1"/>
        <v/>
      </c>
      <c r="J12" s="42" t="str">
        <f>IF(AND(E12=Data!R11,Data!AA11&lt;&gt;""),Data!AA11,"")</f>
        <v/>
      </c>
      <c r="K12" s="64" t="str">
        <f>IF(AND(E12=Data!R11,Data!AE11&lt;&gt;""),Data!AE11,"")</f>
        <v/>
      </c>
      <c r="L12" s="65" t="str">
        <f>IF(E12=Data!R11,Data!AI11,"")</f>
        <v/>
      </c>
      <c r="M12" s="65" t="str">
        <f>IF(E12=Data!R11,Data!AJ11,"")</f>
        <v/>
      </c>
      <c r="N12" s="66" t="str">
        <f>IF(AND(Data!R11&lt;&gt;"",Data!L11="Accept&amp;#233;"),Data!K11,"")</f>
        <v/>
      </c>
    </row>
    <row r="13" spans="1:14" ht="19.5" hidden="1" customHeight="1" x14ac:dyDescent="0.3">
      <c r="A13" s="59" t="str">
        <f>IF(AND(Data!R12&lt;&gt;"",Data!L12="Accept&amp;#233;"),Data!G12,"")</f>
        <v/>
      </c>
      <c r="B13" s="59" t="str">
        <f>IF(AND(Data!R12&lt;&gt;"",Data!L12="Accept&amp;#233;"),Data!L12,"")</f>
        <v/>
      </c>
      <c r="C13" s="60" t="str">
        <f t="shared" si="0"/>
        <v/>
      </c>
      <c r="D13" s="42" t="str">
        <f>IF(AND(Data!Q12&lt;&gt;"",Data!L12="Accept&amp;#233;"),Data!Q12,"")</f>
        <v/>
      </c>
      <c r="E13" s="61" t="str">
        <f>IF(AND(Data!R12&lt;&gt;"",Data!L12="Accept&amp;#233;"),Data!R12,"")</f>
        <v/>
      </c>
      <c r="F13" s="62" t="str">
        <f>IF(AND(Data!R12&lt;&gt;"",Data!L12="Accept&amp;#233;"),Data!S12,"")</f>
        <v/>
      </c>
      <c r="G13" s="63">
        <f>IF(Data!R12='Delivery Plan'!E13,Data!U12,"")</f>
        <v>0</v>
      </c>
      <c r="H13" s="51"/>
      <c r="I13" s="60" t="str">
        <f t="shared" si="1"/>
        <v/>
      </c>
      <c r="J13" s="42" t="str">
        <f>IF(AND(E13=Data!R12,Data!AA12&lt;&gt;""),Data!AA12,"")</f>
        <v/>
      </c>
      <c r="K13" s="64" t="str">
        <f>IF(AND(E13=Data!R12,Data!AE12&lt;&gt;""),Data!AE12,"")</f>
        <v/>
      </c>
      <c r="L13" s="65">
        <f>IF(E13=Data!R12,Data!AI12,"")</f>
        <v>8</v>
      </c>
      <c r="M13" s="65" t="str">
        <f>IF(E13=Data!R12,Data!AJ12,"")</f>
        <v>Crics C130 - RC3515B5A0A03</v>
      </c>
      <c r="N13" s="66" t="str">
        <f>IF(AND(Data!R12&lt;&gt;"",Data!L12="Accept&amp;#233;"),Data!K12,"")</f>
        <v/>
      </c>
    </row>
    <row r="14" spans="1:14" ht="19.5" hidden="1" customHeight="1" x14ac:dyDescent="0.3">
      <c r="A14" s="59" t="str">
        <f>IF(AND(Data!R13&lt;&gt;"",Data!L13="Accept&amp;#233;"),Data!G13,"")</f>
        <v/>
      </c>
      <c r="B14" s="59" t="str">
        <f>IF(AND(Data!R13&lt;&gt;"",Data!L13="Accept&amp;#233;"),Data!L13,"")</f>
        <v/>
      </c>
      <c r="C14" s="60" t="str">
        <f t="shared" si="0"/>
        <v/>
      </c>
      <c r="D14" s="42" t="str">
        <f>IF(AND(Data!Q13&lt;&gt;"",Data!L13="Accept&amp;#233;"),Data!Q13,"")</f>
        <v/>
      </c>
      <c r="E14" s="61" t="str">
        <f>IF(AND(Data!R13&lt;&gt;"",Data!L13="Accept&amp;#233;"),Data!R13,"")</f>
        <v/>
      </c>
      <c r="F14" s="62" t="str">
        <f>IF(AND(Data!R13&lt;&gt;"",Data!L13="Accept&amp;#233;"),Data!S13,"")</f>
        <v/>
      </c>
      <c r="G14" s="63">
        <f>IF(Data!R13='Delivery Plan'!E14,Data!U13,"")</f>
        <v>0</v>
      </c>
      <c r="H14" s="51"/>
      <c r="I14" s="60" t="str">
        <f t="shared" si="1"/>
        <v/>
      </c>
      <c r="J14" s="42" t="str">
        <f>IF(AND(E14=Data!R13,Data!AA13&lt;&gt;""),Data!AA13,"")</f>
        <v/>
      </c>
      <c r="K14" s="64">
        <f>IF(AND(E14=Data!R13,Data!AE13&lt;&gt;""),Data!AE13,"")</f>
        <v>25569.042186643517</v>
      </c>
      <c r="L14" s="65">
        <f>IF(E14=Data!R13,Data!AI13,"")</f>
        <v>1</v>
      </c>
      <c r="M14" s="65" t="str">
        <f>IF(E14=Data!R13,Data!AJ13,"")</f>
        <v>Réparation sur outil n°106</v>
      </c>
      <c r="N14" s="66" t="str">
        <f>IF(AND(Data!R13&lt;&gt;"",Data!L13="Accept&amp;#233;"),Data!K13,"")</f>
        <v/>
      </c>
    </row>
    <row r="15" spans="1:14" ht="19.5" hidden="1" customHeight="1" x14ac:dyDescent="0.3">
      <c r="A15" s="59" t="str">
        <f>IF(AND(Data!R14&lt;&gt;"",Data!L14="Accept&amp;#233;"),Data!G14,"")</f>
        <v/>
      </c>
      <c r="B15" s="59" t="str">
        <f>IF(AND(Data!R14&lt;&gt;"",Data!L14="Accept&amp;#233;"),Data!L14,"")</f>
        <v/>
      </c>
      <c r="C15" s="60" t="str">
        <f t="shared" si="0"/>
        <v/>
      </c>
      <c r="D15" s="42" t="str">
        <f>IF(AND(Data!Q14&lt;&gt;"",Data!L14="Accept&amp;#233;"),Data!Q14,"")</f>
        <v/>
      </c>
      <c r="E15" s="61" t="str">
        <f>IF(AND(Data!R14&lt;&gt;"",Data!L14="Accept&amp;#233;"),Data!R14,"")</f>
        <v/>
      </c>
      <c r="F15" s="62" t="str">
        <f>IF(AND(Data!R14&lt;&gt;"",Data!L14="Accept&amp;#233;"),Data!S14,"")</f>
        <v/>
      </c>
      <c r="G15" s="63">
        <f>IF(Data!R14='Delivery Plan'!E15,Data!U14,"")</f>
        <v>0</v>
      </c>
      <c r="H15" s="51"/>
      <c r="I15" s="60" t="str">
        <f t="shared" si="1"/>
        <v/>
      </c>
      <c r="J15" s="42" t="str">
        <f>IF(AND(E15=Data!R14,Data!AA14&lt;&gt;""),Data!AA14,"")</f>
        <v/>
      </c>
      <c r="K15" s="64">
        <f>IF(AND(E15=Data!R14,Data!AE14&lt;&gt;""),Data!AE14,"")</f>
        <v>25569.042186643517</v>
      </c>
      <c r="L15" s="65">
        <f>IF(E15=Data!R14,Data!AI14,"")</f>
        <v>1</v>
      </c>
      <c r="M15" s="65" t="str">
        <f>IF(E15=Data!R14,Data!AJ14,"")</f>
        <v>Réparation sur outil n°125</v>
      </c>
      <c r="N15" s="66" t="str">
        <f>IF(AND(Data!R14&lt;&gt;"",Data!L14="Accept&amp;#233;"),Data!K14,"")</f>
        <v/>
      </c>
    </row>
    <row r="16" spans="1:14" ht="19.5" hidden="1" customHeight="1" x14ac:dyDescent="0.3">
      <c r="A16" s="59" t="str">
        <f>IF(AND(Data!R15&lt;&gt;"",Data!L15="Accept&amp;#233;"),Data!G15,"")</f>
        <v/>
      </c>
      <c r="B16" s="59" t="str">
        <f>IF(AND(Data!R15&lt;&gt;"",Data!L15="Accept&amp;#233;"),Data!L15,"")</f>
        <v/>
      </c>
      <c r="C16" s="60" t="str">
        <f t="shared" si="0"/>
        <v/>
      </c>
      <c r="D16" s="42" t="str">
        <f>IF(AND(Data!Q15&lt;&gt;"",Data!L15="Accept&amp;#233;"),Data!Q15,"")</f>
        <v/>
      </c>
      <c r="E16" s="61" t="str">
        <f>IF(AND(Data!R15&lt;&gt;"",Data!L15="Accept&amp;#233;"),Data!R15,"")</f>
        <v/>
      </c>
      <c r="F16" s="62" t="str">
        <f>IF(AND(Data!R15&lt;&gt;"",Data!L15="Accept&amp;#233;"),Data!S15,"")</f>
        <v/>
      </c>
      <c r="G16" s="63">
        <f>IF(Data!R15='Delivery Plan'!E16,Data!U15,"")</f>
        <v>0</v>
      </c>
      <c r="H16" s="51"/>
      <c r="I16" s="60" t="str">
        <f t="shared" si="1"/>
        <v/>
      </c>
      <c r="J16" s="42" t="str">
        <f>IF(AND(E16=Data!R15,Data!AA15&lt;&gt;""),Data!AA15,"")</f>
        <v/>
      </c>
      <c r="K16" s="64" t="str">
        <f>IF(AND(E16=Data!R15,Data!AE15&lt;&gt;""),Data!AE15,"")</f>
        <v/>
      </c>
      <c r="L16" s="65">
        <f>IF(E16=Data!R15,Data!AI15,"")</f>
        <v>1</v>
      </c>
      <c r="M16" s="65" t="str">
        <f>IF(E16=Data!R15,Data!AJ15,"")</f>
        <v>Inspection outillages LANGA (A330-92010-0001)</v>
      </c>
      <c r="N16" s="66" t="str">
        <f>IF(AND(Data!R15&lt;&gt;"",Data!L15="Accept&amp;#233;"),Data!K15,"")</f>
        <v/>
      </c>
    </row>
    <row r="17" spans="1:14" ht="19.5" hidden="1" customHeight="1" x14ac:dyDescent="0.3">
      <c r="A17" s="59" t="str">
        <f>IF(AND(Data!R16&lt;&gt;"",Data!L16="Accept&amp;#233;"),Data!G16,"")</f>
        <v/>
      </c>
      <c r="B17" s="59" t="str">
        <f>IF(AND(Data!R16&lt;&gt;"",Data!L16="Accept&amp;#233;"),Data!L16,"")</f>
        <v/>
      </c>
      <c r="C17" s="60" t="str">
        <f t="shared" si="0"/>
        <v/>
      </c>
      <c r="D17" s="42" t="str">
        <f>IF(AND(Data!Q16&lt;&gt;"",Data!L16="Accept&amp;#233;"),Data!Q16,"")</f>
        <v/>
      </c>
      <c r="E17" s="61" t="str">
        <f>IF(AND(Data!R16&lt;&gt;"",Data!L16="Accept&amp;#233;"),Data!R16,"")</f>
        <v/>
      </c>
      <c r="F17" s="62" t="str">
        <f>IF(AND(Data!R16&lt;&gt;"",Data!L16="Accept&amp;#233;"),Data!S16,"")</f>
        <v/>
      </c>
      <c r="G17" s="63">
        <f>IF(Data!R16='Delivery Plan'!E17,Data!U16,"")</f>
        <v>0</v>
      </c>
      <c r="H17" s="51"/>
      <c r="I17" s="60" t="str">
        <f t="shared" si="1"/>
        <v/>
      </c>
      <c r="J17" s="42" t="str">
        <f>IF(AND(E17=Data!R16,Data!AA16&lt;&gt;""),Data!AA16,"")</f>
        <v/>
      </c>
      <c r="K17" s="64" t="str">
        <f>IF(AND(E17=Data!R16,Data!AE16&lt;&gt;""),Data!AE16,"")</f>
        <v/>
      </c>
      <c r="L17" s="65">
        <f>IF(E17=Data!R16,Data!AI16,"")</f>
        <v>1</v>
      </c>
      <c r="M17" s="65" t="str">
        <f>IF(E17=Data!R16,Data!AJ16,"")</f>
        <v>Maintenance annuelle palan AGSE</v>
      </c>
      <c r="N17" s="66" t="str">
        <f>IF(AND(Data!R16&lt;&gt;"",Data!L16="Accept&amp;#233;"),Data!K16,"")</f>
        <v/>
      </c>
    </row>
    <row r="18" spans="1:14" ht="19.5" hidden="1" customHeight="1" x14ac:dyDescent="0.3">
      <c r="A18" s="59" t="str">
        <f>IF(AND(Data!R17&lt;&gt;"",Data!L17="Accept&amp;#233;"),Data!G17,"")</f>
        <v/>
      </c>
      <c r="B18" s="59" t="str">
        <f>IF(AND(Data!R17&lt;&gt;"",Data!L17="Accept&amp;#233;"),Data!L17,"")</f>
        <v/>
      </c>
      <c r="C18" s="60" t="str">
        <f t="shared" si="0"/>
        <v/>
      </c>
      <c r="D18" s="42" t="str">
        <f>IF(AND(Data!Q17&lt;&gt;"",Data!L17="Accept&amp;#233;"),Data!Q17,"")</f>
        <v/>
      </c>
      <c r="E18" s="61" t="str">
        <f>IF(AND(Data!R17&lt;&gt;"",Data!L17="Accept&amp;#233;"),Data!R17,"")</f>
        <v/>
      </c>
      <c r="F18" s="62" t="str">
        <f>IF(AND(Data!R17&lt;&gt;"",Data!L17="Accept&amp;#233;"),Data!S17,"")</f>
        <v/>
      </c>
      <c r="G18" s="63">
        <f>IF(Data!R17='Delivery Plan'!E18,Data!U17,"")</f>
        <v>0</v>
      </c>
      <c r="H18" s="51"/>
      <c r="I18" s="60" t="str">
        <f t="shared" si="1"/>
        <v/>
      </c>
      <c r="J18" s="42" t="str">
        <f>IF(AND(E18=Data!R17,Data!AA17&lt;&gt;""),Data!AA17,"")</f>
        <v/>
      </c>
      <c r="K18" s="64" t="str">
        <f>IF(AND(E18=Data!R17,Data!AE17&lt;&gt;""),Data!AE17,"")</f>
        <v/>
      </c>
      <c r="L18" s="65">
        <f>IF(E18=Data!R17,Data!AI17,"")</f>
        <v>3</v>
      </c>
      <c r="M18" s="65" t="str">
        <f>IF(E18=Data!R17,Data!AJ17,"")</f>
        <v>Calibration palans et cric</v>
      </c>
      <c r="N18" s="66" t="str">
        <f>IF(AND(Data!R17&lt;&gt;"",Data!L17="Accept&amp;#233;"),Data!K17,"")</f>
        <v/>
      </c>
    </row>
    <row r="19" spans="1:14" ht="19.5" hidden="1" customHeight="1" x14ac:dyDescent="0.3">
      <c r="A19" s="59" t="str">
        <f>IF(AND(Data!R18&lt;&gt;"",Data!L18="Accept&amp;#233;"),Data!G18,"")</f>
        <v/>
      </c>
      <c r="B19" s="59" t="str">
        <f>IF(AND(Data!R18&lt;&gt;"",Data!L18="Accept&amp;#233;"),Data!L18,"")</f>
        <v/>
      </c>
      <c r="C19" s="60" t="str">
        <f t="shared" si="0"/>
        <v/>
      </c>
      <c r="D19" s="42" t="str">
        <f>IF(AND(Data!Q18&lt;&gt;"",Data!L18="Accept&amp;#233;"),Data!Q18,"")</f>
        <v/>
      </c>
      <c r="E19" s="61" t="str">
        <f>IF(AND(Data!R18&lt;&gt;"",Data!L18="Accept&amp;#233;"),Data!R18,"")</f>
        <v/>
      </c>
      <c r="F19" s="62" t="str">
        <f>IF(AND(Data!R18&lt;&gt;"",Data!L18="Accept&amp;#233;"),Data!S18,"")</f>
        <v/>
      </c>
      <c r="G19" s="63">
        <f>IF(Data!R18='Delivery Plan'!E19,Data!U18,"")</f>
        <v>0</v>
      </c>
      <c r="H19" s="51"/>
      <c r="I19" s="60" t="str">
        <f t="shared" si="1"/>
        <v/>
      </c>
      <c r="J19" s="42" t="str">
        <f>IF(AND(E19=Data!R18,Data!AA18&lt;&gt;""),Data!AA18,"")</f>
        <v/>
      </c>
      <c r="K19" s="64" t="str">
        <f>IF(AND(E19=Data!R18,Data!AE18&lt;&gt;""),Data!AE18,"")</f>
        <v/>
      </c>
      <c r="L19" s="65">
        <f>IF(E19=Data!R18,Data!AI18,"")</f>
        <v>1</v>
      </c>
      <c r="M19" s="65" t="str">
        <f>IF(E19=Data!R18,Data!AJ18,"")</f>
        <v>Remplacement pièces MLGTMULTI-1-AA + VGP</v>
      </c>
      <c r="N19" s="66" t="str">
        <f>IF(AND(Data!R18&lt;&gt;"",Data!L18="Accept&amp;#233;"),Data!K18,"")</f>
        <v/>
      </c>
    </row>
    <row r="20" spans="1:14" ht="19.5" hidden="1" customHeight="1" x14ac:dyDescent="0.3">
      <c r="A20" s="59" t="str">
        <f>IF(AND(Data!R19&lt;&gt;"",Data!L19="Accept&amp;#233;"),Data!G19,"")</f>
        <v/>
      </c>
      <c r="B20" s="59" t="str">
        <f>IF(AND(Data!R19&lt;&gt;"",Data!L19="Accept&amp;#233;"),Data!L19,"")</f>
        <v/>
      </c>
      <c r="C20" s="60" t="str">
        <f t="shared" si="0"/>
        <v/>
      </c>
      <c r="D20" s="42" t="str">
        <f>IF(AND(Data!Q19&lt;&gt;"",Data!L19="Accept&amp;#233;"),Data!Q19,"")</f>
        <v/>
      </c>
      <c r="E20" s="61" t="str">
        <f>IF(AND(Data!R19&lt;&gt;"",Data!L19="Accept&amp;#233;"),Data!R19,"")</f>
        <v/>
      </c>
      <c r="F20" s="62" t="str">
        <f>IF(AND(Data!R19&lt;&gt;"",Data!L19="Accept&amp;#233;"),Data!S19,"")</f>
        <v/>
      </c>
      <c r="G20" s="63">
        <f>IF(Data!R19='Delivery Plan'!E20,Data!U19,"")</f>
        <v>0</v>
      </c>
      <c r="H20" s="51"/>
      <c r="I20" s="60" t="str">
        <f t="shared" si="1"/>
        <v/>
      </c>
      <c r="J20" s="42" t="str">
        <f>IF(AND(E20=Data!R19,Data!AA19&lt;&gt;""),Data!AA19,"")</f>
        <v/>
      </c>
      <c r="K20" s="64" t="str">
        <f>IF(AND(E20=Data!R19,Data!AE19&lt;&gt;""),Data!AE19,"")</f>
        <v/>
      </c>
      <c r="L20" s="65">
        <f>IF(E20=Data!R19,Data!AI19,"")</f>
        <v>1</v>
      </c>
      <c r="M20" s="65" t="str">
        <f>IF(E20=Data!R19,Data!AJ19,"")</f>
        <v>Remplacement pièces MLGTMULTI-1-AA + VGP</v>
      </c>
      <c r="N20" s="66" t="str">
        <f>IF(AND(Data!R19&lt;&gt;"",Data!L19="Accept&amp;#233;"),Data!K19,"")</f>
        <v/>
      </c>
    </row>
    <row r="21" spans="1:14" ht="19.5" hidden="1" customHeight="1" x14ac:dyDescent="0.3">
      <c r="A21" s="59" t="str">
        <f>IF(AND(Data!R20&lt;&gt;"",Data!L20="Accept&amp;#233;"),Data!G20,"")</f>
        <v/>
      </c>
      <c r="B21" s="59" t="str">
        <f>IF(AND(Data!R20&lt;&gt;"",Data!L20="Accept&amp;#233;"),Data!L20,"")</f>
        <v/>
      </c>
      <c r="C21" s="60" t="str">
        <f t="shared" si="0"/>
        <v/>
      </c>
      <c r="D21" s="42" t="str">
        <f>IF(AND(Data!Q20&lt;&gt;"",Data!L20="Accept&amp;#233;"),Data!Q20,"")</f>
        <v/>
      </c>
      <c r="E21" s="61" t="str">
        <f>IF(AND(Data!R20&lt;&gt;"",Data!L20="Accept&amp;#233;"),Data!R20,"")</f>
        <v/>
      </c>
      <c r="F21" s="62" t="str">
        <f>IF(AND(Data!R20&lt;&gt;"",Data!L20="Accept&amp;#233;"),Data!S20,"")</f>
        <v/>
      </c>
      <c r="G21" s="63">
        <f>IF(Data!R20='Delivery Plan'!E21,Data!U20,"")</f>
        <v>0</v>
      </c>
      <c r="H21" s="51"/>
      <c r="I21" s="60" t="str">
        <f t="shared" si="1"/>
        <v/>
      </c>
      <c r="J21" s="42" t="str">
        <f>IF(AND(E21=Data!R20,Data!AA20&lt;&gt;""),Data!AA20,"")</f>
        <v/>
      </c>
      <c r="K21" s="64" t="str">
        <f>IF(AND(E21=Data!R20,Data!AE20&lt;&gt;""),Data!AE20,"")</f>
        <v/>
      </c>
      <c r="L21" s="65">
        <f>IF(E21=Data!R20,Data!AI20,"")</f>
        <v>13</v>
      </c>
      <c r="M21" s="65" t="str">
        <f>IF(E21=Data!R20,Data!AJ20,"")</f>
        <v>Réparation chariots</v>
      </c>
      <c r="N21" s="66" t="str">
        <f>IF(AND(Data!R20&lt;&gt;"",Data!L20="Accept&amp;#233;"),Data!K20,"")</f>
        <v/>
      </c>
    </row>
    <row r="22" spans="1:14" ht="19.5" hidden="1" customHeight="1" x14ac:dyDescent="0.3">
      <c r="A22" s="59" t="str">
        <f>IF(AND(Data!R21&lt;&gt;"",Data!L21="Accept&amp;#233;"),Data!G21,"")</f>
        <v/>
      </c>
      <c r="B22" s="59" t="str">
        <f>IF(AND(Data!R21&lt;&gt;"",Data!L21="Accept&amp;#233;"),Data!L21,"")</f>
        <v/>
      </c>
      <c r="C22" s="60" t="str">
        <f t="shared" si="0"/>
        <v/>
      </c>
      <c r="D22" s="42" t="str">
        <f>IF(AND(Data!Q21&lt;&gt;"",Data!L21="Accept&amp;#233;"),Data!Q21,"")</f>
        <v/>
      </c>
      <c r="E22" s="61" t="str">
        <f>IF(AND(Data!R21&lt;&gt;"",Data!L21="Accept&amp;#233;"),Data!R21,"")</f>
        <v/>
      </c>
      <c r="F22" s="62" t="str">
        <f>IF(AND(Data!R21&lt;&gt;"",Data!L21="Accept&amp;#233;"),Data!S21,"")</f>
        <v/>
      </c>
      <c r="G22" s="63">
        <f>IF(Data!R21='Delivery Plan'!E22,Data!U21,"")</f>
        <v>0</v>
      </c>
      <c r="H22" s="51"/>
      <c r="I22" s="60" t="str">
        <f t="shared" si="1"/>
        <v/>
      </c>
      <c r="J22" s="42" t="str">
        <f>IF(AND(E22=Data!R21,Data!AA21&lt;&gt;""),Data!AA21,"")</f>
        <v/>
      </c>
      <c r="K22" s="64" t="str">
        <f>IF(AND(E22=Data!R21,Data!AE21&lt;&gt;""),Data!AE21,"")</f>
        <v/>
      </c>
      <c r="L22" s="65">
        <f>IF(E22=Data!R21,Data!AI21,"")</f>
        <v>1</v>
      </c>
      <c r="M22" s="65" t="str">
        <f>IF(E22=Data!R21,Data!AJ21,"")</f>
        <v>Vérification et maintenance d'appareils de levage</v>
      </c>
      <c r="N22" s="66" t="str">
        <f>IF(AND(Data!R21&lt;&gt;"",Data!L21="Accept&amp;#233;"),Data!K21,"")</f>
        <v/>
      </c>
    </row>
    <row r="23" spans="1:14" ht="15" customHeight="1" x14ac:dyDescent="0.3">
      <c r="A23" s="59" t="str">
        <f>IF(AND(Data!R22&lt;&gt;"",Data!L22="Accept&amp;#233;"),Data!G22,"")</f>
        <v/>
      </c>
      <c r="B23" s="59" t="str">
        <f>IF(AND(Data!R22&lt;&gt;"",Data!L22="Accept&amp;#233;"),Data!L22,"")</f>
        <v/>
      </c>
      <c r="C23" s="60" t="str">
        <f t="shared" si="0"/>
        <v/>
      </c>
      <c r="D23" s="42" t="str">
        <f>IF(AND(Data!Q22&lt;&gt;"",Data!L22="Accept&amp;#233;"),Data!Q22,"")</f>
        <v/>
      </c>
      <c r="E23" s="61" t="str">
        <f>IF(AND(Data!R22&lt;&gt;"",Data!L22="Accept&amp;#233;"),Data!R22,"")</f>
        <v/>
      </c>
      <c r="F23" s="62" t="str">
        <f>IF(AND(Data!R22&lt;&gt;"",Data!L22="Accept&amp;#233;"),Data!S22,"")</f>
        <v/>
      </c>
      <c r="G23" s="63" t="str">
        <f>IF(Data!R22='Delivery Plan'!E23,Data!U22,"")</f>
        <v/>
      </c>
      <c r="H23" s="51"/>
      <c r="I23" s="60" t="str">
        <f t="shared" si="1"/>
        <v/>
      </c>
      <c r="J23" s="42" t="str">
        <f>IF(AND(E23=Data!R22,Data!AA22&lt;&gt;""),Data!AA22,"")</f>
        <v/>
      </c>
      <c r="K23" s="64" t="str">
        <f>IF(AND(E23=Data!R22,Data!AE22&lt;&gt;""),Data!AE22,"")</f>
        <v/>
      </c>
      <c r="L23" s="65" t="str">
        <f>IF(E23=Data!R22,Data!AI22,"")</f>
        <v/>
      </c>
      <c r="M23" s="65" t="str">
        <f>IF(E23=Data!R22,Data!AJ22,"")</f>
        <v/>
      </c>
      <c r="N23" s="66" t="str">
        <f>IF(AND(Data!R22&lt;&gt;"",Data!L22="Accept&amp;#233;"),Data!K22,"")</f>
        <v/>
      </c>
    </row>
    <row r="24" spans="1:14" ht="19.5" hidden="1" customHeight="1" x14ac:dyDescent="0.3">
      <c r="A24" s="59" t="str">
        <f>IF(AND(Data!R23&lt;&gt;"",Data!L23="Accept&amp;#233;"),Data!G23,"")</f>
        <v/>
      </c>
      <c r="B24" s="59" t="str">
        <f>IF(AND(Data!R23&lt;&gt;"",Data!L23="Accept&amp;#233;"),Data!L23,"")</f>
        <v/>
      </c>
      <c r="C24" s="60" t="str">
        <f t="shared" si="0"/>
        <v/>
      </c>
      <c r="D24" s="42" t="str">
        <f>IF(AND(Data!Q23&lt;&gt;"",Data!L23="Accept&amp;#233;"),Data!Q23,"")</f>
        <v/>
      </c>
      <c r="E24" s="61" t="str">
        <f>IF(AND(Data!R23&lt;&gt;"",Data!L23="Accept&amp;#233;"),Data!R23,"")</f>
        <v/>
      </c>
      <c r="F24" s="62" t="str">
        <f>IF(AND(Data!R23&lt;&gt;"",Data!L23="Accept&amp;#233;"),Data!S23,"")</f>
        <v/>
      </c>
      <c r="G24" s="63">
        <f>IF(Data!R23='Delivery Plan'!E24,Data!U23,"")</f>
        <v>0</v>
      </c>
      <c r="H24" s="51"/>
      <c r="I24" s="60" t="str">
        <f t="shared" si="1"/>
        <v/>
      </c>
      <c r="J24" s="42" t="str">
        <f>IF(AND(E24=Data!R23,Data!AA23&lt;&gt;""),Data!AA23,"")</f>
        <v/>
      </c>
      <c r="K24" s="64" t="str">
        <f>IF(AND(E24=Data!R23,Data!AE23&lt;&gt;""),Data!AE23,"")</f>
        <v/>
      </c>
      <c r="L24" s="65">
        <f>IF(E24=Data!R23,Data!AI23,"")</f>
        <v>1</v>
      </c>
      <c r="M24" s="65" t="str">
        <f>IF(E24=Data!R23,Data!AJ23,"")</f>
        <v>Fab chariot acier et bâti alu</v>
      </c>
      <c r="N24" s="66" t="str">
        <f>IF(AND(Data!R23&lt;&gt;"",Data!L23="Accept&amp;#233;"),Data!K23,"")</f>
        <v/>
      </c>
    </row>
    <row r="25" spans="1:14" ht="19.5" hidden="1" customHeight="1" x14ac:dyDescent="0.3">
      <c r="A25" s="59" t="str">
        <f>IF(AND(Data!R24&lt;&gt;"",Data!L24="Accept&amp;#233;"),Data!G24,"")</f>
        <v/>
      </c>
      <c r="B25" s="59" t="str">
        <f>IF(AND(Data!R24&lt;&gt;"",Data!L24="Accept&amp;#233;"),Data!L24,"")</f>
        <v/>
      </c>
      <c r="C25" s="60" t="str">
        <f t="shared" si="0"/>
        <v/>
      </c>
      <c r="D25" s="42" t="str">
        <f>IF(AND(Data!Q24&lt;&gt;"",Data!L24="Accept&amp;#233;"),Data!Q24,"")</f>
        <v/>
      </c>
      <c r="E25" s="61" t="str">
        <f>IF(AND(Data!R24&lt;&gt;"",Data!L24="Accept&amp;#233;"),Data!R24,"")</f>
        <v/>
      </c>
      <c r="F25" s="62" t="str">
        <f>IF(AND(Data!R24&lt;&gt;"",Data!L24="Accept&amp;#233;"),Data!S24,"")</f>
        <v/>
      </c>
      <c r="G25" s="63">
        <f>IF(Data!R24='Delivery Plan'!E25,Data!U24,"")</f>
        <v>0</v>
      </c>
      <c r="H25" s="51"/>
      <c r="I25" s="60" t="str">
        <f t="shared" si="1"/>
        <v/>
      </c>
      <c r="J25" s="42" t="str">
        <f>IF(AND(E25=Data!R24,Data!AA24&lt;&gt;""),Data!AA24,"")</f>
        <v/>
      </c>
      <c r="K25" s="64" t="str">
        <f>IF(AND(E25=Data!R24,Data!AE24&lt;&gt;""),Data!AE24,"")</f>
        <v/>
      </c>
      <c r="L25" s="65">
        <f>IF(E25=Data!R24,Data!AI24,"")</f>
        <v>0</v>
      </c>
      <c r="M25" s="65">
        <f>IF(E25=Data!R24,Data!AJ24,"")</f>
        <v>0</v>
      </c>
      <c r="N25" s="66" t="str">
        <f>IF(AND(Data!R24&lt;&gt;"",Data!L24="Accept&amp;#233;"),Data!K24,"")</f>
        <v/>
      </c>
    </row>
    <row r="26" spans="1:14" ht="19.5" hidden="1" customHeight="1" x14ac:dyDescent="0.3">
      <c r="A26" s="59" t="str">
        <f>IF(AND(Data!R25&lt;&gt;"",Data!L25="Accept&amp;#233;"),Data!G25,"")</f>
        <v/>
      </c>
      <c r="B26" s="59" t="str">
        <f>IF(AND(Data!R25&lt;&gt;"",Data!L25="Accept&amp;#233;"),Data!L25,"")</f>
        <v/>
      </c>
      <c r="C26" s="60" t="str">
        <f t="shared" si="0"/>
        <v/>
      </c>
      <c r="D26" s="42" t="str">
        <f>IF(AND(Data!Q25&lt;&gt;"",Data!L25="Accept&amp;#233;"),Data!Q25,"")</f>
        <v/>
      </c>
      <c r="E26" s="61" t="str">
        <f>IF(AND(Data!R25&lt;&gt;"",Data!L25="Accept&amp;#233;"),Data!R25,"")</f>
        <v/>
      </c>
      <c r="F26" s="62" t="str">
        <f>IF(AND(Data!R25&lt;&gt;"",Data!L25="Accept&amp;#233;"),Data!S25,"")</f>
        <v/>
      </c>
      <c r="G26" s="63">
        <f>IF(Data!R25='Delivery Plan'!E26,Data!U25,"")</f>
        <v>0</v>
      </c>
      <c r="H26" s="51"/>
      <c r="I26" s="60" t="str">
        <f t="shared" si="1"/>
        <v/>
      </c>
      <c r="J26" s="42" t="str">
        <f>IF(AND(E26=Data!R25,Data!AA25&lt;&gt;""),Data!AA25,"")</f>
        <v/>
      </c>
      <c r="K26" s="64" t="str">
        <f>IF(AND(E26=Data!R25,Data!AE25&lt;&gt;""),Data!AE25,"")</f>
        <v/>
      </c>
      <c r="L26" s="65">
        <f>IF(E26=Data!R25,Data!AI25,"")</f>
        <v>1</v>
      </c>
      <c r="M26" s="65" t="str">
        <f>IF(E26=Data!R25,Data!AJ25,"")</f>
        <v>Recertification FEN122A21</v>
      </c>
      <c r="N26" s="66" t="str">
        <f>IF(AND(Data!R25&lt;&gt;"",Data!L25="Accept&amp;#233;"),Data!K25,"")</f>
        <v/>
      </c>
    </row>
    <row r="27" spans="1:14" ht="19.5" hidden="1" customHeight="1" x14ac:dyDescent="0.3">
      <c r="A27" s="59" t="str">
        <f>IF(AND(Data!R26&lt;&gt;"",Data!L26="Accept&amp;#233;"),Data!G26,"")</f>
        <v/>
      </c>
      <c r="B27" s="59" t="str">
        <f>IF(AND(Data!R26&lt;&gt;"",Data!L26="Accept&amp;#233;"),Data!L26,"")</f>
        <v/>
      </c>
      <c r="C27" s="60" t="str">
        <f t="shared" si="0"/>
        <v/>
      </c>
      <c r="D27" s="42" t="str">
        <f>IF(AND(Data!Q26&lt;&gt;"",Data!L26="Accept&amp;#233;"),Data!Q26,"")</f>
        <v/>
      </c>
      <c r="E27" s="61" t="str">
        <f>IF(AND(Data!R26&lt;&gt;"",Data!L26="Accept&amp;#233;"),Data!R26,"")</f>
        <v/>
      </c>
      <c r="F27" s="62" t="str">
        <f>IF(AND(Data!R26&lt;&gt;"",Data!L26="Accept&amp;#233;"),Data!S26,"")</f>
        <v/>
      </c>
      <c r="G27" s="63" t="str">
        <f>IF(Data!R26='Delivery Plan'!E27,Data!U26,"")</f>
        <v/>
      </c>
      <c r="H27" s="51"/>
      <c r="I27" s="60" t="str">
        <f t="shared" si="1"/>
        <v/>
      </c>
      <c r="J27" s="42" t="str">
        <f>IF(AND(E27=Data!R26,Data!AA26&lt;&gt;""),Data!AA26,"")</f>
        <v/>
      </c>
      <c r="K27" s="64" t="str">
        <f>IF(AND(E27=Data!R26,Data!AE26&lt;&gt;""),Data!AE26,"")</f>
        <v/>
      </c>
      <c r="L27" s="65" t="str">
        <f>IF(E27=Data!R26,Data!AI26,"")</f>
        <v/>
      </c>
      <c r="M27" s="65" t="str">
        <f>IF(E27=Data!R26,Data!AJ26,"")</f>
        <v/>
      </c>
      <c r="N27" s="66" t="str">
        <f>IF(AND(Data!R26&lt;&gt;"",Data!L26="Accept&amp;#233;"),Data!K26,"")</f>
        <v/>
      </c>
    </row>
    <row r="28" spans="1:14" ht="19.5" hidden="1" customHeight="1" x14ac:dyDescent="0.3">
      <c r="A28" s="59" t="str">
        <f>IF(AND(Data!R27&lt;&gt;"",Data!L27="Accept&amp;#233;"),Data!G27,"")</f>
        <v/>
      </c>
      <c r="B28" s="59" t="str">
        <f>IF(AND(Data!R27&lt;&gt;"",Data!L27="Accept&amp;#233;"),Data!L27,"")</f>
        <v/>
      </c>
      <c r="C28" s="60" t="str">
        <f t="shared" si="0"/>
        <v/>
      </c>
      <c r="D28" s="42" t="str">
        <f>IF(AND(Data!Q27&lt;&gt;"",Data!L27="Accept&amp;#233;"),Data!Q27,"")</f>
        <v/>
      </c>
      <c r="E28" s="61" t="str">
        <f>IF(AND(Data!R27&lt;&gt;"",Data!L27="Accept&amp;#233;"),Data!R27,"")</f>
        <v/>
      </c>
      <c r="F28" s="62" t="str">
        <f>IF(AND(Data!R27&lt;&gt;"",Data!L27="Accept&amp;#233;"),Data!S27,"")</f>
        <v/>
      </c>
      <c r="G28" s="63">
        <f>IF(Data!R27='Delivery Plan'!E28,Data!U27,"")</f>
        <v>0</v>
      </c>
      <c r="H28" s="51"/>
      <c r="I28" s="60" t="str">
        <f t="shared" si="1"/>
        <v/>
      </c>
      <c r="J28" s="42" t="str">
        <f>IF(AND(E28=Data!R27,Data!AA27&lt;&gt;""),Data!AA27,"")</f>
        <v/>
      </c>
      <c r="K28" s="64" t="str">
        <f>IF(AND(E28=Data!R27,Data!AE27&lt;&gt;""),Data!AE27,"")</f>
        <v/>
      </c>
      <c r="L28" s="65">
        <f>IF(E28=Data!R27,Data!AI27,"")</f>
        <v>1</v>
      </c>
      <c r="M28" s="65" t="str">
        <f>IF(E28=Data!R27,Data!AJ27,"")</f>
        <v>Stockage container MERO</v>
      </c>
      <c r="N28" s="66" t="str">
        <f>IF(AND(Data!R27&lt;&gt;"",Data!L27="Accept&amp;#233;"),Data!K27,"")</f>
        <v/>
      </c>
    </row>
    <row r="29" spans="1:14" ht="19.5" hidden="1" customHeight="1" x14ac:dyDescent="0.3">
      <c r="A29" s="59" t="str">
        <f>IF(AND(Data!R28&lt;&gt;"",Data!L28="Accept&amp;#233;"),Data!G28,"")</f>
        <v/>
      </c>
      <c r="B29" s="59" t="str">
        <f>IF(AND(Data!R28&lt;&gt;"",Data!L28="Accept&amp;#233;"),Data!L28,"")</f>
        <v/>
      </c>
      <c r="C29" s="60" t="str">
        <f t="shared" si="0"/>
        <v/>
      </c>
      <c r="D29" s="42" t="str">
        <f>IF(AND(Data!Q28&lt;&gt;"",Data!L28="Accept&amp;#233;"),Data!Q28,"")</f>
        <v/>
      </c>
      <c r="E29" s="61" t="str">
        <f>IF(AND(Data!R28&lt;&gt;"",Data!L28="Accept&amp;#233;"),Data!R28,"")</f>
        <v/>
      </c>
      <c r="F29" s="62" t="str">
        <f>IF(AND(Data!R28&lt;&gt;"",Data!L28="Accept&amp;#233;"),Data!S28,"")</f>
        <v/>
      </c>
      <c r="G29" s="63">
        <f>IF(Data!R28='Delivery Plan'!E29,Data!U28,"")</f>
        <v>0</v>
      </c>
      <c r="H29" s="51"/>
      <c r="I29" s="60" t="str">
        <f t="shared" si="1"/>
        <v/>
      </c>
      <c r="J29" s="42" t="str">
        <f>IF(AND(E29=Data!R28,Data!AA28&lt;&gt;""),Data!AA28,"")</f>
        <v/>
      </c>
      <c r="K29" s="64" t="str">
        <f>IF(AND(E29=Data!R28,Data!AE28&lt;&gt;""),Data!AE28,"")</f>
        <v/>
      </c>
      <c r="L29" s="65">
        <f>IF(E29=Data!R28,Data!AI28,"")</f>
        <v>1</v>
      </c>
      <c r="M29" s="65" t="str">
        <f>IF(E29=Data!R28,Data!AJ28,"")</f>
        <v>Fourniture d'outillages et de moyens d'accès pour C130</v>
      </c>
      <c r="N29" s="66" t="str">
        <f>IF(AND(Data!R28&lt;&gt;"",Data!L28="Accept&amp;#233;"),Data!K28,"")</f>
        <v/>
      </c>
    </row>
    <row r="30" spans="1:14" ht="19.5" hidden="1" customHeight="1" x14ac:dyDescent="0.3">
      <c r="A30" s="59" t="str">
        <f>IF(AND(Data!R29&lt;&gt;"",Data!L29="Accept&amp;#233;"),Data!G29,"")</f>
        <v/>
      </c>
      <c r="B30" s="59" t="str">
        <f>IF(AND(Data!R29&lt;&gt;"",Data!L29="Accept&amp;#233;"),Data!L29,"")</f>
        <v/>
      </c>
      <c r="C30" s="60" t="str">
        <f t="shared" si="0"/>
        <v/>
      </c>
      <c r="D30" s="42" t="str">
        <f>IF(AND(Data!Q29&lt;&gt;"",Data!L29="Accept&amp;#233;"),Data!Q29,"")</f>
        <v/>
      </c>
      <c r="E30" s="61" t="str">
        <f>IF(AND(Data!R29&lt;&gt;"",Data!L29="Accept&amp;#233;"),Data!R29,"")</f>
        <v/>
      </c>
      <c r="F30" s="62" t="str">
        <f>IF(AND(Data!R29&lt;&gt;"",Data!L29="Accept&amp;#233;"),Data!S29,"")</f>
        <v/>
      </c>
      <c r="G30" s="63" t="str">
        <f>IF(Data!R29='Delivery Plan'!E30,Data!U29,"")</f>
        <v/>
      </c>
      <c r="H30" s="51"/>
      <c r="I30" s="60" t="str">
        <f t="shared" si="1"/>
        <v/>
      </c>
      <c r="J30" s="42" t="str">
        <f>IF(AND(E30=Data!R29,Data!AA29&lt;&gt;""),Data!AA29,"")</f>
        <v/>
      </c>
      <c r="K30" s="64" t="str">
        <f>IF(AND(E30=Data!R29,Data!AE29&lt;&gt;""),Data!AE29,"")</f>
        <v/>
      </c>
      <c r="L30" s="65" t="str">
        <f>IF(E30=Data!R29,Data!AI29,"")</f>
        <v/>
      </c>
      <c r="M30" s="65" t="str">
        <f>IF(E30=Data!R29,Data!AJ29,"")</f>
        <v/>
      </c>
      <c r="N30" s="66" t="str">
        <f>IF(AND(Data!R29&lt;&gt;"",Data!L29="Accept&amp;#233;"),Data!K29,"")</f>
        <v/>
      </c>
    </row>
    <row r="31" spans="1:14" ht="15" customHeight="1" x14ac:dyDescent="0.3">
      <c r="A31" s="59" t="str">
        <f>IF(AND(Data!R30&lt;&gt;"",Data!L30="Accept&amp;#233;"),Data!G30,"")</f>
        <v/>
      </c>
      <c r="B31" s="59" t="str">
        <f>IF(AND(Data!R30&lt;&gt;"",Data!L30="Accept&amp;#233;"),Data!L30,"")</f>
        <v/>
      </c>
      <c r="C31" s="60" t="str">
        <f t="shared" si="0"/>
        <v/>
      </c>
      <c r="D31" s="42" t="str">
        <f>IF(AND(Data!Q30&lt;&gt;"",Data!L30="Accept&amp;#233;"),Data!Q30,"")</f>
        <v/>
      </c>
      <c r="E31" s="61" t="str">
        <f>IF(AND(Data!R30&lt;&gt;"",Data!L30="Accept&amp;#233;"),Data!R30,"")</f>
        <v/>
      </c>
      <c r="F31" s="62" t="str">
        <f>IF(AND(Data!R30&lt;&gt;"",Data!L30="Accept&amp;#233;"),Data!S30,"")</f>
        <v/>
      </c>
      <c r="G31" s="63" t="str">
        <f>IF(Data!R30='Delivery Plan'!E31,Data!U30,"")</f>
        <v/>
      </c>
      <c r="H31" s="51"/>
      <c r="I31" s="60" t="str">
        <f t="shared" si="1"/>
        <v/>
      </c>
      <c r="J31" s="42" t="str">
        <f>IF(AND(E31=Data!R30,Data!AA30&lt;&gt;""),Data!AA30,"")</f>
        <v/>
      </c>
      <c r="K31" s="64" t="str">
        <f>IF(AND(E31=Data!R30,Data!AE30&lt;&gt;""),Data!AE30,"")</f>
        <v/>
      </c>
      <c r="L31" s="65" t="str">
        <f>IF(E31=Data!R30,Data!AI30,"")</f>
        <v/>
      </c>
      <c r="M31" s="65" t="str">
        <f>IF(E31=Data!R30,Data!AJ30,"")</f>
        <v/>
      </c>
      <c r="N31" s="66" t="str">
        <f>IF(AND(Data!R30&lt;&gt;"",Data!L30="Accept&amp;#233;"),Data!K30,"")</f>
        <v/>
      </c>
    </row>
    <row r="32" spans="1:14" ht="19.5" hidden="1" customHeight="1" x14ac:dyDescent="0.3">
      <c r="A32" s="59" t="str">
        <f>IF(AND(Data!R31&lt;&gt;"",Data!L31="Accept&amp;#233;"),Data!G31,"")</f>
        <v/>
      </c>
      <c r="B32" s="59" t="str">
        <f>IF(AND(Data!R31&lt;&gt;"",Data!L31="Accept&amp;#233;"),Data!L31,"")</f>
        <v/>
      </c>
      <c r="C32" s="60" t="str">
        <f t="shared" si="0"/>
        <v/>
      </c>
      <c r="D32" s="42" t="str">
        <f>IF(AND(Data!Q31&lt;&gt;"",Data!L31="Accept&amp;#233;"),Data!Q31,"")</f>
        <v/>
      </c>
      <c r="E32" s="61" t="str">
        <f>IF(AND(Data!R31&lt;&gt;"",Data!L31="Accept&amp;#233;"),Data!R31,"")</f>
        <v/>
      </c>
      <c r="F32" s="62" t="str">
        <f>IF(AND(Data!R31&lt;&gt;"",Data!L31="Accept&amp;#233;"),Data!S31,"")</f>
        <v/>
      </c>
      <c r="G32" s="63">
        <f>IF(Data!R31='Delivery Plan'!E32,Data!U31,"")</f>
        <v>0</v>
      </c>
      <c r="H32" s="51"/>
      <c r="I32" s="60" t="str">
        <f t="shared" si="1"/>
        <v/>
      </c>
      <c r="J32" s="42" t="str">
        <f>IF(AND(E32=Data!R31,Data!AA31&lt;&gt;""),Data!AA31,"")</f>
        <v/>
      </c>
      <c r="K32" s="64" t="str">
        <f>IF(AND(E32=Data!R31,Data!AE31&lt;&gt;""),Data!AE31,"")</f>
        <v/>
      </c>
      <c r="L32" s="65">
        <f>IF(E32=Data!R31,Data!AI31,"")</f>
        <v>6</v>
      </c>
      <c r="M32" s="65" t="str">
        <f>IF(E32=Data!R31,Data!AJ31,"")</f>
        <v>Confection caissons</v>
      </c>
      <c r="N32" s="66" t="str">
        <f>IF(AND(Data!R31&lt;&gt;"",Data!L31="Accept&amp;#233;"),Data!K31,"")</f>
        <v/>
      </c>
    </row>
    <row r="33" spans="1:14" ht="15" customHeight="1" x14ac:dyDescent="0.3">
      <c r="A33" s="59" t="str">
        <f>IF(AND(Data!R32&lt;&gt;"",Data!L32="Accept&amp;#233;"),Data!G32,"")</f>
        <v/>
      </c>
      <c r="B33" s="59" t="str">
        <f>IF(AND(Data!R32&lt;&gt;"",Data!L32="Accept&amp;#233;"),Data!L32,"")</f>
        <v/>
      </c>
      <c r="C33" s="60" t="str">
        <f t="shared" si="0"/>
        <v/>
      </c>
      <c r="D33" s="42" t="str">
        <f>IF(AND(Data!Q32&lt;&gt;"",Data!L32="Accept&amp;#233;"),Data!Q32,"")</f>
        <v/>
      </c>
      <c r="E33" s="61" t="str">
        <f>IF(AND(Data!R32&lt;&gt;"",Data!L32="Accept&amp;#233;"),Data!R32,"")</f>
        <v/>
      </c>
      <c r="F33" s="62" t="str">
        <f>IF(AND(Data!R32&lt;&gt;"",Data!L32="Accept&amp;#233;"),Data!S32,"")</f>
        <v/>
      </c>
      <c r="G33" s="63" t="str">
        <f>IF(Data!R32='Delivery Plan'!E33,Data!U32,"")</f>
        <v/>
      </c>
      <c r="H33" s="51"/>
      <c r="I33" s="60" t="str">
        <f t="shared" si="1"/>
        <v/>
      </c>
      <c r="J33" s="42" t="str">
        <f>IF(AND(E33=Data!R32,Data!AA32&lt;&gt;""),Data!AA32,"")</f>
        <v/>
      </c>
      <c r="K33" s="64" t="str">
        <f>IF(AND(E33=Data!R32,Data!AE32&lt;&gt;""),Data!AE32,"")</f>
        <v/>
      </c>
      <c r="L33" s="65" t="str">
        <f>IF(E33=Data!R32,Data!AI32,"")</f>
        <v/>
      </c>
      <c r="M33" s="65" t="str">
        <f>IF(E33=Data!R32,Data!AJ32,"")</f>
        <v/>
      </c>
      <c r="N33" s="66" t="str">
        <f>IF(AND(Data!R32&lt;&gt;"",Data!L32="Accept&amp;#233;"),Data!K32,"")</f>
        <v/>
      </c>
    </row>
    <row r="34" spans="1:14" ht="19.5" hidden="1" customHeight="1" x14ac:dyDescent="0.3">
      <c r="A34" s="59" t="str">
        <f>IF(AND(Data!R33&lt;&gt;"",Data!L33="Accept&amp;#233;"),Data!G33,"")</f>
        <v/>
      </c>
      <c r="B34" s="59" t="str">
        <f>IF(AND(Data!R33&lt;&gt;"",Data!L33="Accept&amp;#233;"),Data!L33,"")</f>
        <v/>
      </c>
      <c r="C34" s="60" t="str">
        <f t="shared" si="0"/>
        <v/>
      </c>
      <c r="D34" s="42" t="str">
        <f>IF(AND(Data!Q33&lt;&gt;"",Data!L33="Accept&amp;#233;"),Data!Q33,"")</f>
        <v/>
      </c>
      <c r="E34" s="61" t="str">
        <f>IF(AND(Data!R33&lt;&gt;"",Data!L33="Accept&amp;#233;"),Data!R33,"")</f>
        <v/>
      </c>
      <c r="F34" s="62" t="str">
        <f>IF(AND(Data!R33&lt;&gt;"",Data!L33="Accept&amp;#233;"),Data!S33,"")</f>
        <v/>
      </c>
      <c r="G34" s="63" t="str">
        <f>IF(Data!R33='Delivery Plan'!E34,Data!U33,"")</f>
        <v/>
      </c>
      <c r="H34" s="51"/>
      <c r="I34" s="60" t="str">
        <f t="shared" si="1"/>
        <v/>
      </c>
      <c r="J34" s="42" t="str">
        <f>IF(AND(E34=Data!R33,Data!AA33&lt;&gt;""),Data!AA33,"")</f>
        <v/>
      </c>
      <c r="K34" s="64" t="str">
        <f>IF(AND(E34=Data!R33,Data!AE33&lt;&gt;""),Data!AE33,"")</f>
        <v/>
      </c>
      <c r="L34" s="65" t="str">
        <f>IF(E34=Data!R33,Data!AI33,"")</f>
        <v/>
      </c>
      <c r="M34" s="65" t="str">
        <f>IF(E34=Data!R33,Data!AJ33,"")</f>
        <v/>
      </c>
      <c r="N34" s="66" t="str">
        <f>IF(AND(Data!R33&lt;&gt;"",Data!L33="Accept&amp;#233;"),Data!K33,"")</f>
        <v/>
      </c>
    </row>
    <row r="35" spans="1:14" ht="19.5" hidden="1" customHeight="1" x14ac:dyDescent="0.3">
      <c r="A35" s="59" t="str">
        <f>IF(AND(Data!R34&lt;&gt;"",Data!L34="Accept&amp;#233;"),Data!G34,"")</f>
        <v/>
      </c>
      <c r="B35" s="59" t="str">
        <f>IF(AND(Data!R34&lt;&gt;"",Data!L34="Accept&amp;#233;"),Data!L34,"")</f>
        <v/>
      </c>
      <c r="C35" s="60" t="str">
        <f t="shared" si="0"/>
        <v/>
      </c>
      <c r="D35" s="42" t="str">
        <f>IF(AND(Data!Q34&lt;&gt;"",Data!L34="Accept&amp;#233;"),Data!Q34,"")</f>
        <v/>
      </c>
      <c r="E35" s="61" t="str">
        <f>IF(AND(Data!R34&lt;&gt;"",Data!L34="Accept&amp;#233;"),Data!R34,"")</f>
        <v/>
      </c>
      <c r="F35" s="62" t="str">
        <f>IF(AND(Data!R34&lt;&gt;"",Data!L34="Accept&amp;#233;"),Data!S34,"")</f>
        <v/>
      </c>
      <c r="G35" s="63">
        <f>IF(Data!R34='Delivery Plan'!E35,Data!U34,"")</f>
        <v>0</v>
      </c>
      <c r="H35" s="51"/>
      <c r="I35" s="60" t="str">
        <f t="shared" si="1"/>
        <v/>
      </c>
      <c r="J35" s="42" t="str">
        <f>IF(AND(E35=Data!R34,Data!AA34&lt;&gt;""),Data!AA34,"")</f>
        <v/>
      </c>
      <c r="K35" s="64" t="str">
        <f>IF(AND(E35=Data!R34,Data!AE34&lt;&gt;""),Data!AE34,"")</f>
        <v/>
      </c>
      <c r="L35" s="65">
        <f>IF(E35=Data!R34,Data!AI34,"")</f>
        <v>1</v>
      </c>
      <c r="M35" s="65" t="str">
        <f>IF(E35=Data!R34,Data!AJ34,"")</f>
        <v>Devis lot spares</v>
      </c>
      <c r="N35" s="66" t="str">
        <f>IF(AND(Data!R34&lt;&gt;"",Data!L34="Accept&amp;#233;"),Data!K34,"")</f>
        <v/>
      </c>
    </row>
    <row r="36" spans="1:14" ht="19.5" hidden="1" customHeight="1" x14ac:dyDescent="0.3">
      <c r="A36" s="59" t="str">
        <f>IF(AND(Data!R35&lt;&gt;"",Data!L35="Accept&amp;#233;"),Data!G35,"")</f>
        <v/>
      </c>
      <c r="B36" s="59" t="str">
        <f>IF(AND(Data!R35&lt;&gt;"",Data!L35="Accept&amp;#233;"),Data!L35,"")</f>
        <v/>
      </c>
      <c r="C36" s="60" t="str">
        <f t="shared" si="0"/>
        <v/>
      </c>
      <c r="D36" s="42" t="str">
        <f>IF(AND(Data!Q35&lt;&gt;"",Data!L35="Accept&amp;#233;"),Data!Q35,"")</f>
        <v/>
      </c>
      <c r="E36" s="61" t="str">
        <f>IF(AND(Data!R35&lt;&gt;"",Data!L35="Accept&amp;#233;"),Data!R35,"")</f>
        <v/>
      </c>
      <c r="F36" s="62" t="str">
        <f>IF(AND(Data!R35&lt;&gt;"",Data!L35="Accept&amp;#233;"),Data!S35,"")</f>
        <v/>
      </c>
      <c r="G36" s="63">
        <f>IF(Data!R35='Delivery Plan'!E36,Data!U35,"")</f>
        <v>0</v>
      </c>
      <c r="H36" s="51"/>
      <c r="I36" s="60" t="str">
        <f t="shared" si="1"/>
        <v/>
      </c>
      <c r="J36" s="42" t="str">
        <f>IF(AND(E36=Data!R35,Data!AA35&lt;&gt;""),Data!AA35,"")</f>
        <v/>
      </c>
      <c r="K36" s="64" t="str">
        <f>IF(AND(E36=Data!R35,Data!AE35&lt;&gt;""),Data!AE35,"")</f>
        <v/>
      </c>
      <c r="L36" s="65">
        <f>IF(E36=Data!R35,Data!AI35,"")</f>
        <v>1</v>
      </c>
      <c r="M36" s="65" t="str">
        <f>IF(E36=Data!R35,Data!AJ35,"")</f>
        <v xml:space="preserve">Lot de Balls Transfer </v>
      </c>
      <c r="N36" s="66" t="str">
        <f>IF(AND(Data!R35&lt;&gt;"",Data!L35="Accept&amp;#233;"),Data!K35,"")</f>
        <v/>
      </c>
    </row>
    <row r="37" spans="1:14" ht="19.5" hidden="1" customHeight="1" x14ac:dyDescent="0.3">
      <c r="A37" s="59" t="str">
        <f>IF(AND(Data!R36&lt;&gt;"",Data!L36="Accept&amp;#233;"),Data!G36,"")</f>
        <v/>
      </c>
      <c r="B37" s="59" t="str">
        <f>IF(AND(Data!R36&lt;&gt;"",Data!L36="Accept&amp;#233;"),Data!L36,"")</f>
        <v/>
      </c>
      <c r="C37" s="60" t="str">
        <f t="shared" si="0"/>
        <v/>
      </c>
      <c r="D37" s="42" t="str">
        <f>IF(AND(Data!Q36&lt;&gt;"",Data!L36="Accept&amp;#233;"),Data!Q36,"")</f>
        <v/>
      </c>
      <c r="E37" s="61" t="str">
        <f>IF(AND(Data!R36&lt;&gt;"",Data!L36="Accept&amp;#233;"),Data!R36,"")</f>
        <v/>
      </c>
      <c r="F37" s="62" t="str">
        <f>IF(AND(Data!R36&lt;&gt;"",Data!L36="Accept&amp;#233;"),Data!S36,"")</f>
        <v/>
      </c>
      <c r="G37" s="63" t="str">
        <f>IF(Data!R36='Delivery Plan'!E37,Data!U36,"")</f>
        <v/>
      </c>
      <c r="H37" s="51"/>
      <c r="I37" s="60" t="str">
        <f t="shared" si="1"/>
        <v/>
      </c>
      <c r="J37" s="42" t="str">
        <f>IF(AND(E37=Data!R36,Data!AA36&lt;&gt;""),Data!AA36,"")</f>
        <v/>
      </c>
      <c r="K37" s="64" t="str">
        <f>IF(AND(E37=Data!R36,Data!AE36&lt;&gt;""),Data!AE36,"")</f>
        <v/>
      </c>
      <c r="L37" s="65" t="str">
        <f>IF(E37=Data!R36,Data!AI36,"")</f>
        <v/>
      </c>
      <c r="M37" s="65" t="str">
        <f>IF(E37=Data!R36,Data!AJ36,"")</f>
        <v/>
      </c>
      <c r="N37" s="66" t="str">
        <f>IF(AND(Data!R36&lt;&gt;"",Data!L36="Accept&amp;#233;"),Data!K36,"")</f>
        <v/>
      </c>
    </row>
    <row r="38" spans="1:14" ht="19.5" hidden="1" customHeight="1" x14ac:dyDescent="0.3">
      <c r="A38" s="59" t="str">
        <f>IF(AND(Data!R37&lt;&gt;"",Data!L37="Accept&amp;#233;"),Data!G37,"")</f>
        <v/>
      </c>
      <c r="B38" s="59" t="str">
        <f>IF(AND(Data!R37&lt;&gt;"",Data!L37="Accept&amp;#233;"),Data!L37,"")</f>
        <v/>
      </c>
      <c r="C38" s="60" t="str">
        <f t="shared" si="0"/>
        <v/>
      </c>
      <c r="D38" s="42" t="str">
        <f>IF(AND(Data!Q37&lt;&gt;"",Data!L37="Accept&amp;#233;"),Data!Q37,"")</f>
        <v/>
      </c>
      <c r="E38" s="61" t="str">
        <f>IF(AND(Data!R37&lt;&gt;"",Data!L37="Accept&amp;#233;"),Data!R37,"")</f>
        <v/>
      </c>
      <c r="F38" s="62" t="str">
        <f>IF(AND(Data!R37&lt;&gt;"",Data!L37="Accept&amp;#233;"),Data!S37,"")</f>
        <v/>
      </c>
      <c r="G38" s="63" t="str">
        <f>IF(Data!R37='Delivery Plan'!E38,Data!U37,"")</f>
        <v/>
      </c>
      <c r="H38" s="51"/>
      <c r="I38" s="60" t="str">
        <f t="shared" si="1"/>
        <v/>
      </c>
      <c r="J38" s="42" t="str">
        <f>IF(AND(E38=Data!R37,Data!AA37&lt;&gt;""),Data!AA37,"")</f>
        <v/>
      </c>
      <c r="K38" s="64" t="str">
        <f>IF(AND(E38=Data!R37,Data!AE37&lt;&gt;""),Data!AE37,"")</f>
        <v/>
      </c>
      <c r="L38" s="65" t="str">
        <f>IF(E38=Data!R37,Data!AI37,"")</f>
        <v/>
      </c>
      <c r="M38" s="65" t="str">
        <f>IF(E38=Data!R37,Data!AJ37,"")</f>
        <v/>
      </c>
      <c r="N38" s="66" t="str">
        <f>IF(AND(Data!R37&lt;&gt;"",Data!L37="Accept&amp;#233;"),Data!K37,"")</f>
        <v/>
      </c>
    </row>
    <row r="39" spans="1:14" ht="19.5" hidden="1" customHeight="1" x14ac:dyDescent="0.3">
      <c r="A39" s="59" t="str">
        <f>IF(AND(Data!R38&lt;&gt;"",Data!L38="Accept&amp;#233;"),Data!G38,"")</f>
        <v/>
      </c>
      <c r="B39" s="59" t="str">
        <f>IF(AND(Data!R38&lt;&gt;"",Data!L38="Accept&amp;#233;"),Data!L38,"")</f>
        <v/>
      </c>
      <c r="C39" s="60" t="str">
        <f t="shared" si="0"/>
        <v/>
      </c>
      <c r="D39" s="42" t="str">
        <f>IF(AND(Data!Q38&lt;&gt;"",Data!L38="Accept&amp;#233;"),Data!Q38,"")</f>
        <v/>
      </c>
      <c r="E39" s="61" t="str">
        <f>IF(AND(Data!R38&lt;&gt;"",Data!L38="Accept&amp;#233;"),Data!R38,"")</f>
        <v/>
      </c>
      <c r="F39" s="62" t="str">
        <f>IF(AND(Data!R38&lt;&gt;"",Data!L38="Accept&amp;#233;"),Data!S38,"")</f>
        <v/>
      </c>
      <c r="G39" s="63" t="str">
        <f>IF(Data!R38='Delivery Plan'!E39,Data!U38,"")</f>
        <v/>
      </c>
      <c r="H39" s="51"/>
      <c r="I39" s="60" t="str">
        <f t="shared" si="1"/>
        <v/>
      </c>
      <c r="J39" s="42" t="str">
        <f>IF(AND(E39=Data!R38,Data!AA38&lt;&gt;""),Data!AA38,"")</f>
        <v/>
      </c>
      <c r="K39" s="64" t="str">
        <f>IF(AND(E39=Data!R38,Data!AE38&lt;&gt;""),Data!AE38,"")</f>
        <v/>
      </c>
      <c r="L39" s="65" t="str">
        <f>IF(E39=Data!R38,Data!AI38,"")</f>
        <v/>
      </c>
      <c r="M39" s="65" t="str">
        <f>IF(E39=Data!R38,Data!AJ38,"")</f>
        <v/>
      </c>
      <c r="N39" s="66" t="str">
        <f>IF(AND(Data!R38&lt;&gt;"",Data!L38="Accept&amp;#233;"),Data!K38,"")</f>
        <v/>
      </c>
    </row>
    <row r="40" spans="1:14" ht="19.5" hidden="1" customHeight="1" x14ac:dyDescent="0.3">
      <c r="A40" s="59" t="str">
        <f>IF(AND(Data!R39&lt;&gt;"",Data!L39="Accept&amp;#233;"),Data!G39,"")</f>
        <v/>
      </c>
      <c r="B40" s="59" t="str">
        <f>IF(AND(Data!R39&lt;&gt;"",Data!L39="Accept&amp;#233;"),Data!L39,"")</f>
        <v/>
      </c>
      <c r="C40" s="60" t="str">
        <f t="shared" si="0"/>
        <v/>
      </c>
      <c r="D40" s="42" t="str">
        <f>IF(AND(Data!Q39&lt;&gt;"",Data!L39="Accept&amp;#233;"),Data!Q39,"")</f>
        <v/>
      </c>
      <c r="E40" s="61" t="str">
        <f>IF(AND(Data!R39&lt;&gt;"",Data!L39="Accept&amp;#233;"),Data!R39,"")</f>
        <v/>
      </c>
      <c r="F40" s="62" t="str">
        <f>IF(AND(Data!R39&lt;&gt;"",Data!L39="Accept&amp;#233;"),Data!S39,"")</f>
        <v/>
      </c>
      <c r="G40" s="63" t="str">
        <f>IF(Data!R39='Delivery Plan'!E40,Data!U39,"")</f>
        <v/>
      </c>
      <c r="H40" s="51"/>
      <c r="I40" s="60" t="str">
        <f t="shared" si="1"/>
        <v/>
      </c>
      <c r="J40" s="42" t="str">
        <f>IF(AND(E40=Data!R39,Data!AA39&lt;&gt;""),Data!AA39,"")</f>
        <v/>
      </c>
      <c r="K40" s="64" t="str">
        <f>IF(AND(E40=Data!R39,Data!AE39&lt;&gt;""),Data!AE39,"")</f>
        <v/>
      </c>
      <c r="L40" s="65" t="str">
        <f>IF(E40=Data!R39,Data!AI39,"")</f>
        <v/>
      </c>
      <c r="M40" s="65" t="str">
        <f>IF(E40=Data!R39,Data!AJ39,"")</f>
        <v/>
      </c>
      <c r="N40" s="66" t="str">
        <f>IF(AND(Data!R39&lt;&gt;"",Data!L39="Accept&amp;#233;"),Data!K39,"")</f>
        <v/>
      </c>
    </row>
    <row r="41" spans="1:14" ht="19.5" hidden="1" customHeight="1" x14ac:dyDescent="0.3">
      <c r="A41" s="59" t="str">
        <f>IF(AND(Data!R40&lt;&gt;"",Data!L40="Accept&amp;#233;"),Data!G40,"")</f>
        <v/>
      </c>
      <c r="B41" s="59" t="str">
        <f>IF(AND(Data!R40&lt;&gt;"",Data!L40="Accept&amp;#233;"),Data!L40,"")</f>
        <v/>
      </c>
      <c r="C41" s="60" t="str">
        <f t="shared" si="0"/>
        <v/>
      </c>
      <c r="D41" s="42" t="str">
        <f>IF(AND(Data!Q40&lt;&gt;"",Data!L40="Accept&amp;#233;"),Data!Q40,"")</f>
        <v/>
      </c>
      <c r="E41" s="61" t="str">
        <f>IF(AND(Data!R40&lt;&gt;"",Data!L40="Accept&amp;#233;"),Data!R40,"")</f>
        <v/>
      </c>
      <c r="F41" s="62" t="str">
        <f>IF(AND(Data!R40&lt;&gt;"",Data!L40="Accept&amp;#233;"),Data!S40,"")</f>
        <v/>
      </c>
      <c r="G41" s="63" t="str">
        <f>IF(Data!R40='Delivery Plan'!E41,Data!U40,"")</f>
        <v/>
      </c>
      <c r="H41" s="51"/>
      <c r="I41" s="60" t="str">
        <f t="shared" si="1"/>
        <v/>
      </c>
      <c r="J41" s="42" t="str">
        <f>IF(AND(E41=Data!R40,Data!AA40&lt;&gt;""),Data!AA40,"")</f>
        <v/>
      </c>
      <c r="K41" s="64" t="str">
        <f>IF(AND(E41=Data!R40,Data!AE40&lt;&gt;""),Data!AE40,"")</f>
        <v/>
      </c>
      <c r="L41" s="65" t="str">
        <f>IF(E41=Data!R40,Data!AI40,"")</f>
        <v/>
      </c>
      <c r="M41" s="65" t="str">
        <f>IF(E41=Data!R40,Data!AJ40,"")</f>
        <v/>
      </c>
      <c r="N41" s="66" t="str">
        <f>IF(AND(Data!R40&lt;&gt;"",Data!L40="Accept&amp;#233;"),Data!K40,"")</f>
        <v/>
      </c>
    </row>
    <row r="42" spans="1:14" ht="19.5" hidden="1" customHeight="1" x14ac:dyDescent="0.3">
      <c r="A42" s="59" t="str">
        <f>IF(AND(Data!R41&lt;&gt;"",Data!L41="Accept&amp;#233;"),Data!G41,"")</f>
        <v/>
      </c>
      <c r="B42" s="59" t="str">
        <f>IF(AND(Data!R41&lt;&gt;"",Data!L41="Accept&amp;#233;"),Data!L41,"")</f>
        <v/>
      </c>
      <c r="C42" s="60" t="str">
        <f t="shared" si="0"/>
        <v/>
      </c>
      <c r="D42" s="42" t="str">
        <f>IF(AND(Data!Q41&lt;&gt;"",Data!L41="Accept&amp;#233;"),Data!Q41,"")</f>
        <v/>
      </c>
      <c r="E42" s="61" t="str">
        <f>IF(AND(Data!R41&lt;&gt;"",Data!L41="Accept&amp;#233;"),Data!R41,"")</f>
        <v/>
      </c>
      <c r="F42" s="62" t="str">
        <f>IF(AND(Data!R41&lt;&gt;"",Data!L41="Accept&amp;#233;"),Data!S41,"")</f>
        <v/>
      </c>
      <c r="G42" s="63" t="str">
        <f>IF(Data!R41='Delivery Plan'!E42,Data!U41,"")</f>
        <v/>
      </c>
      <c r="H42" s="51"/>
      <c r="I42" s="60" t="str">
        <f t="shared" si="1"/>
        <v/>
      </c>
      <c r="J42" s="42" t="str">
        <f>IF(AND(E42=Data!R41,Data!AA41&lt;&gt;""),Data!AA41,"")</f>
        <v/>
      </c>
      <c r="K42" s="64" t="str">
        <f>IF(AND(E42=Data!R41,Data!AE41&lt;&gt;""),Data!AE41,"")</f>
        <v/>
      </c>
      <c r="L42" s="65" t="str">
        <f>IF(E42=Data!R41,Data!AI41,"")</f>
        <v/>
      </c>
      <c r="M42" s="65" t="str">
        <f>IF(E42=Data!R41,Data!AJ41,"")</f>
        <v/>
      </c>
      <c r="N42" s="66" t="str">
        <f>IF(AND(Data!R41&lt;&gt;"",Data!L41="Accept&amp;#233;"),Data!K41,"")</f>
        <v/>
      </c>
    </row>
    <row r="43" spans="1:14" ht="19.5" hidden="1" customHeight="1" x14ac:dyDescent="0.3">
      <c r="A43" s="59" t="str">
        <f>IF(AND(Data!R42&lt;&gt;"",Data!L42="Accept&amp;#233;"),Data!G42,"")</f>
        <v/>
      </c>
      <c r="B43" s="59" t="str">
        <f>IF(AND(Data!R42&lt;&gt;"",Data!L42="Accept&amp;#233;"),Data!L42,"")</f>
        <v/>
      </c>
      <c r="C43" s="60" t="str">
        <f t="shared" si="0"/>
        <v/>
      </c>
      <c r="D43" s="42" t="str">
        <f>IF(AND(Data!Q42&lt;&gt;"",Data!L42="Accept&amp;#233;"),Data!Q42,"")</f>
        <v/>
      </c>
      <c r="E43" s="61" t="str">
        <f>IF(AND(Data!R42&lt;&gt;"",Data!L42="Accept&amp;#233;"),Data!R42,"")</f>
        <v/>
      </c>
      <c r="F43" s="62" t="str">
        <f>IF(AND(Data!R42&lt;&gt;"",Data!L42="Accept&amp;#233;"),Data!S42,"")</f>
        <v/>
      </c>
      <c r="G43" s="63">
        <f>IF(Data!R42='Delivery Plan'!E43,Data!U42,"")</f>
        <v>0</v>
      </c>
      <c r="H43" s="51"/>
      <c r="I43" s="60" t="str">
        <f t="shared" si="1"/>
        <v/>
      </c>
      <c r="J43" s="42" t="str">
        <f>IF(AND(E43=Data!R42,Data!AA42&lt;&gt;""),Data!AA42,"")</f>
        <v/>
      </c>
      <c r="K43" s="64" t="str">
        <f>IF(AND(E43=Data!R42,Data!AE42&lt;&gt;""),Data!AE42,"")</f>
        <v/>
      </c>
      <c r="L43" s="65">
        <f>IF(E43=Data!R42,Data!AI42,"")</f>
        <v>1</v>
      </c>
      <c r="M43" s="65" t="str">
        <f>IF(E43=Data!R42,Data!AJ42,"")</f>
        <v>Changement joints pompes + VGP sur site client</v>
      </c>
      <c r="N43" s="66" t="str">
        <f>IF(AND(Data!R42&lt;&gt;"",Data!L42="Accept&amp;#233;"),Data!K42,"")</f>
        <v/>
      </c>
    </row>
    <row r="44" spans="1:14" ht="19.5" hidden="1" customHeight="1" x14ac:dyDescent="0.3">
      <c r="A44" s="59" t="str">
        <f>IF(AND(Data!R43&lt;&gt;"",Data!L43="Accept&amp;#233;"),Data!G43,"")</f>
        <v/>
      </c>
      <c r="B44" s="59" t="str">
        <f>IF(AND(Data!R43&lt;&gt;"",Data!L43="Accept&amp;#233;"),Data!L43,"")</f>
        <v/>
      </c>
      <c r="C44" s="60" t="str">
        <f t="shared" si="0"/>
        <v/>
      </c>
      <c r="D44" s="42" t="str">
        <f>IF(AND(Data!Q43&lt;&gt;"",Data!L43="Accept&amp;#233;"),Data!Q43,"")</f>
        <v/>
      </c>
      <c r="E44" s="61" t="str">
        <f>IF(AND(Data!R43&lt;&gt;"",Data!L43="Accept&amp;#233;"),Data!R43,"")</f>
        <v/>
      </c>
      <c r="F44" s="62" t="str">
        <f>IF(AND(Data!R43&lt;&gt;"",Data!L43="Accept&amp;#233;"),Data!S43,"")</f>
        <v/>
      </c>
      <c r="G44" s="63">
        <f>IF(Data!R43='Delivery Plan'!E44,Data!U43,"")</f>
        <v>0</v>
      </c>
      <c r="H44" s="51"/>
      <c r="I44" s="60" t="str">
        <f t="shared" si="1"/>
        <v/>
      </c>
      <c r="J44" s="42" t="str">
        <f>IF(AND(E44=Data!R43,Data!AA43&lt;&gt;""),Data!AA43,"")</f>
        <v/>
      </c>
      <c r="K44" s="64" t="str">
        <f>IF(AND(E44=Data!R43,Data!AE43&lt;&gt;""),Data!AE43,"")</f>
        <v/>
      </c>
      <c r="L44" s="65">
        <f>IF(E44=Data!R43,Data!AI43,"")</f>
        <v>1</v>
      </c>
      <c r="M44" s="65" t="str">
        <f>IF(E44=Data!R43,Data!AJ43,"")</f>
        <v>Changement joints pompes + VGP sur site client</v>
      </c>
      <c r="N44" s="66" t="str">
        <f>IF(AND(Data!R43&lt;&gt;"",Data!L43="Accept&amp;#233;"),Data!K43,"")</f>
        <v/>
      </c>
    </row>
    <row r="45" spans="1:14" ht="19.5" customHeight="1" x14ac:dyDescent="0.3">
      <c r="A45" s="59" t="str">
        <f>IF(AND(Data!R44&lt;&gt;"",Data!L44="Accept&amp;#233;"),Data!G44,"")</f>
        <v/>
      </c>
      <c r="B45" s="59" t="str">
        <f>IF(AND(Data!R44&lt;&gt;"",Data!L44="Accept&amp;#233;"),Data!L44,"")</f>
        <v/>
      </c>
      <c r="C45" s="60" t="str">
        <f t="shared" si="0"/>
        <v/>
      </c>
      <c r="D45" s="42" t="str">
        <f>IF(AND(Data!Q44&lt;&gt;"",Data!L44="Accept&amp;#233;"),Data!Q44,"")</f>
        <v/>
      </c>
      <c r="E45" s="61" t="str">
        <f>IF(AND(Data!R44&lt;&gt;"",Data!L44="Accept&amp;#233;"),Data!R44,"")</f>
        <v/>
      </c>
      <c r="F45" s="62" t="str">
        <f>IF(AND(Data!R44&lt;&gt;"",Data!L44="Accept&amp;#233;"),Data!S44,"")</f>
        <v/>
      </c>
      <c r="G45" s="63" t="str">
        <f>IF(Data!R44='Delivery Plan'!E45,Data!U44,"")</f>
        <v/>
      </c>
      <c r="H45" s="51"/>
      <c r="I45" s="60" t="str">
        <f t="shared" si="1"/>
        <v/>
      </c>
      <c r="J45" s="42" t="str">
        <f>IF(AND(E45=Data!R44,Data!AA44&lt;&gt;""),Data!AA44,"")</f>
        <v/>
      </c>
      <c r="K45" s="64" t="str">
        <f>IF(AND(E45=Data!R44,Data!AE44&lt;&gt;""),Data!AE44,"")</f>
        <v/>
      </c>
      <c r="L45" s="65" t="str">
        <f>IF(E45=Data!R44,Data!AI44,"")</f>
        <v/>
      </c>
      <c r="M45" s="65" t="str">
        <f>IF(E45=Data!R44,Data!AJ44,"")</f>
        <v/>
      </c>
      <c r="N45" s="66" t="str">
        <f>IF(AND(Data!R44&lt;&gt;"",Data!L44="Accept&amp;#233;"),Data!K44,"")</f>
        <v/>
      </c>
    </row>
    <row r="46" spans="1:14" ht="19.5" hidden="1" customHeight="1" x14ac:dyDescent="0.3">
      <c r="A46" s="59" t="str">
        <f>IF(AND(Data!R45&lt;&gt;"",Data!L45="Accept&amp;#233;"),Data!G45,"")</f>
        <v/>
      </c>
      <c r="B46" s="59" t="str">
        <f>IF(AND(Data!R45&lt;&gt;"",Data!L45="Accept&amp;#233;"),Data!L45,"")</f>
        <v/>
      </c>
      <c r="C46" s="60" t="str">
        <f t="shared" si="0"/>
        <v/>
      </c>
      <c r="D46" s="42" t="str">
        <f>IF(AND(Data!Q45&lt;&gt;"",Data!L45="Accept&amp;#233;"),Data!Q45,"")</f>
        <v/>
      </c>
      <c r="E46" s="61" t="str">
        <f>IF(AND(Data!R45&lt;&gt;"",Data!L45="Accept&amp;#233;"),Data!R45,"")</f>
        <v/>
      </c>
      <c r="F46" s="62" t="str">
        <f>IF(AND(Data!R45&lt;&gt;"",Data!L45="Accept&amp;#233;"),Data!S45,"")</f>
        <v/>
      </c>
      <c r="G46" s="63" t="str">
        <f>IF(Data!R45='Delivery Plan'!E46,Data!U45,"")</f>
        <v/>
      </c>
      <c r="H46" s="51"/>
      <c r="I46" s="60" t="str">
        <f t="shared" si="1"/>
        <v/>
      </c>
      <c r="J46" s="42" t="str">
        <f>IF(AND(E46=Data!R45,Data!AA45&lt;&gt;""),Data!AA45,"")</f>
        <v/>
      </c>
      <c r="K46" s="64" t="str">
        <f>IF(AND(E46=Data!R45,Data!AE45&lt;&gt;""),Data!AE45,"")</f>
        <v/>
      </c>
      <c r="L46" s="65" t="str">
        <f>IF(E46=Data!R45,Data!AI45,"")</f>
        <v/>
      </c>
      <c r="M46" s="65" t="str">
        <f>IF(E46=Data!R45,Data!AJ45,"")</f>
        <v/>
      </c>
      <c r="N46" s="66" t="str">
        <f>IF(AND(Data!R45&lt;&gt;"",Data!L45="Accept&amp;#233;"),Data!K45,"")</f>
        <v/>
      </c>
    </row>
    <row r="47" spans="1:14" ht="19.5" hidden="1" customHeight="1" x14ac:dyDescent="0.3">
      <c r="A47" s="59" t="str">
        <f>IF(AND(Data!R46&lt;&gt;"",Data!L46="Accept&amp;#233;"),Data!G46,"")</f>
        <v/>
      </c>
      <c r="B47" s="59" t="str">
        <f>IF(AND(Data!R46&lt;&gt;"",Data!L46="Accept&amp;#233;"),Data!L46,"")</f>
        <v/>
      </c>
      <c r="C47" s="60" t="str">
        <f t="shared" si="0"/>
        <v/>
      </c>
      <c r="D47" s="42" t="str">
        <f>IF(AND(Data!Q46&lt;&gt;"",Data!L46="Accept&amp;#233;"),Data!Q46,"")</f>
        <v/>
      </c>
      <c r="E47" s="61" t="str">
        <f>IF(AND(Data!R46&lt;&gt;"",Data!L46="Accept&amp;#233;"),Data!R46,"")</f>
        <v/>
      </c>
      <c r="F47" s="62" t="str">
        <f>IF(AND(Data!R46&lt;&gt;"",Data!L46="Accept&amp;#233;"),Data!S46,"")</f>
        <v/>
      </c>
      <c r="G47" s="63">
        <f>IF(Data!R46='Delivery Plan'!E47,Data!U46,"")</f>
        <v>0</v>
      </c>
      <c r="H47" s="51"/>
      <c r="I47" s="60" t="str">
        <f t="shared" si="1"/>
        <v/>
      </c>
      <c r="J47" s="42" t="str">
        <f>IF(AND(E47=Data!R46,Data!AA46&lt;&gt;""),Data!AA46,"")</f>
        <v/>
      </c>
      <c r="K47" s="64" t="str">
        <f>IF(AND(E47=Data!R46,Data!AE46&lt;&gt;""),Data!AE46,"")</f>
        <v/>
      </c>
      <c r="L47" s="65">
        <f>IF(E47=Data!R46,Data!AI46,"")</f>
        <v>1</v>
      </c>
      <c r="M47" s="65" t="str">
        <f>IF(E47=Data!R46,Data!AJ46,"")</f>
        <v>Changement joints pompes + VGP in-house</v>
      </c>
      <c r="N47" s="66" t="str">
        <f>IF(AND(Data!R46&lt;&gt;"",Data!L46="Accept&amp;#233;"),Data!K46,"")</f>
        <v/>
      </c>
    </row>
    <row r="48" spans="1:14" ht="19.5" hidden="1" customHeight="1" x14ac:dyDescent="0.3">
      <c r="A48" s="59" t="str">
        <f>IF(AND(Data!R47&lt;&gt;"",Data!L47="Accept&amp;#233;"),Data!G47,"")</f>
        <v/>
      </c>
      <c r="B48" s="59" t="str">
        <f>IF(AND(Data!R47&lt;&gt;"",Data!L47="Accept&amp;#233;"),Data!L47,"")</f>
        <v/>
      </c>
      <c r="C48" s="60" t="str">
        <f t="shared" si="0"/>
        <v/>
      </c>
      <c r="D48" s="42" t="str">
        <f>IF(AND(Data!Q47&lt;&gt;"",Data!L47="Accept&amp;#233;"),Data!Q47,"")</f>
        <v/>
      </c>
      <c r="E48" s="61" t="str">
        <f>IF(AND(Data!R47&lt;&gt;"",Data!L47="Accept&amp;#233;"),Data!R47,"")</f>
        <v/>
      </c>
      <c r="F48" s="62" t="str">
        <f>IF(AND(Data!R47&lt;&gt;"",Data!L47="Accept&amp;#233;"),Data!S47,"")</f>
        <v/>
      </c>
      <c r="G48" s="63">
        <f>IF(Data!R47='Delivery Plan'!E48,Data!U47,"")</f>
        <v>0</v>
      </c>
      <c r="H48" s="51"/>
      <c r="I48" s="60" t="str">
        <f t="shared" si="1"/>
        <v/>
      </c>
      <c r="J48" s="42" t="str">
        <f>IF(AND(E48=Data!R47,Data!AA47&lt;&gt;""),Data!AA47,"")</f>
        <v/>
      </c>
      <c r="K48" s="64" t="str">
        <f>IF(AND(E48=Data!R47,Data!AE47&lt;&gt;""),Data!AE47,"")</f>
        <v/>
      </c>
      <c r="L48" s="65">
        <f>IF(E48=Data!R47,Data!AI47,"")</f>
        <v>6</v>
      </c>
      <c r="M48" s="65" t="str">
        <f>IF(E48=Data!R47,Data!AJ47,"")</f>
        <v>Conception et facbrication chariot roues C130</v>
      </c>
      <c r="N48" s="66" t="str">
        <f>IF(AND(Data!R47&lt;&gt;"",Data!L47="Accept&amp;#233;"),Data!K47,"")</f>
        <v/>
      </c>
    </row>
    <row r="49" spans="1:14" ht="19.5" customHeight="1" x14ac:dyDescent="0.3">
      <c r="A49" s="59" t="str">
        <f>IF(AND(Data!R48&lt;&gt;"",Data!L48="Accept&amp;#233;"),Data!G48,"")</f>
        <v/>
      </c>
      <c r="B49" s="59" t="str">
        <f>IF(AND(Data!R48&lt;&gt;"",Data!L48="Accept&amp;#233;"),Data!L48,"")</f>
        <v/>
      </c>
      <c r="C49" s="60" t="str">
        <f t="shared" si="0"/>
        <v/>
      </c>
      <c r="D49" s="42" t="str">
        <f>IF(AND(Data!Q48&lt;&gt;"",Data!L48="Accept&amp;#233;"),Data!Q48,"")</f>
        <v/>
      </c>
      <c r="E49" s="61" t="str">
        <f>IF(AND(Data!R48&lt;&gt;"",Data!L48="Accept&amp;#233;"),Data!R48,"")</f>
        <v/>
      </c>
      <c r="F49" s="62" t="str">
        <f>IF(AND(Data!R48&lt;&gt;"",Data!L48="Accept&amp;#233;"),Data!S48,"")</f>
        <v/>
      </c>
      <c r="G49" s="63" t="str">
        <f>IF(Data!R48='Delivery Plan'!E49,Data!U48,"")</f>
        <v/>
      </c>
      <c r="H49" s="51"/>
      <c r="I49" s="60" t="str">
        <f t="shared" si="1"/>
        <v/>
      </c>
      <c r="J49" s="42" t="str">
        <f>IF(AND(E49=Data!R48,Data!AA48&lt;&gt;""),Data!AA48,"")</f>
        <v/>
      </c>
      <c r="K49" s="64" t="str">
        <f>IF(AND(E49=Data!R48,Data!AE48&lt;&gt;""),Data!AE48,"")</f>
        <v/>
      </c>
      <c r="L49" s="65" t="str">
        <f>IF(E49=Data!R48,Data!AI48,"")</f>
        <v/>
      </c>
      <c r="M49" s="65" t="str">
        <f>IF(E49=Data!R48,Data!AJ48,"")</f>
        <v/>
      </c>
      <c r="N49" s="66" t="str">
        <f>IF(AND(Data!R48&lt;&gt;"",Data!L48="Accept&amp;#233;"),Data!K48,"")</f>
        <v/>
      </c>
    </row>
    <row r="50" spans="1:14" ht="19.5" hidden="1" customHeight="1" x14ac:dyDescent="0.3">
      <c r="A50" s="59" t="str">
        <f>IF(AND(Data!R49&lt;&gt;"",Data!L49="Accept&amp;#233;"),Data!G49,"")</f>
        <v/>
      </c>
      <c r="B50" s="59" t="str">
        <f>IF(AND(Data!R49&lt;&gt;"",Data!L49="Accept&amp;#233;"),Data!L49,"")</f>
        <v/>
      </c>
      <c r="C50" s="60" t="str">
        <f t="shared" si="0"/>
        <v/>
      </c>
      <c r="D50" s="42" t="str">
        <f>IF(AND(Data!Q49&lt;&gt;"",Data!L49="Accept&amp;#233;"),Data!Q49,"")</f>
        <v/>
      </c>
      <c r="E50" s="61" t="str">
        <f>IF(AND(Data!R49&lt;&gt;"",Data!L49="Accept&amp;#233;"),Data!R49,"")</f>
        <v/>
      </c>
      <c r="F50" s="62" t="str">
        <f>IF(AND(Data!R49&lt;&gt;"",Data!L49="Accept&amp;#233;"),Data!S49,"")</f>
        <v/>
      </c>
      <c r="G50" s="63">
        <f>IF(Data!R49='Delivery Plan'!E50,Data!U49,"")</f>
        <v>0</v>
      </c>
      <c r="H50" s="51"/>
      <c r="I50" s="60" t="str">
        <f t="shared" si="1"/>
        <v/>
      </c>
      <c r="J50" s="42" t="str">
        <f>IF(AND(E50=Data!R49,Data!AA49&lt;&gt;""),Data!AA49,"")</f>
        <v/>
      </c>
      <c r="K50" s="64" t="str">
        <f>IF(AND(E50=Data!R49,Data!AE49&lt;&gt;""),Data!AE49,"")</f>
        <v/>
      </c>
      <c r="L50" s="65">
        <f>IF(E50=Data!R49,Data!AI49,"")</f>
        <v>5</v>
      </c>
      <c r="M50" s="65" t="str">
        <f>IF(E50=Data!R49,Data!AJ49,"")</f>
        <v>Recertification A400M tripod set</v>
      </c>
      <c r="N50" s="66" t="str">
        <f>IF(AND(Data!R49&lt;&gt;"",Data!L49="Accept&amp;#233;"),Data!K49,"")</f>
        <v/>
      </c>
    </row>
    <row r="51" spans="1:14" ht="19.5" hidden="1" customHeight="1" x14ac:dyDescent="0.3">
      <c r="A51" s="59" t="str">
        <f>IF(AND(Data!R50&lt;&gt;"",Data!L50="Accept&amp;#233;"),Data!G50,"")</f>
        <v/>
      </c>
      <c r="B51" s="59" t="str">
        <f>IF(AND(Data!R50&lt;&gt;"",Data!L50="Accept&amp;#233;"),Data!L50,"")</f>
        <v/>
      </c>
      <c r="C51" s="60" t="str">
        <f t="shared" si="0"/>
        <v/>
      </c>
      <c r="D51" s="42" t="str">
        <f>IF(AND(Data!Q50&lt;&gt;"",Data!L50="Accept&amp;#233;"),Data!Q50,"")</f>
        <v/>
      </c>
      <c r="E51" s="61" t="str">
        <f>IF(AND(Data!R50&lt;&gt;"",Data!L50="Accept&amp;#233;"),Data!R50,"")</f>
        <v/>
      </c>
      <c r="F51" s="62" t="str">
        <f>IF(AND(Data!R50&lt;&gt;"",Data!L50="Accept&amp;#233;"),Data!S50,"")</f>
        <v/>
      </c>
      <c r="G51" s="63" t="str">
        <f>IF(Data!R50='Delivery Plan'!E51,Data!U50,"")</f>
        <v/>
      </c>
      <c r="H51" s="51"/>
      <c r="I51" s="60" t="str">
        <f t="shared" si="1"/>
        <v/>
      </c>
      <c r="J51" s="42" t="str">
        <f>IF(AND(E51=Data!R50,Data!AA50&lt;&gt;""),Data!AA50,"")</f>
        <v/>
      </c>
      <c r="K51" s="64" t="str">
        <f>IF(AND(E51=Data!R50,Data!AE50&lt;&gt;""),Data!AE50,"")</f>
        <v/>
      </c>
      <c r="L51" s="65" t="str">
        <f>IF(E51=Data!R50,Data!AI50,"")</f>
        <v/>
      </c>
      <c r="M51" s="65" t="str">
        <f>IF(E51=Data!R50,Data!AJ50,"")</f>
        <v/>
      </c>
      <c r="N51" s="66" t="str">
        <f>IF(AND(Data!R50&lt;&gt;"",Data!L50="Accept&amp;#233;"),Data!K50,"")</f>
        <v/>
      </c>
    </row>
    <row r="52" spans="1:14" ht="19.5" hidden="1" customHeight="1" x14ac:dyDescent="0.3">
      <c r="A52" s="59" t="str">
        <f>IF(AND(Data!R51&lt;&gt;"",Data!L51="Accept&amp;#233;"),Data!G51,"")</f>
        <v/>
      </c>
      <c r="B52" s="59" t="str">
        <f>IF(AND(Data!R51&lt;&gt;"",Data!L51="Accept&amp;#233;"),Data!L51,"")</f>
        <v/>
      </c>
      <c r="C52" s="60" t="str">
        <f t="shared" si="0"/>
        <v/>
      </c>
      <c r="D52" s="42" t="str">
        <f>IF(AND(Data!Q51&lt;&gt;"",Data!L51="Accept&amp;#233;"),Data!Q51,"")</f>
        <v/>
      </c>
      <c r="E52" s="61" t="str">
        <f>IF(AND(Data!R51&lt;&gt;"",Data!L51="Accept&amp;#233;"),Data!R51,"")</f>
        <v/>
      </c>
      <c r="F52" s="62" t="str">
        <f>IF(AND(Data!R51&lt;&gt;"",Data!L51="Accept&amp;#233;"),Data!S51,"")</f>
        <v/>
      </c>
      <c r="G52" s="63">
        <f>IF(Data!R51='Delivery Plan'!E52,Data!U51,"")</f>
        <v>0</v>
      </c>
      <c r="H52" s="51"/>
      <c r="I52" s="60" t="str">
        <f t="shared" si="1"/>
        <v/>
      </c>
      <c r="J52" s="42" t="str">
        <f>IF(AND(E52=Data!R51,Data!AA51&lt;&gt;""),Data!AA51,"")</f>
        <v/>
      </c>
      <c r="K52" s="64" t="str">
        <f>IF(AND(E52=Data!R51,Data!AE51&lt;&gt;""),Data!AE51,"")</f>
        <v/>
      </c>
      <c r="L52" s="65">
        <f>IF(E52=Data!R51,Data!AI51,"")</f>
        <v>20</v>
      </c>
      <c r="M52" s="65" t="str">
        <f>IF(E52=Data!R51,Data!AJ51,"")</f>
        <v>Recertification crics</v>
      </c>
      <c r="N52" s="66" t="str">
        <f>IF(AND(Data!R51&lt;&gt;"",Data!L51="Accept&amp;#233;"),Data!K51,"")</f>
        <v/>
      </c>
    </row>
    <row r="53" spans="1:14" ht="19.5" hidden="1" customHeight="1" x14ac:dyDescent="0.3">
      <c r="A53" s="59" t="str">
        <f>IF(AND(Data!R52&lt;&gt;"",Data!L52="Accept&amp;#233;"),Data!G52,"")</f>
        <v/>
      </c>
      <c r="B53" s="59" t="str">
        <f>IF(AND(Data!R52&lt;&gt;"",Data!L52="Accept&amp;#233;"),Data!L52,"")</f>
        <v/>
      </c>
      <c r="C53" s="60" t="str">
        <f t="shared" si="0"/>
        <v/>
      </c>
      <c r="D53" s="42" t="str">
        <f>IF(AND(Data!Q52&lt;&gt;"",Data!L52="Accept&amp;#233;"),Data!Q52,"")</f>
        <v/>
      </c>
      <c r="E53" s="61" t="str">
        <f>IF(AND(Data!R52&lt;&gt;"",Data!L52="Accept&amp;#233;"),Data!R52,"")</f>
        <v/>
      </c>
      <c r="F53" s="62" t="str">
        <f>IF(AND(Data!R52&lt;&gt;"",Data!L52="Accept&amp;#233;"),Data!S52,"")</f>
        <v/>
      </c>
      <c r="G53" s="63">
        <f>IF(Data!R52='Delivery Plan'!E53,Data!U52,"")</f>
        <v>0</v>
      </c>
      <c r="H53" s="51"/>
      <c r="I53" s="60" t="str">
        <f t="shared" si="1"/>
        <v/>
      </c>
      <c r="J53" s="42" t="str">
        <f>IF(AND(E53=Data!R52,Data!AA52&lt;&gt;""),Data!AA52,"")</f>
        <v/>
      </c>
      <c r="K53" s="64" t="str">
        <f>IF(AND(E53=Data!R52,Data!AE52&lt;&gt;""),Data!AE52,"")</f>
        <v/>
      </c>
      <c r="L53" s="65">
        <f>IF(E53=Data!R52,Data!AI52,"")</f>
        <v>1</v>
      </c>
      <c r="M53" s="65" t="str">
        <f>IF(E53=Data!R52,Data!AJ52,"")</f>
        <v>Recertification cric RT4550-001</v>
      </c>
      <c r="N53" s="66" t="str">
        <f>IF(AND(Data!R52&lt;&gt;"",Data!L52="Accept&amp;#233;"),Data!K52,"")</f>
        <v/>
      </c>
    </row>
    <row r="54" spans="1:14" ht="19.5" hidden="1" customHeight="1" x14ac:dyDescent="0.3">
      <c r="A54" s="59" t="str">
        <f>IF(AND(Data!R53&lt;&gt;"",Data!L53="Accept&amp;#233;"),Data!G53,"")</f>
        <v/>
      </c>
      <c r="B54" s="59" t="str">
        <f>IF(AND(Data!R53&lt;&gt;"",Data!L53="Accept&amp;#233;"),Data!L53,"")</f>
        <v/>
      </c>
      <c r="C54" s="60" t="str">
        <f t="shared" si="0"/>
        <v/>
      </c>
      <c r="D54" s="42" t="str">
        <f>IF(AND(Data!Q53&lt;&gt;"",Data!L53="Accept&amp;#233;"),Data!Q53,"")</f>
        <v/>
      </c>
      <c r="E54" s="61" t="str">
        <f>IF(AND(Data!R53&lt;&gt;"",Data!L53="Accept&amp;#233;"),Data!R53,"")</f>
        <v/>
      </c>
      <c r="F54" s="62" t="str">
        <f>IF(AND(Data!R53&lt;&gt;"",Data!L53="Accept&amp;#233;"),Data!S53,"")</f>
        <v/>
      </c>
      <c r="G54" s="63" t="str">
        <f>IF(Data!R53='Delivery Plan'!E54,Data!U53,"")</f>
        <v/>
      </c>
      <c r="H54" s="51"/>
      <c r="I54" s="60" t="str">
        <f t="shared" si="1"/>
        <v/>
      </c>
      <c r="J54" s="42" t="str">
        <f>IF(AND(E54=Data!R53,Data!AA53&lt;&gt;""),Data!AA53,"")</f>
        <v/>
      </c>
      <c r="K54" s="64" t="str">
        <f>IF(AND(E54=Data!R53,Data!AE53&lt;&gt;""),Data!AE53,"")</f>
        <v/>
      </c>
      <c r="L54" s="65" t="str">
        <f>IF(E54=Data!R53,Data!AI53,"")</f>
        <v/>
      </c>
      <c r="M54" s="65" t="str">
        <f>IF(E54=Data!R53,Data!AJ53,"")</f>
        <v/>
      </c>
      <c r="N54" s="66" t="str">
        <f>IF(AND(Data!R53&lt;&gt;"",Data!L53="Accept&amp;#233;"),Data!K53,"")</f>
        <v/>
      </c>
    </row>
    <row r="55" spans="1:14" ht="19.5" hidden="1" customHeight="1" x14ac:dyDescent="0.3">
      <c r="A55" s="59" t="str">
        <f>IF(AND(Data!R54&lt;&gt;"",Data!L54="Accept&amp;#233;"),Data!G54,"")</f>
        <v/>
      </c>
      <c r="B55" s="59" t="str">
        <f>IF(AND(Data!R54&lt;&gt;"",Data!L54="Accept&amp;#233;"),Data!L54,"")</f>
        <v/>
      </c>
      <c r="C55" s="60" t="str">
        <f t="shared" si="0"/>
        <v/>
      </c>
      <c r="D55" s="42" t="str">
        <f>IF(AND(Data!Q54&lt;&gt;"",Data!L54="Accept&amp;#233;"),Data!Q54,"")</f>
        <v/>
      </c>
      <c r="E55" s="61" t="str">
        <f>IF(AND(Data!R54&lt;&gt;"",Data!L54="Accept&amp;#233;"),Data!R54,"")</f>
        <v/>
      </c>
      <c r="F55" s="62" t="str">
        <f>IF(AND(Data!R54&lt;&gt;"",Data!L54="Accept&amp;#233;"),Data!S54,"")</f>
        <v/>
      </c>
      <c r="G55" s="63">
        <f>IF(Data!R54='Delivery Plan'!E55,Data!U54,"")</f>
        <v>0</v>
      </c>
      <c r="H55" s="51"/>
      <c r="I55" s="60" t="str">
        <f t="shared" si="1"/>
        <v/>
      </c>
      <c r="J55" s="42" t="str">
        <f>IF(AND(E55=Data!R54,Data!AA54&lt;&gt;""),Data!AA54,"")</f>
        <v/>
      </c>
      <c r="K55" s="64" t="str">
        <f>IF(AND(E55=Data!R54,Data!AE54&lt;&gt;""),Data!AE54,"")</f>
        <v/>
      </c>
      <c r="L55" s="65">
        <f>IF(E55=Data!R54,Data!AI54,"")</f>
        <v>1</v>
      </c>
      <c r="M55" s="65" t="str">
        <f>IF(E55=Data!R54,Data!AJ54,"")</f>
        <v>Test statique sur site client rome</v>
      </c>
      <c r="N55" s="66" t="str">
        <f>IF(AND(Data!R54&lt;&gt;"",Data!L54="Accept&amp;#233;"),Data!K54,"")</f>
        <v/>
      </c>
    </row>
    <row r="56" spans="1:14" ht="19.5" hidden="1" customHeight="1" x14ac:dyDescent="0.3">
      <c r="A56" s="59" t="str">
        <f>IF(AND(Data!R55&lt;&gt;"",Data!L55="Accept&amp;#233;"),Data!G55,"")</f>
        <v/>
      </c>
      <c r="B56" s="59" t="str">
        <f>IF(AND(Data!R55&lt;&gt;"",Data!L55="Accept&amp;#233;"),Data!L55,"")</f>
        <v/>
      </c>
      <c r="C56" s="60" t="str">
        <f t="shared" si="0"/>
        <v/>
      </c>
      <c r="D56" s="42" t="str">
        <f>IF(AND(Data!Q55&lt;&gt;"",Data!L55="Accept&amp;#233;"),Data!Q55,"")</f>
        <v/>
      </c>
      <c r="E56" s="61" t="str">
        <f>IF(AND(Data!R55&lt;&gt;"",Data!L55="Accept&amp;#233;"),Data!R55,"")</f>
        <v/>
      </c>
      <c r="F56" s="62" t="str">
        <f>IF(AND(Data!R55&lt;&gt;"",Data!L55="Accept&amp;#233;"),Data!S55,"")</f>
        <v/>
      </c>
      <c r="G56" s="63" t="str">
        <f>IF(Data!R55='Delivery Plan'!E56,Data!U55,"")</f>
        <v/>
      </c>
      <c r="H56" s="51"/>
      <c r="I56" s="60" t="str">
        <f t="shared" si="1"/>
        <v/>
      </c>
      <c r="J56" s="42" t="str">
        <f>IF(AND(E56=Data!R55,Data!AA55&lt;&gt;""),Data!AA55,"")</f>
        <v/>
      </c>
      <c r="K56" s="64" t="str">
        <f>IF(AND(E56=Data!R55,Data!AE55&lt;&gt;""),Data!AE55,"")</f>
        <v/>
      </c>
      <c r="L56" s="65" t="str">
        <f>IF(E56=Data!R55,Data!AI55,"")</f>
        <v/>
      </c>
      <c r="M56" s="65" t="str">
        <f>IF(E56=Data!R55,Data!AJ55,"")</f>
        <v/>
      </c>
      <c r="N56" s="66" t="str">
        <f>IF(AND(Data!R55&lt;&gt;"",Data!L55="Accept&amp;#233;"),Data!K55,"")</f>
        <v/>
      </c>
    </row>
    <row r="57" spans="1:14" ht="19.5" hidden="1" customHeight="1" x14ac:dyDescent="0.3">
      <c r="A57" s="59" t="str">
        <f>IF(AND(Data!R56&lt;&gt;"",Data!L56="Accept&amp;#233;"),Data!G56,"")</f>
        <v/>
      </c>
      <c r="B57" s="59" t="str">
        <f>IF(AND(Data!R56&lt;&gt;"",Data!L56="Accept&amp;#233;"),Data!L56,"")</f>
        <v/>
      </c>
      <c r="C57" s="60" t="str">
        <f t="shared" si="0"/>
        <v/>
      </c>
      <c r="D57" s="42" t="str">
        <f>IF(AND(Data!Q56&lt;&gt;"",Data!L56="Accept&amp;#233;"),Data!Q56,"")</f>
        <v/>
      </c>
      <c r="E57" s="61" t="str">
        <f>IF(AND(Data!R56&lt;&gt;"",Data!L56="Accept&amp;#233;"),Data!R56,"")</f>
        <v/>
      </c>
      <c r="F57" s="62" t="str">
        <f>IF(AND(Data!R56&lt;&gt;"",Data!L56="Accept&amp;#233;"),Data!S56,"")</f>
        <v/>
      </c>
      <c r="G57" s="63" t="str">
        <f>IF(Data!R56='Delivery Plan'!E57,Data!U56,"")</f>
        <v/>
      </c>
      <c r="H57" s="51"/>
      <c r="I57" s="60" t="str">
        <f t="shared" si="1"/>
        <v/>
      </c>
      <c r="J57" s="42" t="str">
        <f>IF(AND(E57=Data!R56,Data!AA56&lt;&gt;""),Data!AA56,"")</f>
        <v/>
      </c>
      <c r="K57" s="64" t="str">
        <f>IF(AND(E57=Data!R56,Data!AE56&lt;&gt;""),Data!AE56,"")</f>
        <v/>
      </c>
      <c r="L57" s="65" t="str">
        <f>IF(E57=Data!R56,Data!AI56,"")</f>
        <v/>
      </c>
      <c r="M57" s="65" t="str">
        <f>IF(E57=Data!R56,Data!AJ56,"")</f>
        <v/>
      </c>
      <c r="N57" s="66" t="str">
        <f>IF(AND(Data!R56&lt;&gt;"",Data!L56="Accept&amp;#233;"),Data!K56,"")</f>
        <v/>
      </c>
    </row>
    <row r="58" spans="1:14" ht="19.5" customHeight="1" x14ac:dyDescent="0.3">
      <c r="A58" s="59" t="str">
        <f>IF(AND(Data!R57&lt;&gt;"",Data!L57="Accept&amp;#233;"),Data!G57,"")</f>
        <v/>
      </c>
      <c r="B58" s="59" t="str">
        <f>IF(AND(Data!R57&lt;&gt;"",Data!L57="Accept&amp;#233;"),Data!L57,"")</f>
        <v/>
      </c>
      <c r="C58" s="60" t="str">
        <f t="shared" si="0"/>
        <v/>
      </c>
      <c r="D58" s="42" t="str">
        <f>IF(AND(Data!Q57&lt;&gt;"",Data!L57="Accept&amp;#233;"),Data!Q57,"")</f>
        <v/>
      </c>
      <c r="E58" s="61" t="str">
        <f>IF(AND(Data!R57&lt;&gt;"",Data!L57="Accept&amp;#233;"),Data!R57,"")</f>
        <v/>
      </c>
      <c r="F58" s="62" t="str">
        <f>IF(AND(Data!R57&lt;&gt;"",Data!L57="Accept&amp;#233;"),Data!S57,"")</f>
        <v/>
      </c>
      <c r="G58" s="63" t="str">
        <f>IF(Data!R57='Delivery Plan'!E58,Data!U57,"")</f>
        <v/>
      </c>
      <c r="H58" s="51"/>
      <c r="I58" s="60" t="str">
        <f t="shared" si="1"/>
        <v/>
      </c>
      <c r="J58" s="42" t="str">
        <f>IF(AND(E58=Data!R57,Data!AA57&lt;&gt;""),Data!AA57,"")</f>
        <v/>
      </c>
      <c r="K58" s="64" t="str">
        <f>IF(AND(E58=Data!R57,Data!AE57&lt;&gt;""),Data!AE57,"")</f>
        <v/>
      </c>
      <c r="L58" s="65" t="str">
        <f>IF(E58=Data!R57,Data!AI57,"")</f>
        <v/>
      </c>
      <c r="M58" s="65" t="str">
        <f>IF(E58=Data!R57,Data!AJ57,"")</f>
        <v/>
      </c>
      <c r="N58" s="66" t="str">
        <f>IF(AND(Data!R57&lt;&gt;"",Data!L57="Accept&amp;#233;"),Data!K57,"")</f>
        <v/>
      </c>
    </row>
    <row r="59" spans="1:14" ht="19.5" hidden="1" customHeight="1" x14ac:dyDescent="0.3">
      <c r="A59" s="59" t="str">
        <f>IF(AND(Data!R58&lt;&gt;"",Data!L58="Accept&amp;#233;"),Data!G58,"")</f>
        <v/>
      </c>
      <c r="B59" s="59" t="str">
        <f>IF(AND(Data!R58&lt;&gt;"",Data!L58="Accept&amp;#233;"),Data!L58,"")</f>
        <v/>
      </c>
      <c r="C59" s="60" t="str">
        <f t="shared" si="0"/>
        <v/>
      </c>
      <c r="D59" s="42" t="str">
        <f>IF(AND(Data!Q58&lt;&gt;"",Data!L58="Accept&amp;#233;"),Data!Q58,"")</f>
        <v/>
      </c>
      <c r="E59" s="61" t="str">
        <f>IF(AND(Data!R58&lt;&gt;"",Data!L58="Accept&amp;#233;"),Data!R58,"")</f>
        <v/>
      </c>
      <c r="F59" s="62" t="str">
        <f>IF(AND(Data!R58&lt;&gt;"",Data!L58="Accept&amp;#233;"),Data!S58,"")</f>
        <v/>
      </c>
      <c r="G59" s="63">
        <f>IF(Data!R58='Delivery Plan'!E59,Data!U58,"")</f>
        <v>0</v>
      </c>
      <c r="H59" s="51"/>
      <c r="I59" s="60" t="str">
        <f t="shared" si="1"/>
        <v/>
      </c>
      <c r="J59" s="42" t="str">
        <f>IF(AND(E59=Data!R58,Data!AA58&lt;&gt;""),Data!AA58,"")</f>
        <v/>
      </c>
      <c r="K59" s="64" t="str">
        <f>IF(AND(E59=Data!R58,Data!AE58&lt;&gt;""),Data!AE58,"")</f>
        <v/>
      </c>
      <c r="L59" s="65">
        <f>IF(E59=Data!R58,Data!AI58,"")</f>
        <v>1</v>
      </c>
      <c r="M59" s="65" t="str">
        <f>IF(E59=Data!R58,Data!AJ58,"")</f>
        <v>Réparation RT6050</v>
      </c>
      <c r="N59" s="66" t="str">
        <f>IF(AND(Data!R58&lt;&gt;"",Data!L58="Accept&amp;#233;"),Data!K58,"")</f>
        <v/>
      </c>
    </row>
    <row r="60" spans="1:14" ht="19.5" hidden="1" customHeight="1" x14ac:dyDescent="0.3">
      <c r="A60" s="59" t="str">
        <f>IF(AND(Data!R59&lt;&gt;"",Data!L59="Accept&amp;#233;"),Data!G59,"")</f>
        <v/>
      </c>
      <c r="B60" s="59" t="str">
        <f>IF(AND(Data!R59&lt;&gt;"",Data!L59="Accept&amp;#233;"),Data!L59,"")</f>
        <v/>
      </c>
      <c r="C60" s="60" t="str">
        <f t="shared" si="0"/>
        <v/>
      </c>
      <c r="D60" s="42" t="str">
        <f>IF(AND(Data!Q59&lt;&gt;"",Data!L59="Accept&amp;#233;"),Data!Q59,"")</f>
        <v/>
      </c>
      <c r="E60" s="61" t="str">
        <f>IF(AND(Data!R59&lt;&gt;"",Data!L59="Accept&amp;#233;"),Data!R59,"")</f>
        <v/>
      </c>
      <c r="F60" s="62" t="str">
        <f>IF(AND(Data!R59&lt;&gt;"",Data!L59="Accept&amp;#233;"),Data!S59,"")</f>
        <v/>
      </c>
      <c r="G60" s="63">
        <f>IF(Data!R59='Delivery Plan'!E60,Data!U59,"")</f>
        <v>0</v>
      </c>
      <c r="H60" s="51"/>
      <c r="I60" s="60" t="str">
        <f t="shared" si="1"/>
        <v/>
      </c>
      <c r="J60" s="42" t="str">
        <f>IF(AND(E60=Data!R59,Data!AA59&lt;&gt;""),Data!AA59,"")</f>
        <v/>
      </c>
      <c r="K60" s="64">
        <f>IF(AND(E60=Data!R59,Data!AE59&lt;&gt;""),Data!AE59,"")</f>
        <v>25569.042183229165</v>
      </c>
      <c r="L60" s="65">
        <f>IF(E60=Data!R59,Data!AI59,"")</f>
        <v>1</v>
      </c>
      <c r="M60" s="65" t="str">
        <f>IF(E60=Data!R59,Data!AJ59,"")</f>
        <v>VGP cric F7XC203259602</v>
      </c>
      <c r="N60" s="66" t="str">
        <f>IF(AND(Data!R59&lt;&gt;"",Data!L59="Accept&amp;#233;"),Data!K59,"")</f>
        <v/>
      </c>
    </row>
    <row r="61" spans="1:14" ht="19.5" customHeight="1" x14ac:dyDescent="0.3">
      <c r="A61" s="59" t="str">
        <f>IF(AND(Data!R60&lt;&gt;"",Data!L60="Accept&amp;#233;"),Data!G60,"")</f>
        <v/>
      </c>
      <c r="B61" s="59" t="str">
        <f>IF(AND(Data!R60&lt;&gt;"",Data!L60="Accept&amp;#233;"),Data!L60,"")</f>
        <v/>
      </c>
      <c r="C61" s="60" t="str">
        <f t="shared" si="0"/>
        <v/>
      </c>
      <c r="D61" s="42" t="str">
        <f>IF(AND(Data!Q60&lt;&gt;"",Data!L60="Accept&amp;#233;"),Data!Q60,"")</f>
        <v/>
      </c>
      <c r="E61" s="61" t="str">
        <f>IF(AND(Data!R60&lt;&gt;"",Data!L60="Accept&amp;#233;"),Data!R60,"")</f>
        <v/>
      </c>
      <c r="F61" s="62" t="str">
        <f>IF(AND(Data!R60&lt;&gt;"",Data!L60="Accept&amp;#233;"),Data!S60,"")</f>
        <v/>
      </c>
      <c r="G61" s="63" t="str">
        <f>IF(Data!R60='Delivery Plan'!E61,Data!U60,"")</f>
        <v/>
      </c>
      <c r="H61" s="51"/>
      <c r="I61" s="60" t="str">
        <f t="shared" si="1"/>
        <v/>
      </c>
      <c r="J61" s="42" t="str">
        <f>IF(AND(E61=Data!R60,Data!AA60&lt;&gt;""),Data!AA60,"")</f>
        <v/>
      </c>
      <c r="K61" s="64" t="str">
        <f>IF(AND(E61=Data!R60,Data!AE60&lt;&gt;""),Data!AE60,"")</f>
        <v/>
      </c>
      <c r="L61" s="65" t="str">
        <f>IF(E61=Data!R60,Data!AI60,"")</f>
        <v/>
      </c>
      <c r="M61" s="65" t="str">
        <f>IF(E61=Data!R60,Data!AJ60,"")</f>
        <v/>
      </c>
      <c r="N61" s="66" t="str">
        <f>IF(AND(Data!R60&lt;&gt;"",Data!L60="Accept&amp;#233;"),Data!K60,"")</f>
        <v/>
      </c>
    </row>
    <row r="62" spans="1:14" ht="19.5" hidden="1" customHeight="1" x14ac:dyDescent="0.3">
      <c r="A62" s="59" t="str">
        <f>IF(AND(Data!R61&lt;&gt;"",Data!L61="Accept&amp;#233;"),Data!G61,"")</f>
        <v/>
      </c>
      <c r="B62" s="59" t="str">
        <f>IF(AND(Data!R61&lt;&gt;"",Data!L61="Accept&amp;#233;"),Data!L61,"")</f>
        <v/>
      </c>
      <c r="C62" s="60" t="str">
        <f t="shared" si="0"/>
        <v/>
      </c>
      <c r="D62" s="42" t="str">
        <f>IF(AND(Data!Q61&lt;&gt;"",Data!L61="Accept&amp;#233;"),Data!Q61,"")</f>
        <v/>
      </c>
      <c r="E62" s="61" t="str">
        <f>IF(AND(Data!R61&lt;&gt;"",Data!L61="Accept&amp;#233;"),Data!R61,"")</f>
        <v/>
      </c>
      <c r="F62" s="62" t="str">
        <f>IF(AND(Data!R61&lt;&gt;"",Data!L61="Accept&amp;#233;"),Data!S61,"")</f>
        <v/>
      </c>
      <c r="G62" s="63" t="str">
        <f>IF(Data!R61='Delivery Plan'!E62,Data!U61,"")</f>
        <v/>
      </c>
      <c r="H62" s="51"/>
      <c r="I62" s="60" t="str">
        <f t="shared" si="1"/>
        <v/>
      </c>
      <c r="J62" s="42" t="str">
        <f>IF(AND(E62=Data!R61,Data!AA61&lt;&gt;""),Data!AA61,"")</f>
        <v/>
      </c>
      <c r="K62" s="64" t="str">
        <f>IF(AND(E62=Data!R61,Data!AE61&lt;&gt;""),Data!AE61,"")</f>
        <v/>
      </c>
      <c r="L62" s="65" t="str">
        <f>IF(E62=Data!R61,Data!AI61,"")</f>
        <v/>
      </c>
      <c r="M62" s="65" t="str">
        <f>IF(E62=Data!R61,Data!AJ61,"")</f>
        <v/>
      </c>
      <c r="N62" s="66" t="str">
        <f>IF(AND(Data!R61&lt;&gt;"",Data!L61="Accept&amp;#233;"),Data!K61,"")</f>
        <v/>
      </c>
    </row>
    <row r="63" spans="1:14" ht="19.5" hidden="1" customHeight="1" x14ac:dyDescent="0.3">
      <c r="A63" s="59" t="str">
        <f>IF(AND(Data!R62&lt;&gt;"",Data!L62="Accept&amp;#233;"),Data!G62,"")</f>
        <v/>
      </c>
      <c r="B63" s="59" t="str">
        <f>IF(AND(Data!R62&lt;&gt;"",Data!L62="Accept&amp;#233;"),Data!L62,"")</f>
        <v/>
      </c>
      <c r="C63" s="60" t="str">
        <f t="shared" si="0"/>
        <v/>
      </c>
      <c r="D63" s="42" t="str">
        <f>IF(AND(Data!Q62&lt;&gt;"",Data!L62="Accept&amp;#233;"),Data!Q62,"")</f>
        <v/>
      </c>
      <c r="E63" s="61" t="str">
        <f>IF(AND(Data!R62&lt;&gt;"",Data!L62="Accept&amp;#233;"),Data!R62,"")</f>
        <v/>
      </c>
      <c r="F63" s="62" t="str">
        <f>IF(AND(Data!R62&lt;&gt;"",Data!L62="Accept&amp;#233;"),Data!S62,"")</f>
        <v/>
      </c>
      <c r="G63" s="63" t="str">
        <f>IF(Data!R62='Delivery Plan'!E63,Data!U62,"")</f>
        <v/>
      </c>
      <c r="H63" s="51"/>
      <c r="I63" s="60" t="str">
        <f t="shared" si="1"/>
        <v/>
      </c>
      <c r="J63" s="42" t="str">
        <f>IF(AND(E63=Data!R62,Data!AA62&lt;&gt;""),Data!AA62,"")</f>
        <v/>
      </c>
      <c r="K63" s="64" t="str">
        <f>IF(AND(E63=Data!R62,Data!AE62&lt;&gt;""),Data!AE62,"")</f>
        <v/>
      </c>
      <c r="L63" s="65" t="str">
        <f>IF(E63=Data!R62,Data!AI62,"")</f>
        <v/>
      </c>
      <c r="M63" s="65" t="str">
        <f>IF(E63=Data!R62,Data!AJ62,"")</f>
        <v/>
      </c>
      <c r="N63" s="66" t="str">
        <f>IF(AND(Data!R62&lt;&gt;"",Data!L62="Accept&amp;#233;"),Data!K62,"")</f>
        <v/>
      </c>
    </row>
    <row r="64" spans="1:14" ht="19.5" hidden="1" customHeight="1" x14ac:dyDescent="0.3">
      <c r="A64" s="59" t="str">
        <f>IF(AND(Data!R63&lt;&gt;"",Data!L63="Accept&amp;#233;"),Data!G63,"")</f>
        <v/>
      </c>
      <c r="B64" s="59" t="str">
        <f>IF(AND(Data!R63&lt;&gt;"",Data!L63="Accept&amp;#233;"),Data!L63,"")</f>
        <v/>
      </c>
      <c r="C64" s="60" t="str">
        <f t="shared" si="0"/>
        <v/>
      </c>
      <c r="D64" s="42" t="str">
        <f>IF(AND(Data!Q63&lt;&gt;"",Data!L63="Accept&amp;#233;"),Data!Q63,"")</f>
        <v/>
      </c>
      <c r="E64" s="61" t="str">
        <f>IF(AND(Data!R63&lt;&gt;"",Data!L63="Accept&amp;#233;"),Data!R63,"")</f>
        <v/>
      </c>
      <c r="F64" s="62" t="str">
        <f>IF(AND(Data!R63&lt;&gt;"",Data!L63="Accept&amp;#233;"),Data!S63,"")</f>
        <v/>
      </c>
      <c r="G64" s="63">
        <f>IF(Data!R63='Delivery Plan'!E64,Data!U63,"")</f>
        <v>0</v>
      </c>
      <c r="H64" s="51"/>
      <c r="I64" s="60" t="str">
        <f t="shared" si="1"/>
        <v/>
      </c>
      <c r="J64" s="42" t="str">
        <f>IF(AND(E64=Data!R63,Data!AA63&lt;&gt;""),Data!AA63,"")</f>
        <v/>
      </c>
      <c r="K64" s="64" t="str">
        <f>IF(AND(E64=Data!R63,Data!AE63&lt;&gt;""),Data!AE63,"")</f>
        <v/>
      </c>
      <c r="L64" s="65">
        <f>IF(E64=Data!R63,Data!AI63,"")</f>
        <v>1</v>
      </c>
      <c r="M64" s="65" t="str">
        <f>IF(E64=Data!R63,Data!AJ63,"")</f>
        <v>Retrofit RRT111117-1</v>
      </c>
      <c r="N64" s="66" t="str">
        <f>IF(AND(Data!R63&lt;&gt;"",Data!L63="Accept&amp;#233;"),Data!K63,"")</f>
        <v/>
      </c>
    </row>
    <row r="65" spans="1:14" ht="19.5" customHeight="1" x14ac:dyDescent="0.3">
      <c r="A65" s="59" t="str">
        <f>IF(AND(Data!R64&lt;&gt;"",Data!L64="Accept&amp;#233;"),Data!G64,"")</f>
        <v/>
      </c>
      <c r="B65" s="59" t="str">
        <f>IF(AND(Data!R64&lt;&gt;"",Data!L64="Accept&amp;#233;"),Data!L64,"")</f>
        <v/>
      </c>
      <c r="C65" s="60" t="str">
        <f t="shared" si="0"/>
        <v/>
      </c>
      <c r="D65" s="42" t="str">
        <f>IF(AND(Data!Q64&lt;&gt;"",Data!L64="Accept&amp;#233;"),Data!Q64,"")</f>
        <v/>
      </c>
      <c r="E65" s="61" t="str">
        <f>IF(AND(Data!R64&lt;&gt;"",Data!L64="Accept&amp;#233;"),Data!R64,"")</f>
        <v/>
      </c>
      <c r="F65" s="62" t="str">
        <f>IF(AND(Data!R64&lt;&gt;"",Data!L64="Accept&amp;#233;"),Data!S64,"")</f>
        <v/>
      </c>
      <c r="G65" s="63" t="str">
        <f>IF(Data!R64='Delivery Plan'!E65,Data!U64,"")</f>
        <v/>
      </c>
      <c r="H65" s="51"/>
      <c r="I65" s="60" t="str">
        <f t="shared" si="1"/>
        <v/>
      </c>
      <c r="J65" s="42" t="str">
        <f>IF(AND(E65=Data!R64,Data!AA64&lt;&gt;""),Data!AA64,"")</f>
        <v/>
      </c>
      <c r="K65" s="64" t="str">
        <f>IF(AND(E65=Data!R64,Data!AE64&lt;&gt;""),Data!AE64,"")</f>
        <v/>
      </c>
      <c r="L65" s="65" t="str">
        <f>IF(E65=Data!R64,Data!AI64,"")</f>
        <v/>
      </c>
      <c r="M65" s="65" t="str">
        <f>IF(E65=Data!R64,Data!AJ64,"")</f>
        <v/>
      </c>
      <c r="N65" s="66" t="str">
        <f>IF(AND(Data!R64&lt;&gt;"",Data!L64="Accept&amp;#233;"),Data!K64,"")</f>
        <v/>
      </c>
    </row>
    <row r="66" spans="1:14" ht="19.5" hidden="1" customHeight="1" x14ac:dyDescent="0.3">
      <c r="A66" s="59" t="str">
        <f>IF(AND(Data!R65&lt;&gt;"",Data!L65="Accept&amp;#233;"),Data!G65,"")</f>
        <v/>
      </c>
      <c r="B66" s="59" t="str">
        <f>IF(AND(Data!R65&lt;&gt;"",Data!L65="Accept&amp;#233;"),Data!L65,"")</f>
        <v/>
      </c>
      <c r="C66" s="60" t="str">
        <f t="shared" si="0"/>
        <v/>
      </c>
      <c r="D66" s="42" t="str">
        <f>IF(AND(Data!Q65&lt;&gt;"",Data!L65="Accept&amp;#233;"),Data!Q65,"")</f>
        <v/>
      </c>
      <c r="E66" s="61" t="str">
        <f>IF(AND(Data!R65&lt;&gt;"",Data!L65="Accept&amp;#233;"),Data!R65,"")</f>
        <v/>
      </c>
      <c r="F66" s="62" t="str">
        <f>IF(AND(Data!R65&lt;&gt;"",Data!L65="Accept&amp;#233;"),Data!S65,"")</f>
        <v/>
      </c>
      <c r="G66" s="63" t="str">
        <f>IF(Data!R65='Delivery Plan'!E66,Data!U65,"")</f>
        <v/>
      </c>
      <c r="H66" s="51"/>
      <c r="I66" s="60" t="str">
        <f t="shared" si="1"/>
        <v/>
      </c>
      <c r="J66" s="42" t="str">
        <f>IF(AND(E66=Data!R65,Data!AA65&lt;&gt;""),Data!AA65,"")</f>
        <v/>
      </c>
      <c r="K66" s="64" t="str">
        <f>IF(AND(E66=Data!R65,Data!AE65&lt;&gt;""),Data!AE65,"")</f>
        <v/>
      </c>
      <c r="L66" s="65" t="str">
        <f>IF(E66=Data!R65,Data!AI65,"")</f>
        <v/>
      </c>
      <c r="M66" s="65" t="str">
        <f>IF(E66=Data!R65,Data!AJ65,"")</f>
        <v/>
      </c>
      <c r="N66" s="66" t="str">
        <f>IF(AND(Data!R65&lt;&gt;"",Data!L65="Accept&amp;#233;"),Data!K65,"")</f>
        <v/>
      </c>
    </row>
    <row r="67" spans="1:14" ht="19.5" hidden="1" customHeight="1" x14ac:dyDescent="0.3">
      <c r="A67" s="59" t="str">
        <f>IF(AND(Data!R66&lt;&gt;"",Data!L66="Accept&amp;#233;"),Data!G66,"")</f>
        <v/>
      </c>
      <c r="B67" s="59" t="str">
        <f>IF(AND(Data!R66&lt;&gt;"",Data!L66="Accept&amp;#233;"),Data!L66,"")</f>
        <v/>
      </c>
      <c r="C67" s="60" t="str">
        <f t="shared" si="0"/>
        <v/>
      </c>
      <c r="D67" s="42" t="str">
        <f>IF(AND(Data!Q66&lt;&gt;"",Data!L66="Accept&amp;#233;"),Data!Q66,"")</f>
        <v/>
      </c>
      <c r="E67" s="61" t="str">
        <f>IF(AND(Data!R66&lt;&gt;"",Data!L66="Accept&amp;#233;"),Data!R66,"")</f>
        <v/>
      </c>
      <c r="F67" s="62" t="str">
        <f>IF(AND(Data!R66&lt;&gt;"",Data!L66="Accept&amp;#233;"),Data!S66,"")</f>
        <v/>
      </c>
      <c r="G67" s="63" t="str">
        <f>IF(Data!R66='Delivery Plan'!E67,Data!U66,"")</f>
        <v/>
      </c>
      <c r="H67" s="51"/>
      <c r="I67" s="60" t="str">
        <f t="shared" si="1"/>
        <v/>
      </c>
      <c r="J67" s="42" t="str">
        <f>IF(AND(E67=Data!R66,Data!AA66&lt;&gt;""),Data!AA66,"")</f>
        <v/>
      </c>
      <c r="K67" s="64" t="str">
        <f>IF(AND(E67=Data!R66,Data!AE66&lt;&gt;""),Data!AE66,"")</f>
        <v/>
      </c>
      <c r="L67" s="65" t="str">
        <f>IF(E67=Data!R66,Data!AI66,"")</f>
        <v/>
      </c>
      <c r="M67" s="65" t="str">
        <f>IF(E67=Data!R66,Data!AJ66,"")</f>
        <v/>
      </c>
      <c r="N67" s="66" t="str">
        <f>IF(AND(Data!R66&lt;&gt;"",Data!L66="Accept&amp;#233;"),Data!K66,"")</f>
        <v/>
      </c>
    </row>
    <row r="68" spans="1:14" ht="19.5" hidden="1" customHeight="1" x14ac:dyDescent="0.3">
      <c r="A68" s="59" t="str">
        <f>IF(AND(Data!R67&lt;&gt;"",Data!L67="Accept&amp;#233;"),Data!G67,"")</f>
        <v/>
      </c>
      <c r="B68" s="59" t="str">
        <f>IF(AND(Data!R67&lt;&gt;"",Data!L67="Accept&amp;#233;"),Data!L67,"")</f>
        <v/>
      </c>
      <c r="C68" s="60" t="str">
        <f t="shared" ref="C68:C131" si="2">IF(D68&lt;&gt;"","S"&amp;TEXT(WEEKNUM(D68),"00"),"")</f>
        <v/>
      </c>
      <c r="D68" s="42" t="str">
        <f>IF(AND(Data!Q67&lt;&gt;"",Data!L67="Accept&amp;#233;"),Data!Q67,"")</f>
        <v/>
      </c>
      <c r="E68" s="61" t="str">
        <f>IF(AND(Data!R67&lt;&gt;"",Data!L67="Accept&amp;#233;"),Data!R67,"")</f>
        <v/>
      </c>
      <c r="F68" s="62" t="str">
        <f>IF(AND(Data!R67&lt;&gt;"",Data!L67="Accept&amp;#233;"),Data!S67,"")</f>
        <v/>
      </c>
      <c r="G68" s="63" t="str">
        <f>IF(Data!R67='Delivery Plan'!E68,Data!U67,"")</f>
        <v/>
      </c>
      <c r="H68" s="51"/>
      <c r="I68" s="60" t="str">
        <f t="shared" ref="I68:I131" si="3">IF(J68&lt;&gt;"","S"&amp;TEXT(WEEKNUM(J68),"00"),"")</f>
        <v/>
      </c>
      <c r="J68" s="42" t="str">
        <f>IF(AND(E68=Data!R67,Data!AA67&lt;&gt;""),Data!AA67,"")</f>
        <v/>
      </c>
      <c r="K68" s="64" t="str">
        <f>IF(AND(E68=Data!R67,Data!AE67&lt;&gt;""),Data!AE67,"")</f>
        <v/>
      </c>
      <c r="L68" s="65" t="str">
        <f>IF(E68=Data!R67,Data!AI67,"")</f>
        <v/>
      </c>
      <c r="M68" s="65" t="str">
        <f>IF(E68=Data!R67,Data!AJ67,"")</f>
        <v/>
      </c>
      <c r="N68" s="66" t="str">
        <f>IF(AND(Data!R67&lt;&gt;"",Data!L67="Accept&amp;#233;"),Data!K67,"")</f>
        <v/>
      </c>
    </row>
    <row r="69" spans="1:14" ht="19.5" hidden="1" customHeight="1" x14ac:dyDescent="0.3">
      <c r="A69" s="59" t="str">
        <f>IF(AND(Data!R68&lt;&gt;"",Data!L68="Accept&amp;#233;"),Data!G68,"")</f>
        <v/>
      </c>
      <c r="B69" s="59" t="str">
        <f>IF(AND(Data!R68&lt;&gt;"",Data!L68="Accept&amp;#233;"),Data!L68,"")</f>
        <v/>
      </c>
      <c r="C69" s="60" t="str">
        <f t="shared" si="2"/>
        <v/>
      </c>
      <c r="D69" s="42" t="str">
        <f>IF(AND(Data!Q68&lt;&gt;"",Data!L68="Accept&amp;#233;"),Data!Q68,"")</f>
        <v/>
      </c>
      <c r="E69" s="61" t="str">
        <f>IF(AND(Data!R68&lt;&gt;"",Data!L68="Accept&amp;#233;"),Data!R68,"")</f>
        <v/>
      </c>
      <c r="F69" s="62" t="str">
        <f>IF(AND(Data!R68&lt;&gt;"",Data!L68="Accept&amp;#233;"),Data!S68,"")</f>
        <v/>
      </c>
      <c r="G69" s="63" t="str">
        <f>IF(Data!R68='Delivery Plan'!E69,Data!U68,"")</f>
        <v/>
      </c>
      <c r="H69" s="51"/>
      <c r="I69" s="60" t="str">
        <f t="shared" si="3"/>
        <v/>
      </c>
      <c r="J69" s="42" t="str">
        <f>IF(AND(E69=Data!R68,Data!AA68&lt;&gt;""),Data!AA68,"")</f>
        <v/>
      </c>
      <c r="K69" s="64" t="str">
        <f>IF(AND(E69=Data!R68,Data!AE68&lt;&gt;""),Data!AE68,"")</f>
        <v/>
      </c>
      <c r="L69" s="65" t="str">
        <f>IF(E69=Data!R68,Data!AI68,"")</f>
        <v/>
      </c>
      <c r="M69" s="65" t="str">
        <f>IF(E69=Data!R68,Data!AJ68,"")</f>
        <v/>
      </c>
      <c r="N69" s="66" t="str">
        <f>IF(AND(Data!R68&lt;&gt;"",Data!L68="Accept&amp;#233;"),Data!K68,"")</f>
        <v/>
      </c>
    </row>
    <row r="70" spans="1:14" ht="19.5" hidden="1" customHeight="1" x14ac:dyDescent="0.3">
      <c r="A70" s="59" t="str">
        <f>IF(AND(Data!R69&lt;&gt;"",Data!L69="Accept&amp;#233;"),Data!G69,"")</f>
        <v/>
      </c>
      <c r="B70" s="59" t="str">
        <f>IF(AND(Data!R69&lt;&gt;"",Data!L69="Accept&amp;#233;"),Data!L69,"")</f>
        <v/>
      </c>
      <c r="C70" s="60" t="str">
        <f t="shared" si="2"/>
        <v/>
      </c>
      <c r="D70" s="42" t="str">
        <f>IF(AND(Data!Q69&lt;&gt;"",Data!L69="Accept&amp;#233;"),Data!Q69,"")</f>
        <v/>
      </c>
      <c r="E70" s="61" t="str">
        <f>IF(AND(Data!R69&lt;&gt;"",Data!L69="Accept&amp;#233;"),Data!R69,"")</f>
        <v/>
      </c>
      <c r="F70" s="62" t="str">
        <f>IF(AND(Data!R69&lt;&gt;"",Data!L69="Accept&amp;#233;"),Data!S69,"")</f>
        <v/>
      </c>
      <c r="G70" s="63" t="str">
        <f>IF(Data!R69='Delivery Plan'!E70,Data!U69,"")</f>
        <v/>
      </c>
      <c r="H70" s="51"/>
      <c r="I70" s="60" t="str">
        <f t="shared" si="3"/>
        <v/>
      </c>
      <c r="J70" s="42" t="str">
        <f>IF(AND(E70=Data!R69,Data!AA69&lt;&gt;""),Data!AA69,"")</f>
        <v/>
      </c>
      <c r="K70" s="64" t="str">
        <f>IF(AND(E70=Data!R69,Data!AE69&lt;&gt;""),Data!AE69,"")</f>
        <v/>
      </c>
      <c r="L70" s="65" t="str">
        <f>IF(E70=Data!R69,Data!AI69,"")</f>
        <v/>
      </c>
      <c r="M70" s="65" t="str">
        <f>IF(E70=Data!R69,Data!AJ69,"")</f>
        <v/>
      </c>
      <c r="N70" s="66" t="str">
        <f>IF(AND(Data!R69&lt;&gt;"",Data!L69="Accept&amp;#233;"),Data!K69,"")</f>
        <v/>
      </c>
    </row>
    <row r="71" spans="1:14" ht="19.5" customHeight="1" x14ac:dyDescent="0.3">
      <c r="A71" s="59" t="str">
        <f>IF(AND(Data!R70&lt;&gt;"",Data!L70="Accept&amp;#233;"),Data!G70,"")</f>
        <v/>
      </c>
      <c r="B71" s="59" t="str">
        <f>IF(AND(Data!R70&lt;&gt;"",Data!L70="Accept&amp;#233;"),Data!L70,"")</f>
        <v/>
      </c>
      <c r="C71" s="60" t="str">
        <f t="shared" si="2"/>
        <v/>
      </c>
      <c r="D71" s="42" t="str">
        <f>IF(AND(Data!Q70&lt;&gt;"",Data!L70="Accept&amp;#233;"),Data!Q70,"")</f>
        <v/>
      </c>
      <c r="E71" s="61" t="str">
        <f>IF(AND(Data!R70&lt;&gt;"",Data!L70="Accept&amp;#233;"),Data!R70,"")</f>
        <v/>
      </c>
      <c r="F71" s="62" t="str">
        <f>IF(AND(Data!R70&lt;&gt;"",Data!L70="Accept&amp;#233;"),Data!S70,"")</f>
        <v/>
      </c>
      <c r="G71" s="63" t="str">
        <f>IF(Data!R70='Delivery Plan'!E71,Data!U70,"")</f>
        <v/>
      </c>
      <c r="H71" s="51"/>
      <c r="I71" s="60" t="str">
        <f t="shared" si="3"/>
        <v/>
      </c>
      <c r="J71" s="42" t="str">
        <f>IF(AND(E71=Data!R70,Data!AA70&lt;&gt;""),Data!AA70,"")</f>
        <v/>
      </c>
      <c r="K71" s="64" t="str">
        <f>IF(AND(E71=Data!R70,Data!AE70&lt;&gt;""),Data!AE70,"")</f>
        <v/>
      </c>
      <c r="L71" s="65" t="str">
        <f>IF(E71=Data!R70,Data!AI70,"")</f>
        <v/>
      </c>
      <c r="M71" s="65" t="str">
        <f>IF(E71=Data!R70,Data!AJ70,"")</f>
        <v/>
      </c>
      <c r="N71" s="66" t="str">
        <f>IF(AND(Data!R70&lt;&gt;"",Data!L70="Accept&amp;#233;"),Data!K70,"")</f>
        <v/>
      </c>
    </row>
    <row r="72" spans="1:14" ht="19.5" customHeight="1" x14ac:dyDescent="0.3">
      <c r="A72" s="59" t="str">
        <f>IF(AND(Data!R71&lt;&gt;"",Data!L71="Accept&amp;#233;"),Data!G71,"")</f>
        <v/>
      </c>
      <c r="B72" s="59" t="str">
        <f>IF(AND(Data!R71&lt;&gt;"",Data!L71="Accept&amp;#233;"),Data!L71,"")</f>
        <v/>
      </c>
      <c r="C72" s="60" t="str">
        <f t="shared" si="2"/>
        <v/>
      </c>
      <c r="D72" s="42" t="str">
        <f>IF(AND(Data!Q71&lt;&gt;"",Data!L71="Accept&amp;#233;"),Data!Q71,"")</f>
        <v/>
      </c>
      <c r="E72" s="61" t="str">
        <f>IF(AND(Data!R71&lt;&gt;"",Data!L71="Accept&amp;#233;"),Data!R71,"")</f>
        <v/>
      </c>
      <c r="F72" s="62" t="str">
        <f>IF(AND(Data!R71&lt;&gt;"",Data!L71="Accept&amp;#233;"),Data!S71,"")</f>
        <v/>
      </c>
      <c r="G72" s="63" t="str">
        <f>IF(Data!R71='Delivery Plan'!E72,Data!U71,"")</f>
        <v/>
      </c>
      <c r="H72" s="51"/>
      <c r="I72" s="60" t="str">
        <f t="shared" si="3"/>
        <v/>
      </c>
      <c r="J72" s="42" t="str">
        <f>IF(AND(E72=Data!R71,Data!AA71&lt;&gt;""),Data!AA71,"")</f>
        <v/>
      </c>
      <c r="K72" s="64" t="str">
        <f>IF(AND(E72=Data!R71,Data!AE71&lt;&gt;""),Data!AE71,"")</f>
        <v/>
      </c>
      <c r="L72" s="65" t="str">
        <f>IF(E72=Data!R71,Data!AI71,"")</f>
        <v/>
      </c>
      <c r="M72" s="65" t="str">
        <f>IF(E72=Data!R71,Data!AJ71,"")</f>
        <v/>
      </c>
      <c r="N72" s="66" t="str">
        <f>IF(AND(Data!R71&lt;&gt;"",Data!L71="Accept&amp;#233;"),Data!K71,"")</f>
        <v/>
      </c>
    </row>
    <row r="73" spans="1:14" ht="19.5" hidden="1" customHeight="1" x14ac:dyDescent="0.3">
      <c r="A73" s="59" t="str">
        <f>IF(AND(Data!R72&lt;&gt;"",Data!L72="Accept&amp;#233;"),Data!G72,"")</f>
        <v/>
      </c>
      <c r="B73" s="59" t="str">
        <f>IF(AND(Data!R72&lt;&gt;"",Data!L72="Accept&amp;#233;"),Data!L72,"")</f>
        <v/>
      </c>
      <c r="C73" s="60" t="str">
        <f t="shared" si="2"/>
        <v/>
      </c>
      <c r="D73" s="42" t="str">
        <f>IF(AND(Data!Q72&lt;&gt;"",Data!L72="Accept&amp;#233;"),Data!Q72,"")</f>
        <v/>
      </c>
      <c r="E73" s="61" t="str">
        <f>IF(AND(Data!R72&lt;&gt;"",Data!L72="Accept&amp;#233;"),Data!R72,"")</f>
        <v/>
      </c>
      <c r="F73" s="62" t="str">
        <f>IF(AND(Data!R72&lt;&gt;"",Data!L72="Accept&amp;#233;"),Data!S72,"")</f>
        <v/>
      </c>
      <c r="G73" s="63" t="str">
        <f>IF(Data!R72='Delivery Plan'!E73,Data!U72,"")</f>
        <v/>
      </c>
      <c r="H73" s="51"/>
      <c r="I73" s="60" t="str">
        <f t="shared" si="3"/>
        <v/>
      </c>
      <c r="J73" s="42" t="str">
        <f>IF(AND(E73=Data!R72,Data!AA72&lt;&gt;""),Data!AA72,"")</f>
        <v/>
      </c>
      <c r="K73" s="64" t="str">
        <f>IF(AND(E73=Data!R72,Data!AE72&lt;&gt;""),Data!AE72,"")</f>
        <v/>
      </c>
      <c r="L73" s="65" t="str">
        <f>IF(E73=Data!R72,Data!AI72,"")</f>
        <v/>
      </c>
      <c r="M73" s="65" t="str">
        <f>IF(E73=Data!R72,Data!AJ72,"")</f>
        <v/>
      </c>
      <c r="N73" s="66" t="str">
        <f>IF(AND(Data!R72&lt;&gt;"",Data!L72="Accept&amp;#233;"),Data!K72,"")</f>
        <v/>
      </c>
    </row>
    <row r="74" spans="1:14" ht="19.5" hidden="1" customHeight="1" x14ac:dyDescent="0.3">
      <c r="A74" s="59" t="str">
        <f>IF(AND(Data!R73&lt;&gt;"",Data!L73="Accept&amp;#233;"),Data!G73,"")</f>
        <v/>
      </c>
      <c r="B74" s="59" t="str">
        <f>IF(AND(Data!R73&lt;&gt;"",Data!L73="Accept&amp;#233;"),Data!L73,"")</f>
        <v/>
      </c>
      <c r="C74" s="60" t="str">
        <f t="shared" si="2"/>
        <v/>
      </c>
      <c r="D74" s="42" t="str">
        <f>IF(AND(Data!Q73&lt;&gt;"",Data!L73="Accept&amp;#233;"),Data!Q73,"")</f>
        <v/>
      </c>
      <c r="E74" s="61" t="str">
        <f>IF(AND(Data!R73&lt;&gt;"",Data!L73="Accept&amp;#233;"),Data!R73,"")</f>
        <v/>
      </c>
      <c r="F74" s="62" t="str">
        <f>IF(AND(Data!R73&lt;&gt;"",Data!L73="Accept&amp;#233;"),Data!S73,"")</f>
        <v/>
      </c>
      <c r="G74" s="63">
        <f>IF(Data!R73='Delivery Plan'!E74,Data!U73,"")</f>
        <v>0</v>
      </c>
      <c r="H74" s="51"/>
      <c r="I74" s="60" t="str">
        <f t="shared" si="3"/>
        <v/>
      </c>
      <c r="J74" s="42" t="str">
        <f>IF(AND(E74=Data!R73,Data!AA73&lt;&gt;""),Data!AA73,"")</f>
        <v/>
      </c>
      <c r="K74" s="64" t="str">
        <f>IF(AND(E74=Data!R73,Data!AE73&lt;&gt;""),Data!AE73,"")</f>
        <v/>
      </c>
      <c r="L74" s="65">
        <f>IF(E74=Data!R73,Data!AI73,"")</f>
        <v>1</v>
      </c>
      <c r="M74" s="65" t="str">
        <f>IF(E74=Data!R73,Data!AJ73,"")</f>
        <v>Recertification vérins A400M Clermont-Ferrand</v>
      </c>
      <c r="N74" s="66" t="str">
        <f>IF(AND(Data!R73&lt;&gt;"",Data!L73="Accept&amp;#233;"),Data!K73,"")</f>
        <v/>
      </c>
    </row>
    <row r="75" spans="1:14" ht="19.5" hidden="1" customHeight="1" x14ac:dyDescent="0.3">
      <c r="A75" s="59" t="str">
        <f>IF(AND(Data!R74&lt;&gt;"",Data!L74="Accept&amp;#233;"),Data!G74,"")</f>
        <v/>
      </c>
      <c r="B75" s="59" t="str">
        <f>IF(AND(Data!R74&lt;&gt;"",Data!L74="Accept&amp;#233;"),Data!L74,"")</f>
        <v/>
      </c>
      <c r="C75" s="60" t="str">
        <f t="shared" si="2"/>
        <v/>
      </c>
      <c r="D75" s="42" t="str">
        <f>IF(AND(Data!Q74&lt;&gt;"",Data!L74="Accept&amp;#233;"),Data!Q74,"")</f>
        <v/>
      </c>
      <c r="E75" s="61" t="str">
        <f>IF(AND(Data!R74&lt;&gt;"",Data!L74="Accept&amp;#233;"),Data!R74,"")</f>
        <v/>
      </c>
      <c r="F75" s="62" t="str">
        <f>IF(AND(Data!R74&lt;&gt;"",Data!L74="Accept&amp;#233;"),Data!S74,"")</f>
        <v/>
      </c>
      <c r="G75" s="63" t="str">
        <f>IF(Data!R74='Delivery Plan'!E75,Data!U74,"")</f>
        <v/>
      </c>
      <c r="H75" s="51"/>
      <c r="I75" s="60" t="str">
        <f t="shared" si="3"/>
        <v/>
      </c>
      <c r="J75" s="42" t="str">
        <f>IF(AND(E75=Data!R74,Data!AA74&lt;&gt;""),Data!AA74,"")</f>
        <v/>
      </c>
      <c r="K75" s="64" t="str">
        <f>IF(AND(E75=Data!R74,Data!AE74&lt;&gt;""),Data!AE74,"")</f>
        <v/>
      </c>
      <c r="L75" s="65" t="str">
        <f>IF(E75=Data!R74,Data!AI74,"")</f>
        <v/>
      </c>
      <c r="M75" s="65" t="str">
        <f>IF(E75=Data!R74,Data!AJ74,"")</f>
        <v/>
      </c>
      <c r="N75" s="66" t="str">
        <f>IF(AND(Data!R74&lt;&gt;"",Data!L74="Accept&amp;#233;"),Data!K74,"")</f>
        <v/>
      </c>
    </row>
    <row r="76" spans="1:14" ht="19.5" customHeight="1" x14ac:dyDescent="0.3">
      <c r="A76" s="59" t="str">
        <f>IF(AND(Data!R75&lt;&gt;"",Data!L75="Accept&amp;#233;"),Data!G75,"")</f>
        <v/>
      </c>
      <c r="B76" s="59" t="str">
        <f>IF(AND(Data!R75&lt;&gt;"",Data!L75="Accept&amp;#233;"),Data!L75,"")</f>
        <v/>
      </c>
      <c r="C76" s="60" t="str">
        <f t="shared" si="2"/>
        <v/>
      </c>
      <c r="D76" s="42" t="str">
        <f>IF(AND(Data!Q75&lt;&gt;"",Data!L75="Accept&amp;#233;"),Data!Q75,"")</f>
        <v/>
      </c>
      <c r="E76" s="61" t="str">
        <f>IF(AND(Data!R75&lt;&gt;"",Data!L75="Accept&amp;#233;"),Data!R75,"")</f>
        <v/>
      </c>
      <c r="F76" s="62" t="str">
        <f>IF(AND(Data!R75&lt;&gt;"",Data!L75="Accept&amp;#233;"),Data!S75,"")</f>
        <v/>
      </c>
      <c r="G76" s="63" t="str">
        <f>IF(Data!R75='Delivery Plan'!E76,Data!U75,"")</f>
        <v/>
      </c>
      <c r="H76" s="51"/>
      <c r="I76" s="60" t="str">
        <f t="shared" si="3"/>
        <v/>
      </c>
      <c r="J76" s="42" t="str">
        <f>IF(AND(E76=Data!R75,Data!AA75&lt;&gt;""),Data!AA75,"")</f>
        <v/>
      </c>
      <c r="K76" s="64" t="str">
        <f>IF(AND(E76=Data!R75,Data!AE75&lt;&gt;""),Data!AE75,"")</f>
        <v/>
      </c>
      <c r="L76" s="65" t="str">
        <f>IF(E76=Data!R75,Data!AI75,"")</f>
        <v/>
      </c>
      <c r="M76" s="65" t="str">
        <f>IF(E76=Data!R75,Data!AJ75,"")</f>
        <v/>
      </c>
      <c r="N76" s="66" t="str">
        <f>IF(AND(Data!R75&lt;&gt;"",Data!L75="Accept&amp;#233;"),Data!K75,"")</f>
        <v/>
      </c>
    </row>
    <row r="77" spans="1:14" ht="19.5" hidden="1" customHeight="1" x14ac:dyDescent="0.3">
      <c r="A77" s="59" t="str">
        <f>IF(AND(Data!R76&lt;&gt;"",Data!L76="Accept&amp;#233;"),Data!G76,"")</f>
        <v/>
      </c>
      <c r="B77" s="59" t="str">
        <f>IF(AND(Data!R76&lt;&gt;"",Data!L76="Accept&amp;#233;"),Data!L76,"")</f>
        <v/>
      </c>
      <c r="C77" s="60" t="str">
        <f t="shared" si="2"/>
        <v/>
      </c>
      <c r="D77" s="42" t="str">
        <f>IF(AND(Data!Q76&lt;&gt;"",Data!L76="Accept&amp;#233;"),Data!Q76,"")</f>
        <v/>
      </c>
      <c r="E77" s="61" t="str">
        <f>IF(AND(Data!R76&lt;&gt;"",Data!L76="Accept&amp;#233;"),Data!R76,"")</f>
        <v/>
      </c>
      <c r="F77" s="62" t="str">
        <f>IF(AND(Data!R76&lt;&gt;"",Data!L76="Accept&amp;#233;"),Data!S76,"")</f>
        <v/>
      </c>
      <c r="G77" s="63">
        <f>IF(Data!R76='Delivery Plan'!E77,Data!U76,"")</f>
        <v>0</v>
      </c>
      <c r="H77" s="51"/>
      <c r="I77" s="60" t="str">
        <f t="shared" si="3"/>
        <v/>
      </c>
      <c r="J77" s="42" t="str">
        <f>IF(AND(E77=Data!R76,Data!AA76&lt;&gt;""),Data!AA76,"")</f>
        <v/>
      </c>
      <c r="K77" s="64" t="str">
        <f>IF(AND(E77=Data!R76,Data!AE76&lt;&gt;""),Data!AE76,"")</f>
        <v/>
      </c>
      <c r="L77" s="65">
        <f>IF(E77=Data!R76,Data!AI76,"")</f>
        <v>1</v>
      </c>
      <c r="M77" s="65" t="str">
        <f>IF(E77=Data!R76,Data!AJ76,"")</f>
        <v>Docks de nez AWACS</v>
      </c>
      <c r="N77" s="66" t="str">
        <f>IF(AND(Data!R76&lt;&gt;"",Data!L76="Accept&amp;#233;"),Data!K76,"")</f>
        <v/>
      </c>
    </row>
    <row r="78" spans="1:14" ht="19.5" hidden="1" customHeight="1" x14ac:dyDescent="0.3">
      <c r="A78" s="59" t="str">
        <f>IF(AND(Data!R77&lt;&gt;"",Data!L77="Accept&amp;#233;"),Data!G77,"")</f>
        <v/>
      </c>
      <c r="B78" s="59" t="str">
        <f>IF(AND(Data!R77&lt;&gt;"",Data!L77="Accept&amp;#233;"),Data!L77,"")</f>
        <v/>
      </c>
      <c r="C78" s="60" t="str">
        <f t="shared" si="2"/>
        <v/>
      </c>
      <c r="D78" s="42" t="str">
        <f>IF(AND(Data!Q77&lt;&gt;"",Data!L77="Accept&amp;#233;"),Data!Q77,"")</f>
        <v/>
      </c>
      <c r="E78" s="61" t="str">
        <f>IF(AND(Data!R77&lt;&gt;"",Data!L77="Accept&amp;#233;"),Data!R77,"")</f>
        <v/>
      </c>
      <c r="F78" s="62" t="str">
        <f>IF(AND(Data!R77&lt;&gt;"",Data!L77="Accept&amp;#233;"),Data!S77,"")</f>
        <v/>
      </c>
      <c r="G78" s="63">
        <f>IF(Data!R77='Delivery Plan'!E78,Data!U77,"")</f>
        <v>0</v>
      </c>
      <c r="H78" s="51"/>
      <c r="I78" s="60" t="str">
        <f t="shared" si="3"/>
        <v/>
      </c>
      <c r="J78" s="42" t="str">
        <f>IF(AND(E78=Data!R77,Data!AA77&lt;&gt;""),Data!AA77,"")</f>
        <v/>
      </c>
      <c r="K78" s="64" t="str">
        <f>IF(AND(E78=Data!R77,Data!AE77&lt;&gt;""),Data!AE77,"")</f>
        <v/>
      </c>
      <c r="L78" s="65">
        <f>IF(E78=Data!R77,Data!AI77,"")</f>
        <v>1</v>
      </c>
      <c r="M78" s="65" t="str">
        <f>IF(E78=Data!R77,Data!AJ77,"")</f>
        <v>Recertification outillages</v>
      </c>
      <c r="N78" s="66" t="str">
        <f>IF(AND(Data!R77&lt;&gt;"",Data!L77="Accept&amp;#233;"),Data!K77,"")</f>
        <v/>
      </c>
    </row>
    <row r="79" spans="1:14" ht="19.5" hidden="1" customHeight="1" x14ac:dyDescent="0.3">
      <c r="A79" s="59" t="str">
        <f>IF(AND(Data!R78&lt;&gt;"",Data!L78="Accept&amp;#233;"),Data!G78,"")</f>
        <v/>
      </c>
      <c r="B79" s="59" t="str">
        <f>IF(AND(Data!R78&lt;&gt;"",Data!L78="Accept&amp;#233;"),Data!L78,"")</f>
        <v/>
      </c>
      <c r="C79" s="60" t="str">
        <f t="shared" si="2"/>
        <v/>
      </c>
      <c r="D79" s="42" t="str">
        <f>IF(AND(Data!Q78&lt;&gt;"",Data!L78="Accept&amp;#233;"),Data!Q78,"")</f>
        <v/>
      </c>
      <c r="E79" s="61" t="str">
        <f>IF(AND(Data!R78&lt;&gt;"",Data!L78="Accept&amp;#233;"),Data!R78,"")</f>
        <v/>
      </c>
      <c r="F79" s="62" t="str">
        <f>IF(AND(Data!R78&lt;&gt;"",Data!L78="Accept&amp;#233;"),Data!S78,"")</f>
        <v/>
      </c>
      <c r="G79" s="63">
        <f>IF(Data!R78='Delivery Plan'!E79,Data!U78,"")</f>
        <v>0</v>
      </c>
      <c r="H79" s="51"/>
      <c r="I79" s="60" t="str">
        <f t="shared" si="3"/>
        <v/>
      </c>
      <c r="J79" s="42" t="str">
        <f>IF(AND(E79=Data!R78,Data!AA78&lt;&gt;""),Data!AA78,"")</f>
        <v/>
      </c>
      <c r="K79" s="64" t="str">
        <f>IF(AND(E79=Data!R78,Data!AE78&lt;&gt;""),Data!AE78,"")</f>
        <v/>
      </c>
      <c r="L79" s="65">
        <f>IF(E79=Data!R78,Data!AI78,"")</f>
        <v>2</v>
      </c>
      <c r="M79" s="65" t="str">
        <f>IF(E79=Data!R78,Data!AJ78,"")</f>
        <v>Réparation vérins</v>
      </c>
      <c r="N79" s="66" t="str">
        <f>IF(AND(Data!R78&lt;&gt;"",Data!L78="Accept&amp;#233;"),Data!K78,"")</f>
        <v/>
      </c>
    </row>
    <row r="80" spans="1:14" ht="19.5" customHeight="1" x14ac:dyDescent="0.3">
      <c r="A80" s="59" t="str">
        <f>IF(AND(Data!R79&lt;&gt;"",Data!L79="Accept&amp;#233;"),Data!G79,"")</f>
        <v/>
      </c>
      <c r="B80" s="59" t="str">
        <f>IF(AND(Data!R79&lt;&gt;"",Data!L79="Accept&amp;#233;"),Data!L79,"")</f>
        <v/>
      </c>
      <c r="C80" s="60" t="str">
        <f t="shared" si="2"/>
        <v/>
      </c>
      <c r="D80" s="42" t="str">
        <f>IF(AND(Data!Q79&lt;&gt;"",Data!L79="Accept&amp;#233;"),Data!Q79,"")</f>
        <v/>
      </c>
      <c r="E80" s="61" t="str">
        <f>IF(AND(Data!R79&lt;&gt;"",Data!L79="Accept&amp;#233;"),Data!R79,"")</f>
        <v/>
      </c>
      <c r="F80" s="62" t="str">
        <f>IF(AND(Data!R79&lt;&gt;"",Data!L79="Accept&amp;#233;"),Data!S79,"")</f>
        <v/>
      </c>
      <c r="G80" s="63" t="str">
        <f>IF(Data!R79='Delivery Plan'!E80,Data!U79,"")</f>
        <v/>
      </c>
      <c r="H80" s="51"/>
      <c r="I80" s="60" t="str">
        <f t="shared" si="3"/>
        <v/>
      </c>
      <c r="J80" s="42" t="str">
        <f>IF(AND(E80=Data!R79,Data!AA79&lt;&gt;""),Data!AA79,"")</f>
        <v/>
      </c>
      <c r="K80" s="64" t="str">
        <f>IF(AND(E80=Data!R79,Data!AE79&lt;&gt;""),Data!AE79,"")</f>
        <v/>
      </c>
      <c r="L80" s="65" t="str">
        <f>IF(E80=Data!R79,Data!AI79,"")</f>
        <v/>
      </c>
      <c r="M80" s="65" t="str">
        <f>IF(E80=Data!R79,Data!AJ79,"")</f>
        <v/>
      </c>
      <c r="N80" s="66" t="str">
        <f>IF(AND(Data!R79&lt;&gt;"",Data!L79="Accept&amp;#233;"),Data!K79,"")</f>
        <v/>
      </c>
    </row>
    <row r="81" spans="1:14" ht="19.5" hidden="1" customHeight="1" x14ac:dyDescent="0.3">
      <c r="A81" s="59" t="str">
        <f>IF(AND(Data!R80&lt;&gt;"",Data!L80="Accept&amp;#233;"),Data!G80,"")</f>
        <v/>
      </c>
      <c r="B81" s="59" t="str">
        <f>IF(AND(Data!R80&lt;&gt;"",Data!L80="Accept&amp;#233;"),Data!L80,"")</f>
        <v/>
      </c>
      <c r="C81" s="60" t="str">
        <f t="shared" si="2"/>
        <v/>
      </c>
      <c r="D81" s="42" t="str">
        <f>IF(AND(Data!Q80&lt;&gt;"",Data!L80="Accept&amp;#233;"),Data!Q80,"")</f>
        <v/>
      </c>
      <c r="E81" s="61" t="str">
        <f>IF(AND(Data!R80&lt;&gt;"",Data!L80="Accept&amp;#233;"),Data!R80,"")</f>
        <v/>
      </c>
      <c r="F81" s="62" t="str">
        <f>IF(AND(Data!R80&lt;&gt;"",Data!L80="Accept&amp;#233;"),Data!S80,"")</f>
        <v/>
      </c>
      <c r="G81" s="63">
        <f>IF(Data!R80='Delivery Plan'!E81,Data!U80,"")</f>
        <v>0</v>
      </c>
      <c r="H81" s="51"/>
      <c r="I81" s="60" t="str">
        <f t="shared" si="3"/>
        <v/>
      </c>
      <c r="J81" s="42" t="str">
        <f>IF(AND(E81=Data!R80,Data!AA80&lt;&gt;""),Data!AA80,"")</f>
        <v/>
      </c>
      <c r="K81" s="64" t="str">
        <f>IF(AND(E81=Data!R80,Data!AE80&lt;&gt;""),Data!AE80,"")</f>
        <v/>
      </c>
      <c r="L81" s="65">
        <f>IF(E81=Data!R80,Data!AI80,"")</f>
        <v>1</v>
      </c>
      <c r="M81" s="65" t="str">
        <f>IF(E81=Data!R80,Data!AJ80,"")</f>
        <v>Calibration outillages</v>
      </c>
      <c r="N81" s="66" t="str">
        <f>IF(AND(Data!R80&lt;&gt;"",Data!L80="Accept&amp;#233;"),Data!K80,"")</f>
        <v/>
      </c>
    </row>
    <row r="82" spans="1:14" ht="19.5" hidden="1" customHeight="1" x14ac:dyDescent="0.3">
      <c r="A82" s="59" t="str">
        <f>IF(AND(Data!R81&lt;&gt;"",Data!L81="Accept&amp;#233;"),Data!G81,"")</f>
        <v/>
      </c>
      <c r="B82" s="59" t="str">
        <f>IF(AND(Data!R81&lt;&gt;"",Data!L81="Accept&amp;#233;"),Data!L81,"")</f>
        <v/>
      </c>
      <c r="C82" s="60" t="str">
        <f t="shared" si="2"/>
        <v/>
      </c>
      <c r="D82" s="42" t="str">
        <f>IF(AND(Data!Q81&lt;&gt;"",Data!L81="Accept&amp;#233;"),Data!Q81,"")</f>
        <v/>
      </c>
      <c r="E82" s="61" t="str">
        <f>IF(AND(Data!R81&lt;&gt;"",Data!L81="Accept&amp;#233;"),Data!R81,"")</f>
        <v/>
      </c>
      <c r="F82" s="62" t="str">
        <f>IF(AND(Data!R81&lt;&gt;"",Data!L81="Accept&amp;#233;"),Data!S81,"")</f>
        <v/>
      </c>
      <c r="G82" s="63">
        <f>IF(Data!R81='Delivery Plan'!E82,Data!U81,"")</f>
        <v>0</v>
      </c>
      <c r="H82" s="51"/>
      <c r="I82" s="60" t="str">
        <f t="shared" si="3"/>
        <v/>
      </c>
      <c r="J82" s="42" t="str">
        <f>IF(AND(E82=Data!R81,Data!AA81&lt;&gt;""),Data!AA81,"")</f>
        <v/>
      </c>
      <c r="K82" s="64" t="str">
        <f>IF(AND(E82=Data!R81,Data!AE81&lt;&gt;""),Data!AE81,"")</f>
        <v/>
      </c>
      <c r="L82" s="65">
        <f>IF(E82=Data!R81,Data!AI81,"")</f>
        <v>1</v>
      </c>
      <c r="M82" s="65" t="str">
        <f>IF(E82=Data!R81,Data!AJ81,"")</f>
        <v>Recertification crics</v>
      </c>
      <c r="N82" s="66" t="str">
        <f>IF(AND(Data!R81&lt;&gt;"",Data!L81="Accept&amp;#233;"),Data!K81,"")</f>
        <v/>
      </c>
    </row>
    <row r="83" spans="1:14" ht="19.5" hidden="1" customHeight="1" x14ac:dyDescent="0.3">
      <c r="A83" s="59" t="str">
        <f>IF(AND(Data!R82&lt;&gt;"",Data!L82="Accept&amp;#233;"),Data!G82,"")</f>
        <v/>
      </c>
      <c r="B83" s="59" t="str">
        <f>IF(AND(Data!R82&lt;&gt;"",Data!L82="Accept&amp;#233;"),Data!L82,"")</f>
        <v/>
      </c>
      <c r="C83" s="60" t="str">
        <f t="shared" si="2"/>
        <v/>
      </c>
      <c r="D83" s="42" t="str">
        <f>IF(AND(Data!Q82&lt;&gt;"",Data!L82="Accept&amp;#233;"),Data!Q82,"")</f>
        <v/>
      </c>
      <c r="E83" s="61" t="str">
        <f>IF(AND(Data!R82&lt;&gt;"",Data!L82="Accept&amp;#233;"),Data!R82,"")</f>
        <v/>
      </c>
      <c r="F83" s="62" t="str">
        <f>IF(AND(Data!R82&lt;&gt;"",Data!L82="Accept&amp;#233;"),Data!S82,"")</f>
        <v/>
      </c>
      <c r="G83" s="63" t="str">
        <f>IF(Data!R82='Delivery Plan'!E83,Data!U82,"")</f>
        <v/>
      </c>
      <c r="H83" s="51"/>
      <c r="I83" s="60" t="str">
        <f t="shared" si="3"/>
        <v/>
      </c>
      <c r="J83" s="42" t="str">
        <f>IF(AND(E83=Data!R82,Data!AA82&lt;&gt;""),Data!AA82,"")</f>
        <v/>
      </c>
      <c r="K83" s="64" t="str">
        <f>IF(AND(E83=Data!R82,Data!AE82&lt;&gt;""),Data!AE82,"")</f>
        <v/>
      </c>
      <c r="L83" s="65" t="str">
        <f>IF(E83=Data!R82,Data!AI82,"")</f>
        <v/>
      </c>
      <c r="M83" s="65" t="str">
        <f>IF(E83=Data!R82,Data!AJ82,"")</f>
        <v/>
      </c>
      <c r="N83" s="66" t="str">
        <f>IF(AND(Data!R82&lt;&gt;"",Data!L82="Accept&amp;#233;"),Data!K82,"")</f>
        <v/>
      </c>
    </row>
    <row r="84" spans="1:14" ht="19.5" hidden="1" customHeight="1" x14ac:dyDescent="0.3">
      <c r="A84" s="59" t="str">
        <f>IF(AND(Data!R83&lt;&gt;"",Data!L83="Accept&amp;#233;"),Data!G83,"")</f>
        <v/>
      </c>
      <c r="B84" s="59" t="str">
        <f>IF(AND(Data!R83&lt;&gt;"",Data!L83="Accept&amp;#233;"),Data!L83,"")</f>
        <v/>
      </c>
      <c r="C84" s="60" t="str">
        <f t="shared" si="2"/>
        <v/>
      </c>
      <c r="D84" s="42" t="str">
        <f>IF(AND(Data!Q83&lt;&gt;"",Data!L83="Accept&amp;#233;"),Data!Q83,"")</f>
        <v/>
      </c>
      <c r="E84" s="61" t="str">
        <f>IF(AND(Data!R83&lt;&gt;"",Data!L83="Accept&amp;#233;"),Data!R83,"")</f>
        <v/>
      </c>
      <c r="F84" s="62" t="str">
        <f>IF(AND(Data!R83&lt;&gt;"",Data!L83="Accept&amp;#233;"),Data!S83,"")</f>
        <v/>
      </c>
      <c r="G84" s="63">
        <f>IF(Data!R83='Delivery Plan'!E84,Data!U83,"")</f>
        <v>0</v>
      </c>
      <c r="H84" s="51"/>
      <c r="I84" s="60" t="str">
        <f t="shared" si="3"/>
        <v/>
      </c>
      <c r="J84" s="42" t="str">
        <f>IF(AND(E84=Data!R83,Data!AA83&lt;&gt;""),Data!AA83,"")</f>
        <v/>
      </c>
      <c r="K84" s="64" t="str">
        <f>IF(AND(E84=Data!R83,Data!AE83&lt;&gt;""),Data!AE83,"")</f>
        <v/>
      </c>
      <c r="L84" s="65">
        <f>IF(E84=Data!R83,Data!AI83,"")</f>
        <v>0</v>
      </c>
      <c r="M84" s="65">
        <f>IF(E84=Data!R83,Data!AJ83,"")</f>
        <v>0</v>
      </c>
      <c r="N84" s="66" t="str">
        <f>IF(AND(Data!R83&lt;&gt;"",Data!L83="Accept&amp;#233;"),Data!K83,"")</f>
        <v/>
      </c>
    </row>
    <row r="85" spans="1:14" ht="19.5" hidden="1" customHeight="1" x14ac:dyDescent="0.3">
      <c r="A85" s="59" t="str">
        <f>IF(AND(Data!R84&lt;&gt;"",Data!L84="Accept&amp;#233;"),Data!G84,"")</f>
        <v/>
      </c>
      <c r="B85" s="59" t="str">
        <f>IF(AND(Data!R84&lt;&gt;"",Data!L84="Accept&amp;#233;"),Data!L84,"")</f>
        <v/>
      </c>
      <c r="C85" s="60" t="str">
        <f t="shared" si="2"/>
        <v/>
      </c>
      <c r="D85" s="42" t="str">
        <f>IF(AND(Data!Q84&lt;&gt;"",Data!L84="Accept&amp;#233;"),Data!Q84,"")</f>
        <v/>
      </c>
      <c r="E85" s="61" t="str">
        <f>IF(AND(Data!R84&lt;&gt;"",Data!L84="Accept&amp;#233;"),Data!R84,"")</f>
        <v/>
      </c>
      <c r="F85" s="62" t="str">
        <f>IF(AND(Data!R84&lt;&gt;"",Data!L84="Accept&amp;#233;"),Data!S84,"")</f>
        <v/>
      </c>
      <c r="G85" s="63">
        <f>IF(Data!R84='Delivery Plan'!E85,Data!U84,"")</f>
        <v>0</v>
      </c>
      <c r="H85" s="51"/>
      <c r="I85" s="60" t="str">
        <f t="shared" si="3"/>
        <v/>
      </c>
      <c r="J85" s="42" t="str">
        <f>IF(AND(E85=Data!R84,Data!AA84&lt;&gt;""),Data!AA84,"")</f>
        <v/>
      </c>
      <c r="K85" s="64" t="str">
        <f>IF(AND(E85=Data!R84,Data!AE84&lt;&gt;""),Data!AE84,"")</f>
        <v/>
      </c>
      <c r="L85" s="65">
        <f>IF(E85=Data!R84,Data!AI84,"")</f>
        <v>1</v>
      </c>
      <c r="M85" s="65" t="str">
        <f>IF(E85=Data!R84,Data!AJ84,"")</f>
        <v>Calibration hoist K20008-55</v>
      </c>
      <c r="N85" s="66" t="str">
        <f>IF(AND(Data!R84&lt;&gt;"",Data!L84="Accept&amp;#233;"),Data!K84,"")</f>
        <v/>
      </c>
    </row>
    <row r="86" spans="1:14" ht="19.5" hidden="1" customHeight="1" x14ac:dyDescent="0.3">
      <c r="A86" s="59" t="str">
        <f>IF(AND(Data!R85&lt;&gt;"",Data!L85="Accept&amp;#233;"),Data!G85,"")</f>
        <v/>
      </c>
      <c r="B86" s="59" t="str">
        <f>IF(AND(Data!R85&lt;&gt;"",Data!L85="Accept&amp;#233;"),Data!L85,"")</f>
        <v/>
      </c>
      <c r="C86" s="60" t="str">
        <f t="shared" si="2"/>
        <v/>
      </c>
      <c r="D86" s="42" t="str">
        <f>IF(AND(Data!Q85&lt;&gt;"",Data!L85="Accept&amp;#233;"),Data!Q85,"")</f>
        <v/>
      </c>
      <c r="E86" s="61" t="str">
        <f>IF(AND(Data!R85&lt;&gt;"",Data!L85="Accept&amp;#233;"),Data!R85,"")</f>
        <v/>
      </c>
      <c r="F86" s="62" t="str">
        <f>IF(AND(Data!R85&lt;&gt;"",Data!L85="Accept&amp;#233;"),Data!S85,"")</f>
        <v/>
      </c>
      <c r="G86" s="63">
        <f>IF(Data!R85='Delivery Plan'!E86,Data!U85,"")</f>
        <v>0</v>
      </c>
      <c r="H86" s="51"/>
      <c r="I86" s="60" t="str">
        <f t="shared" si="3"/>
        <v/>
      </c>
      <c r="J86" s="42" t="str">
        <f>IF(AND(E86=Data!R85,Data!AA85&lt;&gt;""),Data!AA85,"")</f>
        <v/>
      </c>
      <c r="K86" s="64" t="str">
        <f>IF(AND(E86=Data!R85,Data!AE85&lt;&gt;""),Data!AE85,"")</f>
        <v/>
      </c>
      <c r="L86" s="65">
        <f>IF(E86=Data!R85,Data!AI85,"")</f>
        <v>1</v>
      </c>
      <c r="M86" s="65" t="str">
        <f>IF(E86=Data!R85,Data!AJ85,"")</f>
        <v>Calibration manomètre</v>
      </c>
      <c r="N86" s="66" t="str">
        <f>IF(AND(Data!R85&lt;&gt;"",Data!L85="Accept&amp;#233;"),Data!K85,"")</f>
        <v/>
      </c>
    </row>
    <row r="87" spans="1:14" ht="19.5" hidden="1" customHeight="1" x14ac:dyDescent="0.3">
      <c r="A87" s="59" t="str">
        <f>IF(AND(Data!R86&lt;&gt;"",Data!L86="Accept&amp;#233;"),Data!G86,"")</f>
        <v/>
      </c>
      <c r="B87" s="59" t="str">
        <f>IF(AND(Data!R86&lt;&gt;"",Data!L86="Accept&amp;#233;"),Data!L86,"")</f>
        <v/>
      </c>
      <c r="C87" s="60" t="str">
        <f t="shared" si="2"/>
        <v/>
      </c>
      <c r="D87" s="42" t="str">
        <f>IF(AND(Data!Q86&lt;&gt;"",Data!L86="Accept&amp;#233;"),Data!Q86,"")</f>
        <v/>
      </c>
      <c r="E87" s="61" t="str">
        <f>IF(AND(Data!R86&lt;&gt;"",Data!L86="Accept&amp;#233;"),Data!R86,"")</f>
        <v/>
      </c>
      <c r="F87" s="62" t="str">
        <f>IF(AND(Data!R86&lt;&gt;"",Data!L86="Accept&amp;#233;"),Data!S86,"")</f>
        <v/>
      </c>
      <c r="G87" s="63">
        <f>IF(Data!R86='Delivery Plan'!E87,Data!U86,"")</f>
        <v>0</v>
      </c>
      <c r="H87" s="51"/>
      <c r="I87" s="60" t="str">
        <f t="shared" si="3"/>
        <v/>
      </c>
      <c r="J87" s="42" t="str">
        <f>IF(AND(E87=Data!R86,Data!AA86&lt;&gt;""),Data!AA86,"")</f>
        <v/>
      </c>
      <c r="K87" s="64" t="str">
        <f>IF(AND(E87=Data!R86,Data!AE86&lt;&gt;""),Data!AE86,"")</f>
        <v/>
      </c>
      <c r="L87" s="65">
        <f>IF(E87=Data!R86,Data!AI86,"")</f>
        <v>1</v>
      </c>
      <c r="M87" s="65" t="str">
        <f>IF(E87=Data!R86,Data!AJ86,"")</f>
        <v>Calibration sling equipment</v>
      </c>
      <c r="N87" s="66" t="str">
        <f>IF(AND(Data!R86&lt;&gt;"",Data!L86="Accept&amp;#233;"),Data!K86,"")</f>
        <v/>
      </c>
    </row>
    <row r="88" spans="1:14" ht="19.5" hidden="1" customHeight="1" x14ac:dyDescent="0.3">
      <c r="A88" s="59" t="str">
        <f>IF(AND(Data!R87&lt;&gt;"",Data!L87="Accept&amp;#233;"),Data!G87,"")</f>
        <v/>
      </c>
      <c r="B88" s="59" t="str">
        <f>IF(AND(Data!R87&lt;&gt;"",Data!L87="Accept&amp;#233;"),Data!L87,"")</f>
        <v/>
      </c>
      <c r="C88" s="60" t="str">
        <f t="shared" si="2"/>
        <v/>
      </c>
      <c r="D88" s="42" t="str">
        <f>IF(AND(Data!Q87&lt;&gt;"",Data!L87="Accept&amp;#233;"),Data!Q87,"")</f>
        <v/>
      </c>
      <c r="E88" s="61" t="str">
        <f>IF(AND(Data!R87&lt;&gt;"",Data!L87="Accept&amp;#233;"),Data!R87,"")</f>
        <v/>
      </c>
      <c r="F88" s="62" t="str">
        <f>IF(AND(Data!R87&lt;&gt;"",Data!L87="Accept&amp;#233;"),Data!S87,"")</f>
        <v/>
      </c>
      <c r="G88" s="63">
        <f>IF(Data!R87='Delivery Plan'!E88,Data!U87,"")</f>
        <v>0</v>
      </c>
      <c r="H88" s="51"/>
      <c r="I88" s="60" t="str">
        <f t="shared" si="3"/>
        <v/>
      </c>
      <c r="J88" s="42" t="str">
        <f>IF(AND(E88=Data!R87,Data!AA87&lt;&gt;""),Data!AA87,"")</f>
        <v/>
      </c>
      <c r="K88" s="64" t="str">
        <f>IF(AND(E88=Data!R87,Data!AE87&lt;&gt;""),Data!AE87,"")</f>
        <v/>
      </c>
      <c r="L88" s="65">
        <f>IF(E88=Data!R87,Data!AI87,"")</f>
        <v>1</v>
      </c>
      <c r="M88" s="65" t="str">
        <f>IF(E88=Data!R87,Data!AJ87,"")</f>
        <v>DT0623K1D1B01A0 en remplacement D01258</v>
      </c>
      <c r="N88" s="66" t="str">
        <f>IF(AND(Data!R87&lt;&gt;"",Data!L87="Accept&amp;#233;"),Data!K87,"")</f>
        <v/>
      </c>
    </row>
    <row r="89" spans="1:14" ht="19.5" hidden="1" customHeight="1" x14ac:dyDescent="0.3">
      <c r="A89" s="59" t="str">
        <f>IF(AND(Data!R88&lt;&gt;"",Data!L88="Accept&amp;#233;"),Data!G88,"")</f>
        <v/>
      </c>
      <c r="B89" s="59" t="str">
        <f>IF(AND(Data!R88&lt;&gt;"",Data!L88="Accept&amp;#233;"),Data!L88,"")</f>
        <v/>
      </c>
      <c r="C89" s="60" t="str">
        <f t="shared" si="2"/>
        <v/>
      </c>
      <c r="D89" s="42" t="str">
        <f>IF(AND(Data!Q88&lt;&gt;"",Data!L88="Accept&amp;#233;"),Data!Q88,"")</f>
        <v/>
      </c>
      <c r="E89" s="61" t="str">
        <f>IF(AND(Data!R88&lt;&gt;"",Data!L88="Accept&amp;#233;"),Data!R88,"")</f>
        <v/>
      </c>
      <c r="F89" s="62" t="str">
        <f>IF(AND(Data!R88&lt;&gt;"",Data!L88="Accept&amp;#233;"),Data!S88,"")</f>
        <v/>
      </c>
      <c r="G89" s="63">
        <f>IF(Data!R88='Delivery Plan'!E89,Data!U88,"")</f>
        <v>0</v>
      </c>
      <c r="H89" s="51"/>
      <c r="I89" s="60" t="str">
        <f t="shared" si="3"/>
        <v/>
      </c>
      <c r="J89" s="42" t="str">
        <f>IF(AND(E89=Data!R88,Data!AA88&lt;&gt;""),Data!AA88,"")</f>
        <v/>
      </c>
      <c r="K89" s="64" t="str">
        <f>IF(AND(E89=Data!R88,Data!AE88&lt;&gt;""),Data!AE88,"")</f>
        <v/>
      </c>
      <c r="L89" s="65">
        <f>IF(E89=Data!R88,Data!AI88,"")</f>
        <v>1</v>
      </c>
      <c r="M89" s="65" t="str">
        <f>IF(E89=Data!R88,Data!AJ88,"")</f>
        <v>DT0623K1D1B01A0 en remplacement D01258</v>
      </c>
      <c r="N89" s="66" t="str">
        <f>IF(AND(Data!R88&lt;&gt;"",Data!L88="Accept&amp;#233;"),Data!K88,"")</f>
        <v/>
      </c>
    </row>
    <row r="90" spans="1:14" ht="19.5" hidden="1" customHeight="1" x14ac:dyDescent="0.3">
      <c r="A90" s="59" t="str">
        <f>IF(AND(Data!R89&lt;&gt;"",Data!L89="Accept&amp;#233;"),Data!G89,"")</f>
        <v/>
      </c>
      <c r="B90" s="59" t="str">
        <f>IF(AND(Data!R89&lt;&gt;"",Data!L89="Accept&amp;#233;"),Data!L89,"")</f>
        <v/>
      </c>
      <c r="C90" s="60" t="str">
        <f t="shared" si="2"/>
        <v/>
      </c>
      <c r="D90" s="42" t="str">
        <f>IF(AND(Data!Q89&lt;&gt;"",Data!L89="Accept&amp;#233;"),Data!Q89,"")</f>
        <v/>
      </c>
      <c r="E90" s="61" t="str">
        <f>IF(AND(Data!R89&lt;&gt;"",Data!L89="Accept&amp;#233;"),Data!R89,"")</f>
        <v/>
      </c>
      <c r="F90" s="62" t="str">
        <f>IF(AND(Data!R89&lt;&gt;"",Data!L89="Accept&amp;#233;"),Data!S89,"")</f>
        <v/>
      </c>
      <c r="G90" s="63">
        <f>IF(Data!R89='Delivery Plan'!E90,Data!U89,"")</f>
        <v>0</v>
      </c>
      <c r="H90" s="51"/>
      <c r="I90" s="60" t="str">
        <f t="shared" si="3"/>
        <v/>
      </c>
      <c r="J90" s="42" t="str">
        <f>IF(AND(E90=Data!R89,Data!AA89&lt;&gt;""),Data!AA89,"")</f>
        <v/>
      </c>
      <c r="K90" s="64" t="str">
        <f>IF(AND(E90=Data!R89,Data!AE89&lt;&gt;""),Data!AE89,"")</f>
        <v/>
      </c>
      <c r="L90" s="65">
        <f>IF(E90=Data!R89,Data!AI89,"")</f>
        <v>2</v>
      </c>
      <c r="M90" s="65" t="str">
        <f>IF(E90=Data!R89,Data!AJ89,"")</f>
        <v>Commissioning SG248</v>
      </c>
      <c r="N90" s="66" t="str">
        <f>IF(AND(Data!R89&lt;&gt;"",Data!L89="Accept&amp;#233;"),Data!K89,"")</f>
        <v/>
      </c>
    </row>
    <row r="91" spans="1:14" ht="19.5" hidden="1" customHeight="1" x14ac:dyDescent="0.3">
      <c r="A91" s="59" t="str">
        <f>IF(AND(Data!R90&lt;&gt;"",Data!L90="Accept&amp;#233;"),Data!G90,"")</f>
        <v/>
      </c>
      <c r="B91" s="59" t="str">
        <f>IF(AND(Data!R90&lt;&gt;"",Data!L90="Accept&amp;#233;"),Data!L90,"")</f>
        <v/>
      </c>
      <c r="C91" s="60" t="str">
        <f t="shared" si="2"/>
        <v/>
      </c>
      <c r="D91" s="42" t="str">
        <f>IF(AND(Data!Q90&lt;&gt;"",Data!L90="Accept&amp;#233;"),Data!Q90,"")</f>
        <v/>
      </c>
      <c r="E91" s="61" t="str">
        <f>IF(AND(Data!R90&lt;&gt;"",Data!L90="Accept&amp;#233;"),Data!R90,"")</f>
        <v/>
      </c>
      <c r="F91" s="62" t="str">
        <f>IF(AND(Data!R90&lt;&gt;"",Data!L90="Accept&amp;#233;"),Data!S90,"")</f>
        <v/>
      </c>
      <c r="G91" s="63">
        <f>IF(Data!R90='Delivery Plan'!E91,Data!U90,"")</f>
        <v>0</v>
      </c>
      <c r="H91" s="51"/>
      <c r="I91" s="60" t="str">
        <f t="shared" si="3"/>
        <v/>
      </c>
      <c r="J91" s="42" t="str">
        <f>IF(AND(E91=Data!R90,Data!AA90&lt;&gt;""),Data!AA90,"")</f>
        <v/>
      </c>
      <c r="K91" s="64" t="str">
        <f>IF(AND(E91=Data!R90,Data!AE90&lt;&gt;""),Data!AE90,"")</f>
        <v/>
      </c>
      <c r="L91" s="65">
        <f>IF(E91=Data!R90,Data!AI90,"")</f>
        <v>1</v>
      </c>
      <c r="M91" s="65" t="str">
        <f>IF(E91=Data!R90,Data!AJ90,"")</f>
        <v>Formation COBRA</v>
      </c>
      <c r="N91" s="66" t="str">
        <f>IF(AND(Data!R90&lt;&gt;"",Data!L90="Accept&amp;#233;"),Data!K90,"")</f>
        <v/>
      </c>
    </row>
    <row r="92" spans="1:14" ht="19.5" customHeight="1" x14ac:dyDescent="0.3">
      <c r="A92" s="59" t="str">
        <f>IF(AND(Data!R91&lt;&gt;"",Data!L91="Accept&amp;#233;"),Data!G91,"")</f>
        <v/>
      </c>
      <c r="B92" s="59" t="str">
        <f>IF(AND(Data!R91&lt;&gt;"",Data!L91="Accept&amp;#233;"),Data!L91,"")</f>
        <v/>
      </c>
      <c r="C92" s="60" t="str">
        <f t="shared" si="2"/>
        <v/>
      </c>
      <c r="D92" s="42" t="str">
        <f>IF(AND(Data!Q91&lt;&gt;"",Data!L91="Accept&amp;#233;"),Data!Q91,"")</f>
        <v/>
      </c>
      <c r="E92" s="61" t="str">
        <f>IF(AND(Data!R91&lt;&gt;"",Data!L91="Accept&amp;#233;"),Data!R91,"")</f>
        <v/>
      </c>
      <c r="F92" s="62" t="str">
        <f>IF(AND(Data!R91&lt;&gt;"",Data!L91="Accept&amp;#233;"),Data!S91,"")</f>
        <v/>
      </c>
      <c r="G92" s="63" t="str">
        <f>IF(Data!R91='Delivery Plan'!E92,Data!U91,"")</f>
        <v/>
      </c>
      <c r="H92" s="51"/>
      <c r="I92" s="60" t="str">
        <f t="shared" si="3"/>
        <v/>
      </c>
      <c r="J92" s="42" t="str">
        <f>IF(AND(E92=Data!R91,Data!AA91&lt;&gt;""),Data!AA91,"")</f>
        <v/>
      </c>
      <c r="K92" s="64" t="str">
        <f>IF(AND(E92=Data!R91,Data!AE91&lt;&gt;""),Data!AE91,"")</f>
        <v/>
      </c>
      <c r="L92" s="65" t="str">
        <f>IF(E92=Data!R91,Data!AI91,"")</f>
        <v/>
      </c>
      <c r="M92" s="65" t="str">
        <f>IF(E92=Data!R91,Data!AJ91,"")</f>
        <v/>
      </c>
      <c r="N92" s="66" t="str">
        <f>IF(AND(Data!R91&lt;&gt;"",Data!L91="Accept&amp;#233;"),Data!K91,"")</f>
        <v/>
      </c>
    </row>
    <row r="93" spans="1:14" ht="19.5" customHeight="1" x14ac:dyDescent="0.3">
      <c r="A93" s="59" t="str">
        <f>IF(AND(Data!R92&lt;&gt;"",Data!L92="Accept&amp;#233;"),Data!G92,"")</f>
        <v/>
      </c>
      <c r="B93" s="59" t="str">
        <f>IF(AND(Data!R92&lt;&gt;"",Data!L92="Accept&amp;#233;"),Data!L92,"")</f>
        <v/>
      </c>
      <c r="C93" s="60" t="str">
        <f t="shared" si="2"/>
        <v/>
      </c>
      <c r="D93" s="42" t="str">
        <f>IF(AND(Data!Q92&lt;&gt;"",Data!L92="Accept&amp;#233;"),Data!Q92,"")</f>
        <v/>
      </c>
      <c r="E93" s="61" t="str">
        <f>IF(AND(Data!R92&lt;&gt;"",Data!L92="Accept&amp;#233;"),Data!R92,"")</f>
        <v/>
      </c>
      <c r="F93" s="62" t="str">
        <f>IF(AND(Data!R92&lt;&gt;"",Data!L92="Accept&amp;#233;"),Data!S92,"")</f>
        <v/>
      </c>
      <c r="G93" s="63" t="str">
        <f>IF(Data!R92='Delivery Plan'!E93,Data!U92,"")</f>
        <v/>
      </c>
      <c r="H93" s="51"/>
      <c r="I93" s="60" t="str">
        <f t="shared" si="3"/>
        <v/>
      </c>
      <c r="J93" s="42" t="str">
        <f>IF(AND(E93=Data!R92,Data!AA92&lt;&gt;""),Data!AA92,"")</f>
        <v/>
      </c>
      <c r="K93" s="64" t="str">
        <f>IF(AND(E93=Data!R92,Data!AE92&lt;&gt;""),Data!AE92,"")</f>
        <v/>
      </c>
      <c r="L93" s="65" t="str">
        <f>IF(E93=Data!R92,Data!AI92,"")</f>
        <v/>
      </c>
      <c r="M93" s="65" t="str">
        <f>IF(E93=Data!R92,Data!AJ92,"")</f>
        <v/>
      </c>
      <c r="N93" s="66" t="str">
        <f>IF(AND(Data!R92&lt;&gt;"",Data!L92="Accept&amp;#233;"),Data!K92,"")</f>
        <v/>
      </c>
    </row>
    <row r="94" spans="1:14" ht="19.5" hidden="1" customHeight="1" x14ac:dyDescent="0.3">
      <c r="A94" s="59" t="str">
        <f>IF(AND(Data!R93&lt;&gt;"",Data!L93="Accept&amp;#233;"),Data!G93,"")</f>
        <v/>
      </c>
      <c r="B94" s="59" t="str">
        <f>IF(AND(Data!R93&lt;&gt;"",Data!L93="Accept&amp;#233;"),Data!L93,"")</f>
        <v/>
      </c>
      <c r="C94" s="60" t="str">
        <f t="shared" si="2"/>
        <v/>
      </c>
      <c r="D94" s="42" t="str">
        <f>IF(AND(Data!Q93&lt;&gt;"",Data!L93="Accept&amp;#233;"),Data!Q93,"")</f>
        <v/>
      </c>
      <c r="E94" s="61" t="str">
        <f>IF(AND(Data!R93&lt;&gt;"",Data!L93="Accept&amp;#233;"),Data!R93,"")</f>
        <v/>
      </c>
      <c r="F94" s="62" t="str">
        <f>IF(AND(Data!R93&lt;&gt;"",Data!L93="Accept&amp;#233;"),Data!S93,"")</f>
        <v/>
      </c>
      <c r="G94" s="63" t="str">
        <f>IF(Data!R93='Delivery Plan'!E94,Data!U93,"")</f>
        <v/>
      </c>
      <c r="H94" s="51"/>
      <c r="I94" s="60" t="str">
        <f t="shared" si="3"/>
        <v/>
      </c>
      <c r="J94" s="42" t="str">
        <f>IF(AND(E94=Data!R93,Data!AA93&lt;&gt;""),Data!AA93,"")</f>
        <v/>
      </c>
      <c r="K94" s="64" t="str">
        <f>IF(AND(E94=Data!R93,Data!AE93&lt;&gt;""),Data!AE93,"")</f>
        <v/>
      </c>
      <c r="L94" s="65" t="str">
        <f>IF(E94=Data!R93,Data!AI93,"")</f>
        <v/>
      </c>
      <c r="M94" s="65" t="str">
        <f>IF(E94=Data!R93,Data!AJ93,"")</f>
        <v/>
      </c>
      <c r="N94" s="66" t="str">
        <f>IF(AND(Data!R93&lt;&gt;"",Data!L93="Accept&amp;#233;"),Data!K93,"")</f>
        <v/>
      </c>
    </row>
    <row r="95" spans="1:14" ht="19.5" hidden="1" customHeight="1" x14ac:dyDescent="0.3">
      <c r="A95" s="59" t="str">
        <f>IF(AND(Data!R94&lt;&gt;"",Data!L94="Accept&amp;#233;"),Data!G94,"")</f>
        <v/>
      </c>
      <c r="B95" s="59" t="str">
        <f>IF(AND(Data!R94&lt;&gt;"",Data!L94="Accept&amp;#233;"),Data!L94,"")</f>
        <v/>
      </c>
      <c r="C95" s="60" t="str">
        <f t="shared" si="2"/>
        <v/>
      </c>
      <c r="D95" s="42" t="str">
        <f>IF(AND(Data!Q94&lt;&gt;"",Data!L94="Accept&amp;#233;"),Data!Q94,"")</f>
        <v/>
      </c>
      <c r="E95" s="61" t="str">
        <f>IF(AND(Data!R94&lt;&gt;"",Data!L94="Accept&amp;#233;"),Data!R94,"")</f>
        <v/>
      </c>
      <c r="F95" s="62" t="str">
        <f>IF(AND(Data!R94&lt;&gt;"",Data!L94="Accept&amp;#233;"),Data!S94,"")</f>
        <v/>
      </c>
      <c r="G95" s="63" t="str">
        <f>IF(Data!R94='Delivery Plan'!E95,Data!U94,"")</f>
        <v/>
      </c>
      <c r="H95" s="51"/>
      <c r="I95" s="60" t="str">
        <f t="shared" si="3"/>
        <v/>
      </c>
      <c r="J95" s="42" t="str">
        <f>IF(AND(E95=Data!R94,Data!AA94&lt;&gt;""),Data!AA94,"")</f>
        <v/>
      </c>
      <c r="K95" s="64" t="str">
        <f>IF(AND(E95=Data!R94,Data!AE94&lt;&gt;""),Data!AE94,"")</f>
        <v/>
      </c>
      <c r="L95" s="65" t="str">
        <f>IF(E95=Data!R94,Data!AI94,"")</f>
        <v/>
      </c>
      <c r="M95" s="65" t="str">
        <f>IF(E95=Data!R94,Data!AJ94,"")</f>
        <v/>
      </c>
      <c r="N95" s="66" t="str">
        <f>IF(AND(Data!R94&lt;&gt;"",Data!L94="Accept&amp;#233;"),Data!K94,"")</f>
        <v/>
      </c>
    </row>
    <row r="96" spans="1:14" ht="19.5" hidden="1" customHeight="1" x14ac:dyDescent="0.3">
      <c r="A96" s="59" t="str">
        <f>IF(AND(Data!R95&lt;&gt;"",Data!L95="Accept&amp;#233;"),Data!G95,"")</f>
        <v/>
      </c>
      <c r="B96" s="59" t="str">
        <f>IF(AND(Data!R95&lt;&gt;"",Data!L95="Accept&amp;#233;"),Data!L95,"")</f>
        <v/>
      </c>
      <c r="C96" s="60" t="str">
        <f t="shared" si="2"/>
        <v/>
      </c>
      <c r="D96" s="42" t="str">
        <f>IF(AND(Data!Q95&lt;&gt;"",Data!L95="Accept&amp;#233;"),Data!Q95,"")</f>
        <v/>
      </c>
      <c r="E96" s="61" t="str">
        <f>IF(AND(Data!R95&lt;&gt;"",Data!L95="Accept&amp;#233;"),Data!R95,"")</f>
        <v/>
      </c>
      <c r="F96" s="62" t="str">
        <f>IF(AND(Data!R95&lt;&gt;"",Data!L95="Accept&amp;#233;"),Data!S95,"")</f>
        <v/>
      </c>
      <c r="G96" s="63">
        <f>IF(Data!R95='Delivery Plan'!E96,Data!U95,"")</f>
        <v>0</v>
      </c>
      <c r="H96" s="51"/>
      <c r="I96" s="60" t="str">
        <f t="shared" si="3"/>
        <v/>
      </c>
      <c r="J96" s="42" t="str">
        <f>IF(AND(E96=Data!R95,Data!AA95&lt;&gt;""),Data!AA95,"")</f>
        <v/>
      </c>
      <c r="K96" s="64" t="str">
        <f>IF(AND(E96=Data!R95,Data!AE95&lt;&gt;""),Data!AE95,"")</f>
        <v/>
      </c>
      <c r="L96" s="65">
        <f>IF(E96=Data!R95,Data!AI95,"")</f>
        <v>1</v>
      </c>
      <c r="M96" s="65" t="str">
        <f>IF(E96=Data!R95,Data!AJ95,"")</f>
        <v>Maintenance moyens Hydro sur Airbus SNZ</v>
      </c>
      <c r="N96" s="66" t="str">
        <f>IF(AND(Data!R95&lt;&gt;"",Data!L95="Accept&amp;#233;"),Data!K95,"")</f>
        <v/>
      </c>
    </row>
    <row r="97" spans="1:14" ht="19.5" hidden="1" customHeight="1" x14ac:dyDescent="0.3">
      <c r="A97" s="59" t="str">
        <f>IF(AND(Data!R96&lt;&gt;"",Data!L96="Accept&amp;#233;"),Data!G96,"")</f>
        <v/>
      </c>
      <c r="B97" s="59" t="str">
        <f>IF(AND(Data!R96&lt;&gt;"",Data!L96="Accept&amp;#233;"),Data!L96,"")</f>
        <v/>
      </c>
      <c r="C97" s="60" t="str">
        <f t="shared" si="2"/>
        <v/>
      </c>
      <c r="D97" s="42" t="str">
        <f>IF(AND(Data!Q96&lt;&gt;"",Data!L96="Accept&amp;#233;"),Data!Q96,"")</f>
        <v/>
      </c>
      <c r="E97" s="61" t="str">
        <f>IF(AND(Data!R96&lt;&gt;"",Data!L96="Accept&amp;#233;"),Data!R96,"")</f>
        <v/>
      </c>
      <c r="F97" s="62" t="str">
        <f>IF(AND(Data!R96&lt;&gt;"",Data!L96="Accept&amp;#233;"),Data!S96,"")</f>
        <v/>
      </c>
      <c r="G97" s="63">
        <f>IF(Data!R96='Delivery Plan'!E97,Data!U96,"")</f>
        <v>0</v>
      </c>
      <c r="H97" s="51"/>
      <c r="I97" s="60" t="str">
        <f t="shared" si="3"/>
        <v/>
      </c>
      <c r="J97" s="42" t="str">
        <f>IF(AND(E97=Data!R96,Data!AA96&lt;&gt;""),Data!AA96,"")</f>
        <v/>
      </c>
      <c r="K97" s="64" t="str">
        <f>IF(AND(E97=Data!R96,Data!AE96&lt;&gt;""),Data!AE96,"")</f>
        <v/>
      </c>
      <c r="L97" s="65">
        <f>IF(E97=Data!R96,Data!AI96,"")</f>
        <v>1</v>
      </c>
      <c r="M97" s="65" t="str">
        <f>IF(E97=Data!R96,Data!AJ96,"")</f>
        <v>Calibration sling equipment</v>
      </c>
      <c r="N97" s="66" t="str">
        <f>IF(AND(Data!R96&lt;&gt;"",Data!L96="Accept&amp;#233;"),Data!K96,"")</f>
        <v/>
      </c>
    </row>
    <row r="98" spans="1:14" ht="19.5" hidden="1" customHeight="1" x14ac:dyDescent="0.3">
      <c r="A98" s="59" t="str">
        <f>IF(AND(Data!R97&lt;&gt;"",Data!L97="Accept&amp;#233;"),Data!G97,"")</f>
        <v/>
      </c>
      <c r="B98" s="59" t="str">
        <f>IF(AND(Data!R97&lt;&gt;"",Data!L97="Accept&amp;#233;"),Data!L97,"")</f>
        <v/>
      </c>
      <c r="C98" s="60" t="str">
        <f t="shared" si="2"/>
        <v/>
      </c>
      <c r="D98" s="42" t="str">
        <f>IF(AND(Data!Q97&lt;&gt;"",Data!L97="Accept&amp;#233;"),Data!Q97,"")</f>
        <v/>
      </c>
      <c r="E98" s="61" t="str">
        <f>IF(AND(Data!R97&lt;&gt;"",Data!L97="Accept&amp;#233;"),Data!R97,"")</f>
        <v/>
      </c>
      <c r="F98" s="62" t="str">
        <f>IF(AND(Data!R97&lt;&gt;"",Data!L97="Accept&amp;#233;"),Data!S97,"")</f>
        <v/>
      </c>
      <c r="G98" s="63" t="str">
        <f>IF(Data!R97='Delivery Plan'!E98,Data!U97,"")</f>
        <v/>
      </c>
      <c r="H98" s="51"/>
      <c r="I98" s="60" t="str">
        <f t="shared" si="3"/>
        <v/>
      </c>
      <c r="J98" s="42" t="str">
        <f>IF(AND(E98=Data!R97,Data!AA97&lt;&gt;""),Data!AA97,"")</f>
        <v/>
      </c>
      <c r="K98" s="64" t="str">
        <f>IF(AND(E98=Data!R97,Data!AE97&lt;&gt;""),Data!AE97,"")</f>
        <v/>
      </c>
      <c r="L98" s="65" t="str">
        <f>IF(E98=Data!R97,Data!AI97,"")</f>
        <v/>
      </c>
      <c r="M98" s="65" t="str">
        <f>IF(E98=Data!R97,Data!AJ97,"")</f>
        <v/>
      </c>
      <c r="N98" s="66" t="str">
        <f>IF(AND(Data!R97&lt;&gt;"",Data!L97="Accept&amp;#233;"),Data!K97,"")</f>
        <v/>
      </c>
    </row>
    <row r="99" spans="1:14" ht="19.5" hidden="1" customHeight="1" x14ac:dyDescent="0.3">
      <c r="A99" s="59" t="str">
        <f>IF(AND(Data!R98&lt;&gt;"",Data!L98="Accept&amp;#233;"),Data!G98,"")</f>
        <v/>
      </c>
      <c r="B99" s="59" t="str">
        <f>IF(AND(Data!R98&lt;&gt;"",Data!L98="Accept&amp;#233;"),Data!L98,"")</f>
        <v/>
      </c>
      <c r="C99" s="60" t="str">
        <f t="shared" si="2"/>
        <v/>
      </c>
      <c r="D99" s="42" t="str">
        <f>IF(AND(Data!Q98&lt;&gt;"",Data!L98="Accept&amp;#233;"),Data!Q98,"")</f>
        <v/>
      </c>
      <c r="E99" s="61" t="str">
        <f>IF(AND(Data!R98&lt;&gt;"",Data!L98="Accept&amp;#233;"),Data!R98,"")</f>
        <v/>
      </c>
      <c r="F99" s="62" t="str">
        <f>IF(AND(Data!R98&lt;&gt;"",Data!L98="Accept&amp;#233;"),Data!S98,"")</f>
        <v/>
      </c>
      <c r="G99" s="63" t="str">
        <f>IF(Data!R98='Delivery Plan'!E99,Data!U98,"")</f>
        <v/>
      </c>
      <c r="H99" s="51"/>
      <c r="I99" s="60" t="str">
        <f t="shared" si="3"/>
        <v/>
      </c>
      <c r="J99" s="42" t="str">
        <f>IF(AND(E99=Data!R98,Data!AA98&lt;&gt;""),Data!AA98,"")</f>
        <v/>
      </c>
      <c r="K99" s="64" t="str">
        <f>IF(AND(E99=Data!R98,Data!AE98&lt;&gt;""),Data!AE98,"")</f>
        <v/>
      </c>
      <c r="L99" s="65" t="str">
        <f>IF(E99=Data!R98,Data!AI98,"")</f>
        <v/>
      </c>
      <c r="M99" s="65" t="str">
        <f>IF(E99=Data!R98,Data!AJ98,"")</f>
        <v/>
      </c>
      <c r="N99" s="66" t="str">
        <f>IF(AND(Data!R98&lt;&gt;"",Data!L98="Accept&amp;#233;"),Data!K98,"")</f>
        <v/>
      </c>
    </row>
    <row r="100" spans="1:14" ht="19.5" customHeight="1" x14ac:dyDescent="0.3">
      <c r="A100" s="59" t="str">
        <f>IF(AND(Data!R99&lt;&gt;"",Data!L99="Accept&amp;#233;"),Data!G99,"")</f>
        <v/>
      </c>
      <c r="B100" s="59" t="str">
        <f>IF(AND(Data!R99&lt;&gt;"",Data!L99="Accept&amp;#233;"),Data!L99,"")</f>
        <v/>
      </c>
      <c r="C100" s="60" t="str">
        <f t="shared" si="2"/>
        <v/>
      </c>
      <c r="D100" s="42" t="str">
        <f>IF(AND(Data!Q99&lt;&gt;"",Data!L99="Accept&amp;#233;"),Data!Q99,"")</f>
        <v/>
      </c>
      <c r="E100" s="61" t="str">
        <f>IF(AND(Data!R99&lt;&gt;"",Data!L99="Accept&amp;#233;"),Data!R99,"")</f>
        <v/>
      </c>
      <c r="F100" s="62" t="str">
        <f>IF(AND(Data!R99&lt;&gt;"",Data!L99="Accept&amp;#233;"),Data!S99,"")</f>
        <v/>
      </c>
      <c r="G100" s="63" t="str">
        <f>IF(Data!R99='Delivery Plan'!E100,Data!U99,"")</f>
        <v/>
      </c>
      <c r="H100" s="51"/>
      <c r="I100" s="60" t="str">
        <f t="shared" si="3"/>
        <v/>
      </c>
      <c r="J100" s="42" t="str">
        <f>IF(AND(E100=Data!R99,Data!AA99&lt;&gt;""),Data!AA99,"")</f>
        <v/>
      </c>
      <c r="K100" s="64" t="str">
        <f>IF(AND(E100=Data!R99,Data!AE99&lt;&gt;""),Data!AE99,"")</f>
        <v/>
      </c>
      <c r="L100" s="65" t="str">
        <f>IF(E100=Data!R99,Data!AI99,"")</f>
        <v/>
      </c>
      <c r="M100" s="65" t="str">
        <f>IF(E100=Data!R99,Data!AJ99,"")</f>
        <v/>
      </c>
      <c r="N100" s="66" t="str">
        <f>IF(AND(Data!R99&lt;&gt;"",Data!L99="Accept&amp;#233;"),Data!K99,"")</f>
        <v/>
      </c>
    </row>
    <row r="101" spans="1:14" ht="19.5" customHeight="1" x14ac:dyDescent="0.3">
      <c r="A101" s="59" t="str">
        <f>IF(AND(Data!R100&lt;&gt;"",Data!L100="Accept&amp;#233;"),Data!G100,"")</f>
        <v/>
      </c>
      <c r="B101" s="59" t="str">
        <f>IF(AND(Data!R100&lt;&gt;"",Data!L100="Accept&amp;#233;"),Data!L100,"")</f>
        <v/>
      </c>
      <c r="C101" s="60" t="str">
        <f t="shared" si="2"/>
        <v/>
      </c>
      <c r="D101" s="42" t="str">
        <f>IF(AND(Data!Q100&lt;&gt;"",Data!L100="Accept&amp;#233;"),Data!Q100,"")</f>
        <v/>
      </c>
      <c r="E101" s="61" t="str">
        <f>IF(AND(Data!R100&lt;&gt;"",Data!L100="Accept&amp;#233;"),Data!R100,"")</f>
        <v/>
      </c>
      <c r="F101" s="62" t="str">
        <f>IF(AND(Data!R100&lt;&gt;"",Data!L100="Accept&amp;#233;"),Data!S100,"")</f>
        <v/>
      </c>
      <c r="G101" s="63" t="str">
        <f>IF(Data!R100='Delivery Plan'!E101,Data!U100,"")</f>
        <v/>
      </c>
      <c r="H101" s="51"/>
      <c r="I101" s="60" t="str">
        <f t="shared" si="3"/>
        <v/>
      </c>
      <c r="J101" s="42" t="str">
        <f>IF(AND(E101=Data!R100,Data!AA100&lt;&gt;""),Data!AA100,"")</f>
        <v/>
      </c>
      <c r="K101" s="64" t="str">
        <f>IF(AND(E101=Data!R100,Data!AE100&lt;&gt;""),Data!AE100,"")</f>
        <v/>
      </c>
      <c r="L101" s="65" t="str">
        <f>IF(E101=Data!R100,Data!AI100,"")</f>
        <v/>
      </c>
      <c r="M101" s="65" t="str">
        <f>IF(E101=Data!R100,Data!AJ100,"")</f>
        <v/>
      </c>
      <c r="N101" s="66" t="str">
        <f>IF(AND(Data!R100&lt;&gt;"",Data!L100="Accept&amp;#233;"),Data!K100,"")</f>
        <v/>
      </c>
    </row>
    <row r="102" spans="1:14" ht="19.5" hidden="1" customHeight="1" x14ac:dyDescent="0.3">
      <c r="A102" s="59" t="str">
        <f>IF(AND(Data!R101&lt;&gt;"",Data!L101="Accept&amp;#233;"),Data!G101,"")</f>
        <v/>
      </c>
      <c r="B102" s="59" t="str">
        <f>IF(AND(Data!R101&lt;&gt;"",Data!L101="Accept&amp;#233;"),Data!L101,"")</f>
        <v/>
      </c>
      <c r="C102" s="60" t="str">
        <f t="shared" si="2"/>
        <v/>
      </c>
      <c r="D102" s="42" t="str">
        <f>IF(AND(Data!Q101&lt;&gt;"",Data!L101="Accept&amp;#233;"),Data!Q101,"")</f>
        <v/>
      </c>
      <c r="E102" s="61" t="str">
        <f>IF(AND(Data!R101&lt;&gt;"",Data!L101="Accept&amp;#233;"),Data!R101,"")</f>
        <v/>
      </c>
      <c r="F102" s="62" t="str">
        <f>IF(AND(Data!R101&lt;&gt;"",Data!L101="Accept&amp;#233;"),Data!S101,"")</f>
        <v/>
      </c>
      <c r="G102" s="63" t="str">
        <f>IF(Data!R101='Delivery Plan'!E102,Data!U101,"")</f>
        <v/>
      </c>
      <c r="H102" s="51"/>
      <c r="I102" s="60" t="str">
        <f t="shared" si="3"/>
        <v/>
      </c>
      <c r="J102" s="42" t="str">
        <f>IF(AND(E102=Data!R101,Data!AA101&lt;&gt;""),Data!AA101,"")</f>
        <v/>
      </c>
      <c r="K102" s="64" t="str">
        <f>IF(AND(E102=Data!R101,Data!AE101&lt;&gt;""),Data!AE101,"")</f>
        <v/>
      </c>
      <c r="L102" s="65" t="str">
        <f>IF(E102=Data!R101,Data!AI101,"")</f>
        <v/>
      </c>
      <c r="M102" s="65" t="str">
        <f>IF(E102=Data!R101,Data!AJ101,"")</f>
        <v/>
      </c>
      <c r="N102" s="66" t="str">
        <f>IF(AND(Data!R101&lt;&gt;"",Data!L101="Accept&amp;#233;"),Data!K101,"")</f>
        <v/>
      </c>
    </row>
    <row r="103" spans="1:14" ht="19.5" customHeight="1" x14ac:dyDescent="0.3">
      <c r="A103" s="59" t="str">
        <f>IF(AND(Data!R102&lt;&gt;"",Data!L102="Accept&amp;#233;"),Data!G102,"")</f>
        <v/>
      </c>
      <c r="B103" s="59" t="str">
        <f>IF(AND(Data!R102&lt;&gt;"",Data!L102="Accept&amp;#233;"),Data!L102,"")</f>
        <v/>
      </c>
      <c r="C103" s="60" t="str">
        <f t="shared" si="2"/>
        <v/>
      </c>
      <c r="D103" s="42" t="str">
        <f>IF(AND(Data!Q102&lt;&gt;"",Data!L102="Accept&amp;#233;"),Data!Q102,"")</f>
        <v/>
      </c>
      <c r="E103" s="61" t="str">
        <f>IF(AND(Data!R102&lt;&gt;"",Data!L102="Accept&amp;#233;"),Data!R102,"")</f>
        <v/>
      </c>
      <c r="F103" s="62" t="str">
        <f>IF(AND(Data!R102&lt;&gt;"",Data!L102="Accept&amp;#233;"),Data!S102,"")</f>
        <v/>
      </c>
      <c r="G103" s="63" t="str">
        <f>IF(Data!R102='Delivery Plan'!E103,Data!U102,"")</f>
        <v/>
      </c>
      <c r="H103" s="51"/>
      <c r="I103" s="60" t="str">
        <f t="shared" si="3"/>
        <v/>
      </c>
      <c r="J103" s="42" t="str">
        <f>IF(AND(E103=Data!R102,Data!AA102&lt;&gt;""),Data!AA102,"")</f>
        <v/>
      </c>
      <c r="K103" s="64" t="str">
        <f>IF(AND(E103=Data!R102,Data!AE102&lt;&gt;""),Data!AE102,"")</f>
        <v/>
      </c>
      <c r="L103" s="65" t="str">
        <f>IF(E103=Data!R102,Data!AI102,"")</f>
        <v/>
      </c>
      <c r="M103" s="65" t="str">
        <f>IF(E103=Data!R102,Data!AJ102,"")</f>
        <v/>
      </c>
      <c r="N103" s="66" t="str">
        <f>IF(AND(Data!R102&lt;&gt;"",Data!L102="Accept&amp;#233;"),Data!K102,"")</f>
        <v/>
      </c>
    </row>
    <row r="104" spans="1:14" ht="19.5" hidden="1" customHeight="1" x14ac:dyDescent="0.3">
      <c r="A104" s="59" t="str">
        <f>IF(AND(Data!R103&lt;&gt;"",Data!L103="Accept&amp;#233;"),Data!G103,"")</f>
        <v/>
      </c>
      <c r="B104" s="59" t="str">
        <f>IF(AND(Data!R103&lt;&gt;"",Data!L103="Accept&amp;#233;"),Data!L103,"")</f>
        <v/>
      </c>
      <c r="C104" s="60" t="str">
        <f t="shared" si="2"/>
        <v/>
      </c>
      <c r="D104" s="42" t="str">
        <f>IF(AND(Data!Q103&lt;&gt;"",Data!L103="Accept&amp;#233;"),Data!Q103,"")</f>
        <v/>
      </c>
      <c r="E104" s="61" t="str">
        <f>IF(AND(Data!R103&lt;&gt;"",Data!L103="Accept&amp;#233;"),Data!R103,"")</f>
        <v/>
      </c>
      <c r="F104" s="62" t="str">
        <f>IF(AND(Data!R103&lt;&gt;"",Data!L103="Accept&amp;#233;"),Data!S103,"")</f>
        <v/>
      </c>
      <c r="G104" s="63">
        <f>IF(Data!R103='Delivery Plan'!E104,Data!U103,"")</f>
        <v>0</v>
      </c>
      <c r="H104" s="51"/>
      <c r="I104" s="60" t="str">
        <f t="shared" si="3"/>
        <v/>
      </c>
      <c r="J104" s="42" t="str">
        <f>IF(AND(E104=Data!R103,Data!AA103&lt;&gt;""),Data!AA103,"")</f>
        <v/>
      </c>
      <c r="K104" s="64" t="str">
        <f>IF(AND(E104=Data!R103,Data!AE103&lt;&gt;""),Data!AE103,"")</f>
        <v/>
      </c>
      <c r="L104" s="65">
        <f>IF(E104=Data!R103,Data!AI103,"")</f>
        <v>1</v>
      </c>
      <c r="M104" s="65" t="str">
        <f>IF(E104=Data!R103,Data!AJ103,"")</f>
        <v>Calibration in-house crics</v>
      </c>
      <c r="N104" s="66" t="str">
        <f>IF(AND(Data!R103&lt;&gt;"",Data!L103="Accept&amp;#233;"),Data!K103,"")</f>
        <v/>
      </c>
    </row>
    <row r="105" spans="1:14" ht="19.5" hidden="1" customHeight="1" x14ac:dyDescent="0.3">
      <c r="A105" s="59" t="str">
        <f>IF(AND(Data!R104&lt;&gt;"",Data!L104="Accept&amp;#233;"),Data!G104,"")</f>
        <v/>
      </c>
      <c r="B105" s="59" t="str">
        <f>IF(AND(Data!R104&lt;&gt;"",Data!L104="Accept&amp;#233;"),Data!L104,"")</f>
        <v/>
      </c>
      <c r="C105" s="60" t="str">
        <f t="shared" si="2"/>
        <v/>
      </c>
      <c r="D105" s="42" t="str">
        <f>IF(AND(Data!Q104&lt;&gt;"",Data!L104="Accept&amp;#233;"),Data!Q104,"")</f>
        <v/>
      </c>
      <c r="E105" s="61" t="str">
        <f>IF(AND(Data!R104&lt;&gt;"",Data!L104="Accept&amp;#233;"),Data!R104,"")</f>
        <v/>
      </c>
      <c r="F105" s="62" t="str">
        <f>IF(AND(Data!R104&lt;&gt;"",Data!L104="Accept&amp;#233;"),Data!S104,"")</f>
        <v/>
      </c>
      <c r="G105" s="63">
        <f>IF(Data!R104='Delivery Plan'!E105,Data!U104,"")</f>
        <v>0</v>
      </c>
      <c r="H105" s="51"/>
      <c r="I105" s="60" t="str">
        <f t="shared" si="3"/>
        <v/>
      </c>
      <c r="J105" s="42" t="str">
        <f>IF(AND(E105=Data!R104,Data!AA104&lt;&gt;""),Data!AA104,"")</f>
        <v/>
      </c>
      <c r="K105" s="64" t="str">
        <f>IF(AND(E105=Data!R104,Data!AE104&lt;&gt;""),Data!AE104,"")</f>
        <v/>
      </c>
      <c r="L105" s="65">
        <f>IF(E105=Data!R104,Data!AI104,"")</f>
        <v>1</v>
      </c>
      <c r="M105" s="65" t="str">
        <f>IF(E105=Data!R104,Data!AJ104,"")</f>
        <v>Calibration on-site vérins</v>
      </c>
      <c r="N105" s="66" t="str">
        <f>IF(AND(Data!R104&lt;&gt;"",Data!L104="Accept&amp;#233;"),Data!K104,"")</f>
        <v/>
      </c>
    </row>
    <row r="106" spans="1:14" ht="19.5" hidden="1" customHeight="1" x14ac:dyDescent="0.3">
      <c r="A106" s="59" t="str">
        <f>IF(AND(Data!R105&lt;&gt;"",Data!L105="Accept&amp;#233;"),Data!G105,"")</f>
        <v/>
      </c>
      <c r="B106" s="59" t="str">
        <f>IF(AND(Data!R105&lt;&gt;"",Data!L105="Accept&amp;#233;"),Data!L105,"")</f>
        <v/>
      </c>
      <c r="C106" s="60" t="str">
        <f t="shared" si="2"/>
        <v/>
      </c>
      <c r="D106" s="42" t="str">
        <f>IF(AND(Data!Q105&lt;&gt;"",Data!L105="Accept&amp;#233;"),Data!Q105,"")</f>
        <v/>
      </c>
      <c r="E106" s="61" t="str">
        <f>IF(AND(Data!R105&lt;&gt;"",Data!L105="Accept&amp;#233;"),Data!R105,"")</f>
        <v/>
      </c>
      <c r="F106" s="62" t="str">
        <f>IF(AND(Data!R105&lt;&gt;"",Data!L105="Accept&amp;#233;"),Data!S105,"")</f>
        <v/>
      </c>
      <c r="G106" s="63" t="str">
        <f>IF(Data!R105='Delivery Plan'!E106,Data!U105,"")</f>
        <v/>
      </c>
      <c r="H106" s="51"/>
      <c r="I106" s="60" t="str">
        <f t="shared" si="3"/>
        <v/>
      </c>
      <c r="J106" s="42" t="str">
        <f>IF(AND(E106=Data!R105,Data!AA105&lt;&gt;""),Data!AA105,"")</f>
        <v/>
      </c>
      <c r="K106" s="64" t="str">
        <f>IF(AND(E106=Data!R105,Data!AE105&lt;&gt;""),Data!AE105,"")</f>
        <v/>
      </c>
      <c r="L106" s="65" t="str">
        <f>IF(E106=Data!R105,Data!AI105,"")</f>
        <v/>
      </c>
      <c r="M106" s="65" t="str">
        <f>IF(E106=Data!R105,Data!AJ105,"")</f>
        <v/>
      </c>
      <c r="N106" s="66" t="str">
        <f>IF(AND(Data!R105&lt;&gt;"",Data!L105="Accept&amp;#233;"),Data!K105,"")</f>
        <v/>
      </c>
    </row>
    <row r="107" spans="1:14" ht="19.5" customHeight="1" x14ac:dyDescent="0.3">
      <c r="A107" s="59" t="str">
        <f>IF(AND(Data!R106&lt;&gt;"",Data!L106="Accept&amp;#233;"),Data!G106,"")</f>
        <v/>
      </c>
      <c r="B107" s="59" t="str">
        <f>IF(AND(Data!R106&lt;&gt;"",Data!L106="Accept&amp;#233;"),Data!L106,"")</f>
        <v/>
      </c>
      <c r="C107" s="60" t="str">
        <f t="shared" si="2"/>
        <v/>
      </c>
      <c r="D107" s="42" t="str">
        <f>IF(AND(Data!Q106&lt;&gt;"",Data!L106="Accept&amp;#233;"),Data!Q106,"")</f>
        <v/>
      </c>
      <c r="E107" s="61" t="str">
        <f>IF(AND(Data!R106&lt;&gt;"",Data!L106="Accept&amp;#233;"),Data!R106,"")</f>
        <v/>
      </c>
      <c r="F107" s="62" t="str">
        <f>IF(AND(Data!R106&lt;&gt;"",Data!L106="Accept&amp;#233;"),Data!S106,"")</f>
        <v/>
      </c>
      <c r="G107" s="63" t="str">
        <f>IF(Data!R106='Delivery Plan'!E107,Data!U106,"")</f>
        <v/>
      </c>
      <c r="H107" s="51"/>
      <c r="I107" s="60" t="str">
        <f t="shared" si="3"/>
        <v/>
      </c>
      <c r="J107" s="42" t="str">
        <f>IF(AND(E107=Data!R106,Data!AA106&lt;&gt;""),Data!AA106,"")</f>
        <v/>
      </c>
      <c r="K107" s="64" t="str">
        <f>IF(AND(E107=Data!R106,Data!AE106&lt;&gt;""),Data!AE106,"")</f>
        <v/>
      </c>
      <c r="L107" s="65" t="str">
        <f>IF(E107=Data!R106,Data!AI106,"")</f>
        <v/>
      </c>
      <c r="M107" s="65" t="str">
        <f>IF(E107=Data!R106,Data!AJ106,"")</f>
        <v/>
      </c>
      <c r="N107" s="66" t="str">
        <f>IF(AND(Data!R106&lt;&gt;"",Data!L106="Accept&amp;#233;"),Data!K106,"")</f>
        <v/>
      </c>
    </row>
    <row r="108" spans="1:14" ht="19.5" customHeight="1" x14ac:dyDescent="0.3">
      <c r="A108" s="59" t="str">
        <f>IF(AND(Data!R107&lt;&gt;"",Data!L107="Accept&amp;#233;"),Data!G107,"")</f>
        <v/>
      </c>
      <c r="B108" s="59" t="str">
        <f>IF(AND(Data!R107&lt;&gt;"",Data!L107="Accept&amp;#233;"),Data!L107,"")</f>
        <v/>
      </c>
      <c r="C108" s="60" t="str">
        <f t="shared" si="2"/>
        <v/>
      </c>
      <c r="D108" s="42" t="str">
        <f>IF(AND(Data!Q107&lt;&gt;"",Data!L107="Accept&amp;#233;"),Data!Q107,"")</f>
        <v/>
      </c>
      <c r="E108" s="61" t="str">
        <f>IF(AND(Data!R107&lt;&gt;"",Data!L107="Accept&amp;#233;"),Data!R107,"")</f>
        <v/>
      </c>
      <c r="F108" s="62" t="str">
        <f>IF(AND(Data!R107&lt;&gt;"",Data!L107="Accept&amp;#233;"),Data!S107,"")</f>
        <v/>
      </c>
      <c r="G108" s="63" t="str">
        <f>IF(Data!R107='Delivery Plan'!E108,Data!U107,"")</f>
        <v/>
      </c>
      <c r="H108" s="51"/>
      <c r="I108" s="60" t="str">
        <f t="shared" si="3"/>
        <v/>
      </c>
      <c r="J108" s="42" t="str">
        <f>IF(AND(E108=Data!R107,Data!AA107&lt;&gt;""),Data!AA107,"")</f>
        <v/>
      </c>
      <c r="K108" s="64" t="str">
        <f>IF(AND(E108=Data!R107,Data!AE107&lt;&gt;""),Data!AE107,"")</f>
        <v/>
      </c>
      <c r="L108" s="65" t="str">
        <f>IF(E108=Data!R107,Data!AI107,"")</f>
        <v/>
      </c>
      <c r="M108" s="65" t="str">
        <f>IF(E108=Data!R107,Data!AJ107,"")</f>
        <v/>
      </c>
      <c r="N108" s="66" t="str">
        <f>IF(AND(Data!R107&lt;&gt;"",Data!L107="Accept&amp;#233;"),Data!K107,"")</f>
        <v/>
      </c>
    </row>
    <row r="109" spans="1:14" ht="19.5" hidden="1" customHeight="1" x14ac:dyDescent="0.3">
      <c r="A109" s="59" t="str">
        <f>IF(AND(Data!R108&lt;&gt;"",Data!L108="Accept&amp;#233;"),Data!G108,"")</f>
        <v/>
      </c>
      <c r="B109" s="59" t="str">
        <f>IF(AND(Data!R108&lt;&gt;"",Data!L108="Accept&amp;#233;"),Data!L108,"")</f>
        <v/>
      </c>
      <c r="C109" s="60" t="str">
        <f t="shared" si="2"/>
        <v/>
      </c>
      <c r="D109" s="42" t="str">
        <f>IF(AND(Data!Q108&lt;&gt;"",Data!L108="Accept&amp;#233;"),Data!Q108,"")</f>
        <v/>
      </c>
      <c r="E109" s="61" t="str">
        <f>IF(AND(Data!R108&lt;&gt;"",Data!L108="Accept&amp;#233;"),Data!R108,"")</f>
        <v/>
      </c>
      <c r="F109" s="62" t="str">
        <f>IF(AND(Data!R108&lt;&gt;"",Data!L108="Accept&amp;#233;"),Data!S108,"")</f>
        <v/>
      </c>
      <c r="G109" s="63" t="str">
        <f>IF(Data!R108='Delivery Plan'!E109,Data!U108,"")</f>
        <v/>
      </c>
      <c r="H109" s="51"/>
      <c r="I109" s="60" t="str">
        <f t="shared" si="3"/>
        <v/>
      </c>
      <c r="J109" s="42" t="str">
        <f>IF(AND(E109=Data!R108,Data!AA108&lt;&gt;""),Data!AA108,"")</f>
        <v/>
      </c>
      <c r="K109" s="64" t="str">
        <f>IF(AND(E109=Data!R108,Data!AE108&lt;&gt;""),Data!AE108,"")</f>
        <v/>
      </c>
      <c r="L109" s="65" t="str">
        <f>IF(E109=Data!R108,Data!AI108,"")</f>
        <v/>
      </c>
      <c r="M109" s="65" t="str">
        <f>IF(E109=Data!R108,Data!AJ108,"")</f>
        <v/>
      </c>
      <c r="N109" s="66" t="str">
        <f>IF(AND(Data!R108&lt;&gt;"",Data!L108="Accept&amp;#233;"),Data!K108,"")</f>
        <v/>
      </c>
    </row>
    <row r="110" spans="1:14" ht="19.5" hidden="1" customHeight="1" x14ac:dyDescent="0.3">
      <c r="A110" s="59" t="str">
        <f>IF(AND(Data!R109&lt;&gt;"",Data!L109="Accept&amp;#233;"),Data!G109,"")</f>
        <v/>
      </c>
      <c r="B110" s="59" t="str">
        <f>IF(AND(Data!R109&lt;&gt;"",Data!L109="Accept&amp;#233;"),Data!L109,"")</f>
        <v/>
      </c>
      <c r="C110" s="60" t="str">
        <f t="shared" si="2"/>
        <v/>
      </c>
      <c r="D110" s="42" t="str">
        <f>IF(AND(Data!Q109&lt;&gt;"",Data!L109="Accept&amp;#233;"),Data!Q109,"")</f>
        <v/>
      </c>
      <c r="E110" s="61" t="str">
        <f>IF(AND(Data!R109&lt;&gt;"",Data!L109="Accept&amp;#233;"),Data!R109,"")</f>
        <v/>
      </c>
      <c r="F110" s="62" t="str">
        <f>IF(AND(Data!R109&lt;&gt;"",Data!L109="Accept&amp;#233;"),Data!S109,"")</f>
        <v/>
      </c>
      <c r="G110" s="63" t="str">
        <f>IF(Data!R109='Delivery Plan'!E110,Data!U109,"")</f>
        <v/>
      </c>
      <c r="H110" s="51"/>
      <c r="I110" s="60" t="str">
        <f t="shared" si="3"/>
        <v/>
      </c>
      <c r="J110" s="42" t="str">
        <f>IF(AND(E110=Data!R109,Data!AA109&lt;&gt;""),Data!AA109,"")</f>
        <v/>
      </c>
      <c r="K110" s="64" t="str">
        <f>IF(AND(E110=Data!R109,Data!AE109&lt;&gt;""),Data!AE109,"")</f>
        <v/>
      </c>
      <c r="L110" s="65" t="str">
        <f>IF(E110=Data!R109,Data!AI109,"")</f>
        <v/>
      </c>
      <c r="M110" s="65" t="str">
        <f>IF(E110=Data!R109,Data!AJ109,"")</f>
        <v/>
      </c>
      <c r="N110" s="66" t="str">
        <f>IF(AND(Data!R109&lt;&gt;"",Data!L109="Accept&amp;#233;"),Data!K109,"")</f>
        <v/>
      </c>
    </row>
    <row r="111" spans="1:14" ht="19.5" hidden="1" customHeight="1" x14ac:dyDescent="0.3">
      <c r="A111" s="59" t="str">
        <f>IF(AND(Data!R110&lt;&gt;"",Data!L110="Accept&amp;#233;"),Data!G110,"")</f>
        <v/>
      </c>
      <c r="B111" s="59" t="str">
        <f>IF(AND(Data!R110&lt;&gt;"",Data!L110="Accept&amp;#233;"),Data!L110,"")</f>
        <v/>
      </c>
      <c r="C111" s="60" t="str">
        <f t="shared" si="2"/>
        <v/>
      </c>
      <c r="D111" s="42" t="str">
        <f>IF(AND(Data!Q110&lt;&gt;"",Data!L110="Accept&amp;#233;"),Data!Q110,"")</f>
        <v/>
      </c>
      <c r="E111" s="61" t="str">
        <f>IF(AND(Data!R110&lt;&gt;"",Data!L110="Accept&amp;#233;"),Data!R110,"")</f>
        <v/>
      </c>
      <c r="F111" s="62" t="str">
        <f>IF(AND(Data!R110&lt;&gt;"",Data!L110="Accept&amp;#233;"),Data!S110,"")</f>
        <v/>
      </c>
      <c r="G111" s="63" t="str">
        <f>IF(Data!R110='Delivery Plan'!E111,Data!U110,"")</f>
        <v/>
      </c>
      <c r="H111" s="51"/>
      <c r="I111" s="60" t="str">
        <f t="shared" si="3"/>
        <v/>
      </c>
      <c r="J111" s="42" t="str">
        <f>IF(AND(E111=Data!R110,Data!AA110&lt;&gt;""),Data!AA110,"")</f>
        <v/>
      </c>
      <c r="K111" s="64" t="str">
        <f>IF(AND(E111=Data!R110,Data!AE110&lt;&gt;""),Data!AE110,"")</f>
        <v/>
      </c>
      <c r="L111" s="65" t="str">
        <f>IF(E111=Data!R110,Data!AI110,"")</f>
        <v/>
      </c>
      <c r="M111" s="65" t="str">
        <f>IF(E111=Data!R110,Data!AJ110,"")</f>
        <v/>
      </c>
      <c r="N111" s="66" t="str">
        <f>IF(AND(Data!R110&lt;&gt;"",Data!L110="Accept&amp;#233;"),Data!K110,"")</f>
        <v/>
      </c>
    </row>
    <row r="112" spans="1:14" ht="19.5" customHeight="1" x14ac:dyDescent="0.3">
      <c r="A112" s="59" t="str">
        <f>IF(AND(Data!R111&lt;&gt;"",Data!L111="Accept&amp;#233;"),Data!G111,"")</f>
        <v/>
      </c>
      <c r="B112" s="59" t="str">
        <f>IF(AND(Data!R111&lt;&gt;"",Data!L111="Accept&amp;#233;"),Data!L111,"")</f>
        <v/>
      </c>
      <c r="C112" s="60" t="str">
        <f t="shared" si="2"/>
        <v/>
      </c>
      <c r="D112" s="42" t="str">
        <f>IF(AND(Data!Q111&lt;&gt;"",Data!L111="Accept&amp;#233;"),Data!Q111,"")</f>
        <v/>
      </c>
      <c r="E112" s="61" t="str">
        <f>IF(AND(Data!R111&lt;&gt;"",Data!L111="Accept&amp;#233;"),Data!R111,"")</f>
        <v/>
      </c>
      <c r="F112" s="62" t="str">
        <f>IF(AND(Data!R111&lt;&gt;"",Data!L111="Accept&amp;#233;"),Data!S111,"")</f>
        <v/>
      </c>
      <c r="G112" s="63" t="str">
        <f>IF(Data!R111='Delivery Plan'!E112,Data!U111,"")</f>
        <v/>
      </c>
      <c r="H112" s="51"/>
      <c r="I112" s="60" t="str">
        <f t="shared" si="3"/>
        <v/>
      </c>
      <c r="J112" s="42" t="str">
        <f>IF(AND(E112=Data!R111,Data!AA111&lt;&gt;""),Data!AA111,"")</f>
        <v/>
      </c>
      <c r="K112" s="64" t="str">
        <f>IF(AND(E112=Data!R111,Data!AE111&lt;&gt;""),Data!AE111,"")</f>
        <v/>
      </c>
      <c r="L112" s="65" t="str">
        <f>IF(E112=Data!R111,Data!AI111,"")</f>
        <v/>
      </c>
      <c r="M112" s="65" t="str">
        <f>IF(E112=Data!R111,Data!AJ111,"")</f>
        <v/>
      </c>
      <c r="N112" s="66" t="str">
        <f>IF(AND(Data!R111&lt;&gt;"",Data!L111="Accept&amp;#233;"),Data!K111,"")</f>
        <v/>
      </c>
    </row>
    <row r="113" spans="1:14" ht="19.5" hidden="1" customHeight="1" x14ac:dyDescent="0.3">
      <c r="A113" s="59" t="str">
        <f>IF(AND(Data!R112&lt;&gt;"",Data!L112="Accept&amp;#233;"),Data!G112,"")</f>
        <v/>
      </c>
      <c r="B113" s="59" t="str">
        <f>IF(AND(Data!R112&lt;&gt;"",Data!L112="Accept&amp;#233;"),Data!L112,"")</f>
        <v/>
      </c>
      <c r="C113" s="60" t="str">
        <f t="shared" si="2"/>
        <v/>
      </c>
      <c r="D113" s="42" t="str">
        <f>IF(AND(Data!Q112&lt;&gt;"",Data!L112="Accept&amp;#233;"),Data!Q112,"")</f>
        <v/>
      </c>
      <c r="E113" s="61" t="str">
        <f>IF(AND(Data!R112&lt;&gt;"",Data!L112="Accept&amp;#233;"),Data!R112,"")</f>
        <v/>
      </c>
      <c r="F113" s="62" t="str">
        <f>IF(AND(Data!R112&lt;&gt;"",Data!L112="Accept&amp;#233;"),Data!S112,"")</f>
        <v/>
      </c>
      <c r="G113" s="63">
        <f>IF(Data!R112='Delivery Plan'!E113,Data!U112,"")</f>
        <v>0</v>
      </c>
      <c r="H113" s="51"/>
      <c r="I113" s="60" t="str">
        <f t="shared" si="3"/>
        <v/>
      </c>
      <c r="J113" s="42" t="str">
        <f>IF(AND(E113=Data!R112,Data!AA112&lt;&gt;""),Data!AA112,"")</f>
        <v/>
      </c>
      <c r="K113" s="64" t="str">
        <f>IF(AND(E113=Data!R112,Data!AE112&lt;&gt;""),Data!AE112,"")</f>
        <v/>
      </c>
      <c r="L113" s="65">
        <f>IF(E113=Data!R112,Data!AI112,"")</f>
        <v>5</v>
      </c>
      <c r="M113" s="65" t="str">
        <f>IF(E113=Data!R112,Data!AJ112,"")</f>
        <v xml:space="preserve">Calibration outillages in-house </v>
      </c>
      <c r="N113" s="66" t="str">
        <f>IF(AND(Data!R112&lt;&gt;"",Data!L112="Accept&amp;#233;"),Data!K112,"")</f>
        <v/>
      </c>
    </row>
    <row r="114" spans="1:14" ht="19.5" hidden="1" customHeight="1" x14ac:dyDescent="0.3">
      <c r="A114" s="59" t="str">
        <f>IF(AND(Data!R113&lt;&gt;"",Data!L113="Accept&amp;#233;"),Data!G113,"")</f>
        <v/>
      </c>
      <c r="B114" s="59" t="str">
        <f>IF(AND(Data!R113&lt;&gt;"",Data!L113="Accept&amp;#233;"),Data!L113,"")</f>
        <v/>
      </c>
      <c r="C114" s="60" t="str">
        <f t="shared" si="2"/>
        <v/>
      </c>
      <c r="D114" s="42" t="str">
        <f>IF(AND(Data!Q113&lt;&gt;"",Data!L113="Accept&amp;#233;"),Data!Q113,"")</f>
        <v/>
      </c>
      <c r="E114" s="61" t="str">
        <f>IF(AND(Data!R113&lt;&gt;"",Data!L113="Accept&amp;#233;"),Data!R113,"")</f>
        <v/>
      </c>
      <c r="F114" s="62" t="str">
        <f>IF(AND(Data!R113&lt;&gt;"",Data!L113="Accept&amp;#233;"),Data!S113,"")</f>
        <v/>
      </c>
      <c r="G114" s="63" t="str">
        <f>IF(Data!R113='Delivery Plan'!E114,Data!U113,"")</f>
        <v/>
      </c>
      <c r="H114" s="51"/>
      <c r="I114" s="60" t="str">
        <f t="shared" si="3"/>
        <v/>
      </c>
      <c r="J114" s="42" t="str">
        <f>IF(AND(E114=Data!R113,Data!AA113&lt;&gt;""),Data!AA113,"")</f>
        <v/>
      </c>
      <c r="K114" s="64" t="str">
        <f>IF(AND(E114=Data!R113,Data!AE113&lt;&gt;""),Data!AE113,"")</f>
        <v/>
      </c>
      <c r="L114" s="65" t="str">
        <f>IF(E114=Data!R113,Data!AI113,"")</f>
        <v/>
      </c>
      <c r="M114" s="65" t="str">
        <f>IF(E114=Data!R113,Data!AJ113,"")</f>
        <v/>
      </c>
      <c r="N114" s="66" t="str">
        <f>IF(AND(Data!R113&lt;&gt;"",Data!L113="Accept&amp;#233;"),Data!K113,"")</f>
        <v/>
      </c>
    </row>
    <row r="115" spans="1:14" ht="19.5" hidden="1" customHeight="1" x14ac:dyDescent="0.3">
      <c r="A115" s="59" t="str">
        <f>IF(AND(Data!R114&lt;&gt;"",Data!L114="Accept&amp;#233;"),Data!G114,"")</f>
        <v/>
      </c>
      <c r="B115" s="59" t="str">
        <f>IF(AND(Data!R114&lt;&gt;"",Data!L114="Accept&amp;#233;"),Data!L114,"")</f>
        <v/>
      </c>
      <c r="C115" s="60" t="str">
        <f t="shared" si="2"/>
        <v/>
      </c>
      <c r="D115" s="42" t="str">
        <f>IF(AND(Data!Q114&lt;&gt;"",Data!L114="Accept&amp;#233;"),Data!Q114,"")</f>
        <v/>
      </c>
      <c r="E115" s="61" t="str">
        <f>IF(AND(Data!R114&lt;&gt;"",Data!L114="Accept&amp;#233;"),Data!R114,"")</f>
        <v/>
      </c>
      <c r="F115" s="62" t="str">
        <f>IF(AND(Data!R114&lt;&gt;"",Data!L114="Accept&amp;#233;"),Data!S114,"")</f>
        <v/>
      </c>
      <c r="G115" s="63" t="str">
        <f>IF(Data!R114='Delivery Plan'!E115,Data!U114,"")</f>
        <v/>
      </c>
      <c r="H115" s="51"/>
      <c r="I115" s="60" t="str">
        <f t="shared" si="3"/>
        <v/>
      </c>
      <c r="J115" s="42" t="str">
        <f>IF(AND(E115=Data!R114,Data!AA114&lt;&gt;""),Data!AA114,"")</f>
        <v/>
      </c>
      <c r="K115" s="64" t="str">
        <f>IF(AND(E115=Data!R114,Data!AE114&lt;&gt;""),Data!AE114,"")</f>
        <v/>
      </c>
      <c r="L115" s="65" t="str">
        <f>IF(E115=Data!R114,Data!AI114,"")</f>
        <v/>
      </c>
      <c r="M115" s="65" t="str">
        <f>IF(E115=Data!R114,Data!AJ114,"")</f>
        <v/>
      </c>
      <c r="N115" s="66" t="str">
        <f>IF(AND(Data!R114&lt;&gt;"",Data!L114="Accept&amp;#233;"),Data!K114,"")</f>
        <v/>
      </c>
    </row>
    <row r="116" spans="1:14" ht="19.5" hidden="1" customHeight="1" x14ac:dyDescent="0.3">
      <c r="A116" s="59" t="str">
        <f>IF(AND(Data!R115&lt;&gt;"",Data!L115="Accept&amp;#233;"),Data!G115,"")</f>
        <v/>
      </c>
      <c r="B116" s="59" t="str">
        <f>IF(AND(Data!R115&lt;&gt;"",Data!L115="Accept&amp;#233;"),Data!L115,"")</f>
        <v/>
      </c>
      <c r="C116" s="60" t="str">
        <f t="shared" si="2"/>
        <v/>
      </c>
      <c r="D116" s="42" t="str">
        <f>IF(AND(Data!Q115&lt;&gt;"",Data!L115="Accept&amp;#233;"),Data!Q115,"")</f>
        <v/>
      </c>
      <c r="E116" s="61" t="str">
        <f>IF(AND(Data!R115&lt;&gt;"",Data!L115="Accept&amp;#233;"),Data!R115,"")</f>
        <v/>
      </c>
      <c r="F116" s="62" t="str">
        <f>IF(AND(Data!R115&lt;&gt;"",Data!L115="Accept&amp;#233;"),Data!S115,"")</f>
        <v/>
      </c>
      <c r="G116" s="63" t="str">
        <f>IF(Data!R115='Delivery Plan'!E116,Data!U115,"")</f>
        <v/>
      </c>
      <c r="H116" s="51"/>
      <c r="I116" s="60" t="str">
        <f t="shared" si="3"/>
        <v/>
      </c>
      <c r="J116" s="42" t="str">
        <f>IF(AND(E116=Data!R115,Data!AA115&lt;&gt;""),Data!AA115,"")</f>
        <v/>
      </c>
      <c r="K116" s="64" t="str">
        <f>IF(AND(E116=Data!R115,Data!AE115&lt;&gt;""),Data!AE115,"")</f>
        <v/>
      </c>
      <c r="L116" s="65" t="str">
        <f>IF(E116=Data!R115,Data!AI115,"")</f>
        <v/>
      </c>
      <c r="M116" s="65" t="str">
        <f>IF(E116=Data!R115,Data!AJ115,"")</f>
        <v/>
      </c>
      <c r="N116" s="66" t="str">
        <f>IF(AND(Data!R115&lt;&gt;"",Data!L115="Accept&amp;#233;"),Data!K115,"")</f>
        <v/>
      </c>
    </row>
    <row r="117" spans="1:14" ht="19.5" customHeight="1" x14ac:dyDescent="0.3">
      <c r="A117" s="59" t="str">
        <f>IF(AND(Data!R116&lt;&gt;"",Data!L116="Accept&amp;#233;"),Data!G116,"")</f>
        <v/>
      </c>
      <c r="B117" s="59" t="str">
        <f>IF(AND(Data!R116&lt;&gt;"",Data!L116="Accept&amp;#233;"),Data!L116,"")</f>
        <v/>
      </c>
      <c r="C117" s="60" t="str">
        <f t="shared" si="2"/>
        <v/>
      </c>
      <c r="D117" s="42" t="str">
        <f>IF(AND(Data!Q116&lt;&gt;"",Data!L116="Accept&amp;#233;"),Data!Q116,"")</f>
        <v/>
      </c>
      <c r="E117" s="61" t="str">
        <f>IF(AND(Data!R116&lt;&gt;"",Data!L116="Accept&amp;#233;"),Data!R116,"")</f>
        <v/>
      </c>
      <c r="F117" s="62" t="str">
        <f>IF(AND(Data!R116&lt;&gt;"",Data!L116="Accept&amp;#233;"),Data!S116,"")</f>
        <v/>
      </c>
      <c r="G117" s="63" t="str">
        <f>IF(Data!R116='Delivery Plan'!E117,Data!U116,"")</f>
        <v/>
      </c>
      <c r="H117" s="51"/>
      <c r="I117" s="60" t="str">
        <f t="shared" si="3"/>
        <v/>
      </c>
      <c r="J117" s="42" t="str">
        <f>IF(AND(E117=Data!R116,Data!AA116&lt;&gt;""),Data!AA116,"")</f>
        <v/>
      </c>
      <c r="K117" s="64" t="str">
        <f>IF(AND(E117=Data!R116,Data!AE116&lt;&gt;""),Data!AE116,"")</f>
        <v/>
      </c>
      <c r="L117" s="65" t="str">
        <f>IF(E117=Data!R116,Data!AI116,"")</f>
        <v/>
      </c>
      <c r="M117" s="65" t="str">
        <f>IF(E117=Data!R116,Data!AJ116,"")</f>
        <v/>
      </c>
      <c r="N117" s="66" t="str">
        <f>IF(AND(Data!R116&lt;&gt;"",Data!L116="Accept&amp;#233;"),Data!K116,"")</f>
        <v/>
      </c>
    </row>
    <row r="118" spans="1:14" ht="19.5" hidden="1" customHeight="1" x14ac:dyDescent="0.3">
      <c r="A118" s="59" t="str">
        <f>IF(AND(Data!R117&lt;&gt;"",Data!L117="Accept&amp;#233;"),Data!G117,"")</f>
        <v/>
      </c>
      <c r="B118" s="59" t="str">
        <f>IF(AND(Data!R117&lt;&gt;"",Data!L117="Accept&amp;#233;"),Data!L117,"")</f>
        <v/>
      </c>
      <c r="C118" s="60" t="str">
        <f t="shared" si="2"/>
        <v/>
      </c>
      <c r="D118" s="42" t="str">
        <f>IF(AND(Data!Q117&lt;&gt;"",Data!L117="Accept&amp;#233;"),Data!Q117,"")</f>
        <v/>
      </c>
      <c r="E118" s="61" t="str">
        <f>IF(AND(Data!R117&lt;&gt;"",Data!L117="Accept&amp;#233;"),Data!R117,"")</f>
        <v/>
      </c>
      <c r="F118" s="62" t="str">
        <f>IF(AND(Data!R117&lt;&gt;"",Data!L117="Accept&amp;#233;"),Data!S117,"")</f>
        <v/>
      </c>
      <c r="G118" s="63" t="str">
        <f>IF(Data!R117='Delivery Plan'!E118,Data!U117,"")</f>
        <v/>
      </c>
      <c r="H118" s="51"/>
      <c r="I118" s="60" t="str">
        <f t="shared" si="3"/>
        <v/>
      </c>
      <c r="J118" s="42" t="str">
        <f>IF(AND(E118=Data!R117,Data!AA117&lt;&gt;""),Data!AA117,"")</f>
        <v/>
      </c>
      <c r="K118" s="64" t="str">
        <f>IF(AND(E118=Data!R117,Data!AE117&lt;&gt;""),Data!AE117,"")</f>
        <v/>
      </c>
      <c r="L118" s="65" t="str">
        <f>IF(E118=Data!R117,Data!AI117,"")</f>
        <v/>
      </c>
      <c r="M118" s="65" t="str">
        <f>IF(E118=Data!R117,Data!AJ117,"")</f>
        <v/>
      </c>
      <c r="N118" s="66" t="str">
        <f>IF(AND(Data!R117&lt;&gt;"",Data!L117="Accept&amp;#233;"),Data!K117,"")</f>
        <v/>
      </c>
    </row>
    <row r="119" spans="1:14" ht="19.5" hidden="1" customHeight="1" x14ac:dyDescent="0.3">
      <c r="A119" s="59" t="str">
        <f>IF(AND(Data!R118&lt;&gt;"",Data!L118="Accept&amp;#233;"),Data!G118,"")</f>
        <v/>
      </c>
      <c r="B119" s="59" t="str">
        <f>IF(AND(Data!R118&lt;&gt;"",Data!L118="Accept&amp;#233;"),Data!L118,"")</f>
        <v/>
      </c>
      <c r="C119" s="60" t="str">
        <f t="shared" si="2"/>
        <v/>
      </c>
      <c r="D119" s="42" t="str">
        <f>IF(AND(Data!Q118&lt;&gt;"",Data!L118="Accept&amp;#233;"),Data!Q118,"")</f>
        <v/>
      </c>
      <c r="E119" s="61" t="str">
        <f>IF(AND(Data!R118&lt;&gt;"",Data!L118="Accept&amp;#233;"),Data!R118,"")</f>
        <v/>
      </c>
      <c r="F119" s="62" t="str">
        <f>IF(AND(Data!R118&lt;&gt;"",Data!L118="Accept&amp;#233;"),Data!S118,"")</f>
        <v/>
      </c>
      <c r="G119" s="63">
        <f>IF(Data!R118='Delivery Plan'!E119,Data!U118,"")</f>
        <v>0</v>
      </c>
      <c r="H119" s="51"/>
      <c r="I119" s="60" t="str">
        <f t="shared" si="3"/>
        <v/>
      </c>
      <c r="J119" s="42" t="str">
        <f>IF(AND(E119=Data!R118,Data!AA118&lt;&gt;""),Data!AA118,"")</f>
        <v/>
      </c>
      <c r="K119" s="64" t="str">
        <f>IF(AND(E119=Data!R118,Data!AE118&lt;&gt;""),Data!AE118,"")</f>
        <v/>
      </c>
      <c r="L119" s="65">
        <f>IF(E119=Data!R118,Data!AI118,"")</f>
        <v>1</v>
      </c>
      <c r="M119" s="65" t="str">
        <f>IF(E119=Data!R118,Data!AJ118,"")</f>
        <v xml:space="preserve">Calibration TR-36 in-house </v>
      </c>
      <c r="N119" s="66" t="str">
        <f>IF(AND(Data!R118&lt;&gt;"",Data!L118="Accept&amp;#233;"),Data!K118,"")</f>
        <v/>
      </c>
    </row>
    <row r="120" spans="1:14" ht="19.5" hidden="1" customHeight="1" x14ac:dyDescent="0.3">
      <c r="A120" s="59" t="str">
        <f>IF(AND(Data!R119&lt;&gt;"",Data!L119="Accept&amp;#233;"),Data!G119,"")</f>
        <v/>
      </c>
      <c r="B120" s="59" t="str">
        <f>IF(AND(Data!R119&lt;&gt;"",Data!L119="Accept&amp;#233;"),Data!L119,"")</f>
        <v/>
      </c>
      <c r="C120" s="60" t="str">
        <f t="shared" si="2"/>
        <v/>
      </c>
      <c r="D120" s="42" t="str">
        <f>IF(AND(Data!Q119&lt;&gt;"",Data!L119="Accept&amp;#233;"),Data!Q119,"")</f>
        <v/>
      </c>
      <c r="E120" s="61" t="str">
        <f>IF(AND(Data!R119&lt;&gt;"",Data!L119="Accept&amp;#233;"),Data!R119,"")</f>
        <v/>
      </c>
      <c r="F120" s="62" t="str">
        <f>IF(AND(Data!R119&lt;&gt;"",Data!L119="Accept&amp;#233;"),Data!S119,"")</f>
        <v/>
      </c>
      <c r="G120" s="63">
        <f>IF(Data!R119='Delivery Plan'!E120,Data!U119,"")</f>
        <v>0</v>
      </c>
      <c r="H120" s="51"/>
      <c r="I120" s="60" t="str">
        <f t="shared" si="3"/>
        <v/>
      </c>
      <c r="J120" s="42" t="str">
        <f>IF(AND(E120=Data!R119,Data!AA119&lt;&gt;""),Data!AA119,"")</f>
        <v/>
      </c>
      <c r="K120" s="64" t="str">
        <f>IF(AND(E120=Data!R119,Data!AE119&lt;&gt;""),Data!AE119,"")</f>
        <v/>
      </c>
      <c r="L120" s="65">
        <f>IF(E120=Data!R119,Data!AI119,"")</f>
        <v>1</v>
      </c>
      <c r="M120" s="65" t="str">
        <f>IF(E120=Data!R119,Data!AJ119,"")</f>
        <v xml:space="preserve">Calibration 43 in-house </v>
      </c>
      <c r="N120" s="66" t="str">
        <f>IF(AND(Data!R119&lt;&gt;"",Data!L119="Accept&amp;#233;"),Data!K119,"")</f>
        <v/>
      </c>
    </row>
    <row r="121" spans="1:14" ht="19.5" hidden="1" customHeight="1" x14ac:dyDescent="0.3">
      <c r="A121" s="59" t="str">
        <f>IF(AND(Data!R120&lt;&gt;"",Data!L120="Accept&amp;#233;"),Data!G120,"")</f>
        <v/>
      </c>
      <c r="B121" s="59" t="str">
        <f>IF(AND(Data!R120&lt;&gt;"",Data!L120="Accept&amp;#233;"),Data!L120,"")</f>
        <v/>
      </c>
      <c r="C121" s="60" t="str">
        <f t="shared" si="2"/>
        <v/>
      </c>
      <c r="D121" s="42" t="str">
        <f>IF(AND(Data!Q120&lt;&gt;"",Data!L120="Accept&amp;#233;"),Data!Q120,"")</f>
        <v/>
      </c>
      <c r="E121" s="61" t="str">
        <f>IF(AND(Data!R120&lt;&gt;"",Data!L120="Accept&amp;#233;"),Data!R120,"")</f>
        <v/>
      </c>
      <c r="F121" s="62" t="str">
        <f>IF(AND(Data!R120&lt;&gt;"",Data!L120="Accept&amp;#233;"),Data!S120,"")</f>
        <v/>
      </c>
      <c r="G121" s="63">
        <f>IF(Data!R120='Delivery Plan'!E121,Data!U120,"")</f>
        <v>0</v>
      </c>
      <c r="H121" s="51"/>
      <c r="I121" s="60" t="str">
        <f t="shared" si="3"/>
        <v/>
      </c>
      <c r="J121" s="42" t="str">
        <f>IF(AND(E121=Data!R120,Data!AA120&lt;&gt;""),Data!AA120,"")</f>
        <v/>
      </c>
      <c r="K121" s="64" t="str">
        <f>IF(AND(E121=Data!R120,Data!AE120&lt;&gt;""),Data!AE120,"")</f>
        <v/>
      </c>
      <c r="L121" s="65">
        <f>IF(E121=Data!R120,Data!AI120,"")</f>
        <v>1</v>
      </c>
      <c r="M121" s="65" t="str">
        <f>IF(E121=Data!R120,Data!AJ120,"")</f>
        <v xml:space="preserve">Caliration AP6108 in-house </v>
      </c>
      <c r="N121" s="66" t="str">
        <f>IF(AND(Data!R120&lt;&gt;"",Data!L120="Accept&amp;#233;"),Data!K120,"")</f>
        <v/>
      </c>
    </row>
    <row r="122" spans="1:14" ht="19.5" hidden="1" customHeight="1" x14ac:dyDescent="0.3">
      <c r="A122" s="59" t="str">
        <f>IF(AND(Data!R121&lt;&gt;"",Data!L121="Accept&amp;#233;"),Data!G121,"")</f>
        <v/>
      </c>
      <c r="B122" s="59" t="str">
        <f>IF(AND(Data!R121&lt;&gt;"",Data!L121="Accept&amp;#233;"),Data!L121,"")</f>
        <v/>
      </c>
      <c r="C122" s="60" t="str">
        <f t="shared" si="2"/>
        <v/>
      </c>
      <c r="D122" s="42" t="str">
        <f>IF(AND(Data!Q121&lt;&gt;"",Data!L121="Accept&amp;#233;"),Data!Q121,"")</f>
        <v/>
      </c>
      <c r="E122" s="61" t="str">
        <f>IF(AND(Data!R121&lt;&gt;"",Data!L121="Accept&amp;#233;"),Data!R121,"")</f>
        <v/>
      </c>
      <c r="F122" s="62" t="str">
        <f>IF(AND(Data!R121&lt;&gt;"",Data!L121="Accept&amp;#233;"),Data!S121,"")</f>
        <v/>
      </c>
      <c r="G122" s="63">
        <f>IF(Data!R121='Delivery Plan'!E122,Data!U121,"")</f>
        <v>0</v>
      </c>
      <c r="H122" s="51"/>
      <c r="I122" s="60" t="str">
        <f t="shared" si="3"/>
        <v/>
      </c>
      <c r="J122" s="42" t="str">
        <f>IF(AND(E122=Data!R121,Data!AA121&lt;&gt;""),Data!AA121,"")</f>
        <v/>
      </c>
      <c r="K122" s="64" t="str">
        <f>IF(AND(E122=Data!R121,Data!AE121&lt;&gt;""),Data!AE121,"")</f>
        <v/>
      </c>
      <c r="L122" s="65">
        <f>IF(E122=Data!R121,Data!AI121,"")</f>
        <v>1</v>
      </c>
      <c r="M122" s="65" t="str">
        <f>IF(E122=Data!R121,Data!AJ121,"")</f>
        <v xml:space="preserve">Calibration DRA707 in-house </v>
      </c>
      <c r="N122" s="66" t="str">
        <f>IF(AND(Data!R121&lt;&gt;"",Data!L121="Accept&amp;#233;"),Data!K121,"")</f>
        <v/>
      </c>
    </row>
    <row r="123" spans="1:14" ht="19.5" customHeight="1" x14ac:dyDescent="0.3">
      <c r="A123" s="59" t="str">
        <f>IF(AND(Data!R122&lt;&gt;"",Data!L122="Accept&amp;#233;"),Data!G122,"")</f>
        <v/>
      </c>
      <c r="B123" s="59" t="str">
        <f>IF(AND(Data!R122&lt;&gt;"",Data!L122="Accept&amp;#233;"),Data!L122,"")</f>
        <v/>
      </c>
      <c r="C123" s="60" t="str">
        <f t="shared" si="2"/>
        <v/>
      </c>
      <c r="D123" s="42" t="str">
        <f>IF(AND(Data!Q122&lt;&gt;"",Data!L122="Accept&amp;#233;"),Data!Q122,"")</f>
        <v/>
      </c>
      <c r="E123" s="61" t="str">
        <f>IF(AND(Data!R122&lt;&gt;"",Data!L122="Accept&amp;#233;"),Data!R122,"")</f>
        <v/>
      </c>
      <c r="F123" s="62" t="str">
        <f>IF(AND(Data!R122&lt;&gt;"",Data!L122="Accept&amp;#233;"),Data!S122,"")</f>
        <v/>
      </c>
      <c r="G123" s="63" t="str">
        <f>IF(Data!R122='Delivery Plan'!E123,Data!U122,"")</f>
        <v/>
      </c>
      <c r="H123" s="51"/>
      <c r="I123" s="60" t="str">
        <f t="shared" si="3"/>
        <v/>
      </c>
      <c r="J123" s="42" t="str">
        <f>IF(AND(E123=Data!R122,Data!AA122&lt;&gt;""),Data!AA122,"")</f>
        <v/>
      </c>
      <c r="K123" s="64" t="str">
        <f>IF(AND(E123=Data!R122,Data!AE122&lt;&gt;""),Data!AE122,"")</f>
        <v/>
      </c>
      <c r="L123" s="65" t="str">
        <f>IF(E123=Data!R122,Data!AI122,"")</f>
        <v/>
      </c>
      <c r="M123" s="65" t="str">
        <f>IF(E123=Data!R122,Data!AJ122,"")</f>
        <v/>
      </c>
      <c r="N123" s="66" t="str">
        <f>IF(AND(Data!R122&lt;&gt;"",Data!L122="Accept&amp;#233;"),Data!K122,"")</f>
        <v/>
      </c>
    </row>
    <row r="124" spans="1:14" ht="19.5" hidden="1" customHeight="1" x14ac:dyDescent="0.3">
      <c r="A124" s="59" t="str">
        <f>IF(AND(Data!R123&lt;&gt;"",Data!L123="Accept&amp;#233;"),Data!G123,"")</f>
        <v/>
      </c>
      <c r="B124" s="59" t="str">
        <f>IF(AND(Data!R123&lt;&gt;"",Data!L123="Accept&amp;#233;"),Data!L123,"")</f>
        <v/>
      </c>
      <c r="C124" s="60" t="str">
        <f t="shared" si="2"/>
        <v/>
      </c>
      <c r="D124" s="42" t="str">
        <f>IF(AND(Data!Q123&lt;&gt;"",Data!L123="Accept&amp;#233;"),Data!Q123,"")</f>
        <v/>
      </c>
      <c r="E124" s="61" t="str">
        <f>IF(AND(Data!R123&lt;&gt;"",Data!L123="Accept&amp;#233;"),Data!R123,"")</f>
        <v/>
      </c>
      <c r="F124" s="62" t="str">
        <f>IF(AND(Data!R123&lt;&gt;"",Data!L123="Accept&amp;#233;"),Data!S123,"")</f>
        <v/>
      </c>
      <c r="G124" s="63">
        <f>IF(Data!R123='Delivery Plan'!E124,Data!U123,"")</f>
        <v>0</v>
      </c>
      <c r="H124" s="51"/>
      <c r="I124" s="60" t="str">
        <f t="shared" si="3"/>
        <v/>
      </c>
      <c r="J124" s="42" t="str">
        <f>IF(AND(E124=Data!R123,Data!AA123&lt;&gt;""),Data!AA123,"")</f>
        <v/>
      </c>
      <c r="K124" s="64" t="str">
        <f>IF(AND(E124=Data!R123,Data!AE123&lt;&gt;""),Data!AE123,"")</f>
        <v/>
      </c>
      <c r="L124" s="65">
        <f>IF(E124=Data!R123,Data!AI123,"")</f>
        <v>2</v>
      </c>
      <c r="M124" s="65" t="str">
        <f>IF(E124=Data!R123,Data!AJ123,"")</f>
        <v>Réparation vérin in-house D00406C1B1A02A0</v>
      </c>
      <c r="N124" s="66" t="str">
        <f>IF(AND(Data!R123&lt;&gt;"",Data!L123="Accept&amp;#233;"),Data!K123,"")</f>
        <v/>
      </c>
    </row>
    <row r="125" spans="1:14" ht="19.5" hidden="1" customHeight="1" x14ac:dyDescent="0.3">
      <c r="A125" s="59" t="str">
        <f>IF(AND(Data!R124&lt;&gt;"",Data!L124="Accept&amp;#233;"),Data!G124,"")</f>
        <v/>
      </c>
      <c r="B125" s="59" t="str">
        <f>IF(AND(Data!R124&lt;&gt;"",Data!L124="Accept&amp;#233;"),Data!L124,"")</f>
        <v/>
      </c>
      <c r="C125" s="60" t="str">
        <f t="shared" si="2"/>
        <v/>
      </c>
      <c r="D125" s="42" t="str">
        <f>IF(AND(Data!Q124&lt;&gt;"",Data!L124="Accept&amp;#233;"),Data!Q124,"")</f>
        <v/>
      </c>
      <c r="E125" s="61" t="str">
        <f>IF(AND(Data!R124&lt;&gt;"",Data!L124="Accept&amp;#233;"),Data!R124,"")</f>
        <v/>
      </c>
      <c r="F125" s="62" t="str">
        <f>IF(AND(Data!R124&lt;&gt;"",Data!L124="Accept&amp;#233;"),Data!S124,"")</f>
        <v/>
      </c>
      <c r="G125" s="63">
        <f>IF(Data!R124='Delivery Plan'!E125,Data!U124,"")</f>
        <v>0</v>
      </c>
      <c r="H125" s="51"/>
      <c r="I125" s="60" t="str">
        <f t="shared" si="3"/>
        <v/>
      </c>
      <c r="J125" s="42" t="str">
        <f>IF(AND(E125=Data!R124,Data!AA124&lt;&gt;""),Data!AA124,"")</f>
        <v/>
      </c>
      <c r="K125" s="64" t="str">
        <f>IF(AND(E125=Data!R124,Data!AE124&lt;&gt;""),Data!AE124,"")</f>
        <v/>
      </c>
      <c r="L125" s="65">
        <f>IF(E125=Data!R124,Data!AI124,"")</f>
        <v>1</v>
      </c>
      <c r="M125" s="65" t="str">
        <f>IF(E125=Data!R124,Data!AJ124,"")</f>
        <v>Recertification strut Service tool</v>
      </c>
      <c r="N125" s="66" t="str">
        <f>IF(AND(Data!R124&lt;&gt;"",Data!L124="Accept&amp;#233;"),Data!K124,"")</f>
        <v/>
      </c>
    </row>
    <row r="126" spans="1:14" ht="19.5" hidden="1" customHeight="1" x14ac:dyDescent="0.3">
      <c r="A126" s="59" t="str">
        <f>IF(AND(Data!R125&lt;&gt;"",Data!L125="Accept&amp;#233;"),Data!G125,"")</f>
        <v/>
      </c>
      <c r="B126" s="59" t="str">
        <f>IF(AND(Data!R125&lt;&gt;"",Data!L125="Accept&amp;#233;"),Data!L125,"")</f>
        <v/>
      </c>
      <c r="C126" s="60" t="str">
        <f t="shared" si="2"/>
        <v/>
      </c>
      <c r="D126" s="42" t="str">
        <f>IF(AND(Data!Q125&lt;&gt;"",Data!L125="Accept&amp;#233;"),Data!Q125,"")</f>
        <v/>
      </c>
      <c r="E126" s="61" t="str">
        <f>IF(AND(Data!R125&lt;&gt;"",Data!L125="Accept&amp;#233;"),Data!R125,"")</f>
        <v/>
      </c>
      <c r="F126" s="62" t="str">
        <f>IF(AND(Data!R125&lt;&gt;"",Data!L125="Accept&amp;#233;"),Data!S125,"")</f>
        <v/>
      </c>
      <c r="G126" s="63">
        <f>IF(Data!R125='Delivery Plan'!E126,Data!U125,"")</f>
        <v>0</v>
      </c>
      <c r="H126" s="51"/>
      <c r="I126" s="60" t="str">
        <f t="shared" si="3"/>
        <v/>
      </c>
      <c r="J126" s="42" t="str">
        <f>IF(AND(E126=Data!R125,Data!AA125&lt;&gt;""),Data!AA125,"")</f>
        <v/>
      </c>
      <c r="K126" s="64" t="str">
        <f>IF(AND(E126=Data!R125,Data!AE125&lt;&gt;""),Data!AE125,"")</f>
        <v/>
      </c>
      <c r="L126" s="65">
        <f>IF(E126=Data!R125,Data!AI125,"")</f>
        <v>1</v>
      </c>
      <c r="M126" s="65" t="str">
        <f>IF(E126=Data!R125,Data!AJ125,"")</f>
        <v>Demande spares</v>
      </c>
      <c r="N126" s="66" t="str">
        <f>IF(AND(Data!R125&lt;&gt;"",Data!L125="Accept&amp;#233;"),Data!K125,"")</f>
        <v/>
      </c>
    </row>
    <row r="127" spans="1:14" ht="19.5" hidden="1" customHeight="1" x14ac:dyDescent="0.3">
      <c r="A127" s="59" t="str">
        <f>IF(AND(Data!R126&lt;&gt;"",Data!L126="Accept&amp;#233;"),Data!G126,"")</f>
        <v/>
      </c>
      <c r="B127" s="59" t="str">
        <f>IF(AND(Data!R126&lt;&gt;"",Data!L126="Accept&amp;#233;"),Data!L126,"")</f>
        <v/>
      </c>
      <c r="C127" s="60" t="str">
        <f t="shared" si="2"/>
        <v/>
      </c>
      <c r="D127" s="42" t="str">
        <f>IF(AND(Data!Q126&lt;&gt;"",Data!L126="Accept&amp;#233;"),Data!Q126,"")</f>
        <v/>
      </c>
      <c r="E127" s="61" t="str">
        <f>IF(AND(Data!R126&lt;&gt;"",Data!L126="Accept&amp;#233;"),Data!R126,"")</f>
        <v/>
      </c>
      <c r="F127" s="62" t="str">
        <f>IF(AND(Data!R126&lt;&gt;"",Data!L126="Accept&amp;#233;"),Data!S126,"")</f>
        <v/>
      </c>
      <c r="G127" s="63">
        <f>IF(Data!R126='Delivery Plan'!E127,Data!U126,"")</f>
        <v>0</v>
      </c>
      <c r="H127" s="51"/>
      <c r="I127" s="60" t="str">
        <f t="shared" si="3"/>
        <v/>
      </c>
      <c r="J127" s="42" t="str">
        <f>IF(AND(E127=Data!R126,Data!AA126&lt;&gt;""),Data!AA126,"")</f>
        <v/>
      </c>
      <c r="K127" s="64" t="str">
        <f>IF(AND(E127=Data!R126,Data!AE126&lt;&gt;""),Data!AE126,"")</f>
        <v/>
      </c>
      <c r="L127" s="65">
        <f>IF(E127=Data!R126,Data!AI126,"")</f>
        <v>1</v>
      </c>
      <c r="M127" s="65" t="str">
        <f>IF(E127=Data!R126,Data!AJ126,"")</f>
        <v>Calibration pesons</v>
      </c>
      <c r="N127" s="66" t="str">
        <f>IF(AND(Data!R126&lt;&gt;"",Data!L126="Accept&amp;#233;"),Data!K126,"")</f>
        <v/>
      </c>
    </row>
    <row r="128" spans="1:14" ht="19.5" hidden="1" customHeight="1" x14ac:dyDescent="0.3">
      <c r="A128" s="59" t="str">
        <f>IF(AND(Data!R127&lt;&gt;"",Data!L127="Accept&amp;#233;"),Data!G127,"")</f>
        <v/>
      </c>
      <c r="B128" s="59" t="str">
        <f>IF(AND(Data!R127&lt;&gt;"",Data!L127="Accept&amp;#233;"),Data!L127,"")</f>
        <v/>
      </c>
      <c r="C128" s="60" t="str">
        <f t="shared" si="2"/>
        <v/>
      </c>
      <c r="D128" s="42" t="str">
        <f>IF(AND(Data!Q127&lt;&gt;"",Data!L127="Accept&amp;#233;"),Data!Q127,"")</f>
        <v/>
      </c>
      <c r="E128" s="61" t="str">
        <f>IF(AND(Data!R127&lt;&gt;"",Data!L127="Accept&amp;#233;"),Data!R127,"")</f>
        <v/>
      </c>
      <c r="F128" s="62" t="str">
        <f>IF(AND(Data!R127&lt;&gt;"",Data!L127="Accept&amp;#233;"),Data!S127,"")</f>
        <v/>
      </c>
      <c r="G128" s="63">
        <f>IF(Data!R127='Delivery Plan'!E128,Data!U127,"")</f>
        <v>0</v>
      </c>
      <c r="H128" s="51"/>
      <c r="I128" s="60" t="str">
        <f t="shared" si="3"/>
        <v/>
      </c>
      <c r="J128" s="42" t="str">
        <f>IF(AND(E128=Data!R127,Data!AA127&lt;&gt;""),Data!AA127,"")</f>
        <v/>
      </c>
      <c r="K128" s="64" t="str">
        <f>IF(AND(E128=Data!R127,Data!AE127&lt;&gt;""),Data!AE127,"")</f>
        <v/>
      </c>
      <c r="L128" s="65">
        <f>IF(E128=Data!R127,Data!AI127,"")</f>
        <v>1</v>
      </c>
      <c r="M128" s="65" t="str">
        <f>IF(E128=Data!R127,Data!AJ127,"")</f>
        <v>Calibration outillage cassé</v>
      </c>
      <c r="N128" s="66" t="str">
        <f>IF(AND(Data!R127&lt;&gt;"",Data!L127="Accept&amp;#233;"),Data!K127,"")</f>
        <v/>
      </c>
    </row>
    <row r="129" spans="1:14" ht="19.5" customHeight="1" x14ac:dyDescent="0.3">
      <c r="A129" s="59" t="str">
        <f>IF(AND(Data!R128&lt;&gt;"",Data!L128="Accept&amp;#233;"),Data!G128,"")</f>
        <v/>
      </c>
      <c r="B129" s="59" t="str">
        <f>IF(AND(Data!R128&lt;&gt;"",Data!L128="Accept&amp;#233;"),Data!L128,"")</f>
        <v/>
      </c>
      <c r="C129" s="60" t="str">
        <f t="shared" si="2"/>
        <v/>
      </c>
      <c r="D129" s="42" t="str">
        <f>IF(AND(Data!Q128&lt;&gt;"",Data!L128="Accept&amp;#233;"),Data!Q128,"")</f>
        <v/>
      </c>
      <c r="E129" s="61" t="str">
        <f>IF(AND(Data!R128&lt;&gt;"",Data!L128="Accept&amp;#233;"),Data!R128,"")</f>
        <v/>
      </c>
      <c r="F129" s="62" t="str">
        <f>IF(AND(Data!R128&lt;&gt;"",Data!L128="Accept&amp;#233;"),Data!S128,"")</f>
        <v/>
      </c>
      <c r="G129" s="63" t="str">
        <f>IF(Data!R128='Delivery Plan'!E129,Data!U128,"")</f>
        <v/>
      </c>
      <c r="H129" s="51"/>
      <c r="I129" s="60" t="str">
        <f t="shared" si="3"/>
        <v/>
      </c>
      <c r="J129" s="42" t="str">
        <f>IF(AND(E129=Data!R128,Data!AA128&lt;&gt;""),Data!AA128,"")</f>
        <v/>
      </c>
      <c r="K129" s="64" t="str">
        <f>IF(AND(E129=Data!R128,Data!AE128&lt;&gt;""),Data!AE128,"")</f>
        <v/>
      </c>
      <c r="L129" s="65" t="str">
        <f>IF(E129=Data!R128,Data!AI128,"")</f>
        <v/>
      </c>
      <c r="M129" s="65" t="str">
        <f>IF(E129=Data!R128,Data!AJ128,"")</f>
        <v/>
      </c>
      <c r="N129" s="66" t="str">
        <f>IF(AND(Data!R128&lt;&gt;"",Data!L128="Accept&amp;#233;"),Data!K128,"")</f>
        <v/>
      </c>
    </row>
    <row r="130" spans="1:14" ht="19.5" hidden="1" customHeight="1" x14ac:dyDescent="0.3">
      <c r="A130" s="59" t="str">
        <f>IF(AND(Data!R129&lt;&gt;"",Data!L129="Accept&amp;#233;"),Data!G129,"")</f>
        <v/>
      </c>
      <c r="B130" s="59" t="str">
        <f>IF(AND(Data!R129&lt;&gt;"",Data!L129="Accept&amp;#233;"),Data!L129,"")</f>
        <v/>
      </c>
      <c r="C130" s="60" t="str">
        <f t="shared" si="2"/>
        <v/>
      </c>
      <c r="D130" s="42" t="str">
        <f>IF(AND(Data!Q129&lt;&gt;"",Data!L129="Accept&amp;#233;"),Data!Q129,"")</f>
        <v/>
      </c>
      <c r="E130" s="61" t="str">
        <f>IF(AND(Data!R129&lt;&gt;"",Data!L129="Accept&amp;#233;"),Data!R129,"")</f>
        <v/>
      </c>
      <c r="F130" s="62" t="str">
        <f>IF(AND(Data!R129&lt;&gt;"",Data!L129="Accept&amp;#233;"),Data!S129,"")</f>
        <v/>
      </c>
      <c r="G130" s="63">
        <f>IF(Data!R129='Delivery Plan'!E130,Data!U129,"")</f>
        <v>0</v>
      </c>
      <c r="H130" s="51"/>
      <c r="I130" s="60" t="str">
        <f t="shared" si="3"/>
        <v/>
      </c>
      <c r="J130" s="42" t="str">
        <f>IF(AND(E130=Data!R129,Data!AA129&lt;&gt;""),Data!AA129,"")</f>
        <v/>
      </c>
      <c r="K130" s="64" t="str">
        <f>IF(AND(E130=Data!R129,Data!AE129&lt;&gt;""),Data!AE129,"")</f>
        <v/>
      </c>
      <c r="L130" s="65">
        <f>IF(E130=Data!R129,Data!AI129,"")</f>
        <v>6</v>
      </c>
      <c r="M130" s="65" t="str">
        <f>IF(E130=Data!R129,Data!AJ129,"")</f>
        <v>Maintenance curative crics et vérins</v>
      </c>
      <c r="N130" s="66" t="str">
        <f>IF(AND(Data!R129&lt;&gt;"",Data!L129="Accept&amp;#233;"),Data!K129,"")</f>
        <v/>
      </c>
    </row>
    <row r="131" spans="1:14" ht="19.5" hidden="1" customHeight="1" x14ac:dyDescent="0.3">
      <c r="A131" s="59" t="str">
        <f>IF(AND(Data!R130&lt;&gt;"",Data!L130="Accept&amp;#233;"),Data!G130,"")</f>
        <v/>
      </c>
      <c r="B131" s="59" t="str">
        <f>IF(AND(Data!R130&lt;&gt;"",Data!L130="Accept&amp;#233;"),Data!L130,"")</f>
        <v/>
      </c>
      <c r="C131" s="60" t="str">
        <f t="shared" si="2"/>
        <v/>
      </c>
      <c r="D131" s="42" t="str">
        <f>IF(AND(Data!Q130&lt;&gt;"",Data!L130="Accept&amp;#233;"),Data!Q130,"")</f>
        <v/>
      </c>
      <c r="E131" s="61" t="str">
        <f>IF(AND(Data!R130&lt;&gt;"",Data!L130="Accept&amp;#233;"),Data!R130,"")</f>
        <v/>
      </c>
      <c r="F131" s="62" t="str">
        <f>IF(AND(Data!R130&lt;&gt;"",Data!L130="Accept&amp;#233;"),Data!S130,"")</f>
        <v/>
      </c>
      <c r="G131" s="63">
        <f>IF(Data!R130='Delivery Plan'!E131,Data!U130,"")</f>
        <v>0</v>
      </c>
      <c r="H131" s="51"/>
      <c r="I131" s="60" t="str">
        <f t="shared" si="3"/>
        <v/>
      </c>
      <c r="J131" s="42" t="str">
        <f>IF(AND(E131=Data!R130,Data!AA130&lt;&gt;""),Data!AA130,"")</f>
        <v/>
      </c>
      <c r="K131" s="64" t="str">
        <f>IF(AND(E131=Data!R130,Data!AE130&lt;&gt;""),Data!AE130,"")</f>
        <v/>
      </c>
      <c r="L131" s="65">
        <f>IF(E131=Data!R130,Data!AI130,"")</f>
        <v>1</v>
      </c>
      <c r="M131" s="65" t="str">
        <f>IF(E131=Data!R130,Data!AJ130,"")</f>
        <v>Réparation bâche RRT102433</v>
      </c>
      <c r="N131" s="66" t="str">
        <f>IF(AND(Data!R130&lt;&gt;"",Data!L130="Accept&amp;#233;"),Data!K130,"")</f>
        <v/>
      </c>
    </row>
    <row r="132" spans="1:14" ht="19.5" hidden="1" customHeight="1" x14ac:dyDescent="0.3">
      <c r="A132" s="59" t="str">
        <f>IF(AND(Data!R131&lt;&gt;"",Data!L131="Accept&amp;#233;"),Data!G131,"")</f>
        <v/>
      </c>
      <c r="B132" s="59" t="str">
        <f>IF(AND(Data!R131&lt;&gt;"",Data!L131="Accept&amp;#233;"),Data!L131,"")</f>
        <v/>
      </c>
      <c r="C132" s="60" t="str">
        <f t="shared" ref="C132:C195" si="4">IF(D132&lt;&gt;"","S"&amp;TEXT(WEEKNUM(D132),"00"),"")</f>
        <v/>
      </c>
      <c r="D132" s="42" t="str">
        <f>IF(AND(Data!Q131&lt;&gt;"",Data!L131="Accept&amp;#233;"),Data!Q131,"")</f>
        <v/>
      </c>
      <c r="E132" s="61" t="str">
        <f>IF(AND(Data!R131&lt;&gt;"",Data!L131="Accept&amp;#233;"),Data!R131,"")</f>
        <v/>
      </c>
      <c r="F132" s="62" t="str">
        <f>IF(AND(Data!R131&lt;&gt;"",Data!L131="Accept&amp;#233;"),Data!S131,"")</f>
        <v/>
      </c>
      <c r="G132" s="63">
        <f>IF(Data!R131='Delivery Plan'!E132,Data!U131,"")</f>
        <v>0</v>
      </c>
      <c r="H132" s="51"/>
      <c r="I132" s="60" t="str">
        <f t="shared" ref="I132:I195" si="5">IF(J132&lt;&gt;"","S"&amp;TEXT(WEEKNUM(J132),"00"),"")</f>
        <v/>
      </c>
      <c r="J132" s="42" t="str">
        <f>IF(AND(E132=Data!R131,Data!AA131&lt;&gt;""),Data!AA131,"")</f>
        <v/>
      </c>
      <c r="K132" s="64" t="str">
        <f>IF(AND(E132=Data!R131,Data!AE131&lt;&gt;""),Data!AE131,"")</f>
        <v/>
      </c>
      <c r="L132" s="65">
        <f>IF(E132=Data!R131,Data!AI131,"")</f>
        <v>1</v>
      </c>
      <c r="M132" s="65" t="str">
        <f>IF(E132=Data!R131,Data!AJ131,"")</f>
        <v>Inspection outillages</v>
      </c>
      <c r="N132" s="66" t="str">
        <f>IF(AND(Data!R131&lt;&gt;"",Data!L131="Accept&amp;#233;"),Data!K131,"")</f>
        <v/>
      </c>
    </row>
    <row r="133" spans="1:14" ht="19.5" hidden="1" customHeight="1" x14ac:dyDescent="0.3">
      <c r="A133" s="59" t="str">
        <f>IF(AND(Data!R132&lt;&gt;"",Data!L132="Accept&amp;#233;"),Data!G132,"")</f>
        <v/>
      </c>
      <c r="B133" s="59" t="str">
        <f>IF(AND(Data!R132&lt;&gt;"",Data!L132="Accept&amp;#233;"),Data!L132,"")</f>
        <v/>
      </c>
      <c r="C133" s="60" t="str">
        <f t="shared" si="4"/>
        <v/>
      </c>
      <c r="D133" s="42" t="str">
        <f>IF(AND(Data!Q132&lt;&gt;"",Data!L132="Accept&amp;#233;"),Data!Q132,"")</f>
        <v/>
      </c>
      <c r="E133" s="61" t="str">
        <f>IF(AND(Data!R132&lt;&gt;"",Data!L132="Accept&amp;#233;"),Data!R132,"")</f>
        <v/>
      </c>
      <c r="F133" s="62" t="str">
        <f>IF(AND(Data!R132&lt;&gt;"",Data!L132="Accept&amp;#233;"),Data!S132,"")</f>
        <v/>
      </c>
      <c r="G133" s="63">
        <f>IF(Data!R132='Delivery Plan'!E133,Data!U132,"")</f>
        <v>0</v>
      </c>
      <c r="H133" s="51"/>
      <c r="I133" s="60" t="str">
        <f t="shared" si="5"/>
        <v/>
      </c>
      <c r="J133" s="42" t="str">
        <f>IF(AND(E133=Data!R132,Data!AA132&lt;&gt;""),Data!AA132,"")</f>
        <v/>
      </c>
      <c r="K133" s="64" t="str">
        <f>IF(AND(E133=Data!R132,Data!AE132&lt;&gt;""),Data!AE132,"")</f>
        <v/>
      </c>
      <c r="L133" s="65">
        <f>IF(E133=Data!R132,Data!AI132,"")</f>
        <v>1</v>
      </c>
      <c r="M133" s="65" t="str">
        <f>IF(E133=Data!R132,Data!AJ132,"")</f>
        <v>Calibration cric TMHCP13</v>
      </c>
      <c r="N133" s="66" t="str">
        <f>IF(AND(Data!R132&lt;&gt;"",Data!L132="Accept&amp;#233;"),Data!K132,"")</f>
        <v/>
      </c>
    </row>
    <row r="134" spans="1:14" ht="19.5" hidden="1" customHeight="1" x14ac:dyDescent="0.3">
      <c r="A134" s="59" t="str">
        <f>IF(AND(Data!R133&lt;&gt;"",Data!L133="Accept&amp;#233;"),Data!G133,"")</f>
        <v/>
      </c>
      <c r="B134" s="59" t="str">
        <f>IF(AND(Data!R133&lt;&gt;"",Data!L133="Accept&amp;#233;"),Data!L133,"")</f>
        <v/>
      </c>
      <c r="C134" s="60" t="str">
        <f t="shared" si="4"/>
        <v/>
      </c>
      <c r="D134" s="42" t="str">
        <f>IF(AND(Data!Q133&lt;&gt;"",Data!L133="Accept&amp;#233;"),Data!Q133,"")</f>
        <v/>
      </c>
      <c r="E134" s="61" t="str">
        <f>IF(AND(Data!R133&lt;&gt;"",Data!L133="Accept&amp;#233;"),Data!R133,"")</f>
        <v/>
      </c>
      <c r="F134" s="62" t="str">
        <f>IF(AND(Data!R133&lt;&gt;"",Data!L133="Accept&amp;#233;"),Data!S133,"")</f>
        <v/>
      </c>
      <c r="G134" s="63">
        <f>IF(Data!R133='Delivery Plan'!E134,Data!U133,"")</f>
        <v>0</v>
      </c>
      <c r="H134" s="51"/>
      <c r="I134" s="60" t="str">
        <f t="shared" si="5"/>
        <v/>
      </c>
      <c r="J134" s="42" t="str">
        <f>IF(AND(E134=Data!R133,Data!AA133&lt;&gt;""),Data!AA133,"")</f>
        <v/>
      </c>
      <c r="K134" s="64" t="str">
        <f>IF(AND(E134=Data!R133,Data!AE133&lt;&gt;""),Data!AE133,"")</f>
        <v/>
      </c>
      <c r="L134" s="65">
        <f>IF(E134=Data!R133,Data!AI133,"")</f>
        <v>1</v>
      </c>
      <c r="M134" s="65" t="str">
        <f>IF(E134=Data!R133,Data!AJ133,"")</f>
        <v>Calibration outillages</v>
      </c>
      <c r="N134" s="66" t="str">
        <f>IF(AND(Data!R133&lt;&gt;"",Data!L133="Accept&amp;#233;"),Data!K133,"")</f>
        <v/>
      </c>
    </row>
    <row r="135" spans="1:14" ht="19.5" hidden="1" customHeight="1" x14ac:dyDescent="0.3">
      <c r="A135" s="59" t="str">
        <f>IF(AND(Data!R134&lt;&gt;"",Data!L134="Accept&amp;#233;"),Data!G134,"")</f>
        <v/>
      </c>
      <c r="B135" s="59" t="str">
        <f>IF(AND(Data!R134&lt;&gt;"",Data!L134="Accept&amp;#233;"),Data!L134,"")</f>
        <v/>
      </c>
      <c r="C135" s="60" t="str">
        <f t="shared" si="4"/>
        <v/>
      </c>
      <c r="D135" s="42" t="str">
        <f>IF(AND(Data!Q134&lt;&gt;"",Data!L134="Accept&amp;#233;"),Data!Q134,"")</f>
        <v/>
      </c>
      <c r="E135" s="61" t="str">
        <f>IF(AND(Data!R134&lt;&gt;"",Data!L134="Accept&amp;#233;"),Data!R134,"")</f>
        <v/>
      </c>
      <c r="F135" s="62" t="str">
        <f>IF(AND(Data!R134&lt;&gt;"",Data!L134="Accept&amp;#233;"),Data!S134,"")</f>
        <v/>
      </c>
      <c r="G135" s="63">
        <f>IF(Data!R134='Delivery Plan'!E135,Data!U134,"")</f>
        <v>0</v>
      </c>
      <c r="H135" s="51"/>
      <c r="I135" s="60" t="str">
        <f t="shared" si="5"/>
        <v/>
      </c>
      <c r="J135" s="42" t="str">
        <f>IF(AND(E135=Data!R134,Data!AA134&lt;&gt;""),Data!AA134,"")</f>
        <v/>
      </c>
      <c r="K135" s="64" t="str">
        <f>IF(AND(E135=Data!R134,Data!AE134&lt;&gt;""),Data!AE134,"")</f>
        <v/>
      </c>
      <c r="L135" s="65">
        <f>IF(E135=Data!R134,Data!AI134,"")</f>
        <v>1</v>
      </c>
      <c r="M135" s="65" t="str">
        <f>IF(E135=Data!R134,Data!AJ134,"")</f>
        <v>Recertification in-house</v>
      </c>
      <c r="N135" s="66" t="str">
        <f>IF(AND(Data!R134&lt;&gt;"",Data!L134="Accept&amp;#233;"),Data!K134,"")</f>
        <v/>
      </c>
    </row>
    <row r="136" spans="1:14" ht="19.5" customHeight="1" x14ac:dyDescent="0.3">
      <c r="A136" s="59" t="str">
        <f>IF(AND(Data!R135&lt;&gt;"",Data!L135="Accept&amp;#233;"),Data!G135,"")</f>
        <v/>
      </c>
      <c r="B136" s="59" t="str">
        <f>IF(AND(Data!R135&lt;&gt;"",Data!L135="Accept&amp;#233;"),Data!L135,"")</f>
        <v/>
      </c>
      <c r="C136" s="60" t="str">
        <f t="shared" si="4"/>
        <v/>
      </c>
      <c r="D136" s="42" t="str">
        <f>IF(AND(Data!Q135&lt;&gt;"",Data!L135="Accept&amp;#233;"),Data!Q135,"")</f>
        <v/>
      </c>
      <c r="E136" s="61" t="str">
        <f>IF(AND(Data!R135&lt;&gt;"",Data!L135="Accept&amp;#233;"),Data!R135,"")</f>
        <v/>
      </c>
      <c r="F136" s="62" t="str">
        <f>IF(AND(Data!R135&lt;&gt;"",Data!L135="Accept&amp;#233;"),Data!S135,"")</f>
        <v/>
      </c>
      <c r="G136" s="63" t="str">
        <f>IF(Data!R135='Delivery Plan'!E136,Data!U135,"")</f>
        <v/>
      </c>
      <c r="H136" s="51"/>
      <c r="I136" s="60" t="str">
        <f t="shared" si="5"/>
        <v/>
      </c>
      <c r="J136" s="42" t="str">
        <f>IF(AND(E136=Data!R135,Data!AA135&lt;&gt;""),Data!AA135,"")</f>
        <v/>
      </c>
      <c r="K136" s="64" t="str">
        <f>IF(AND(E136=Data!R135,Data!AE135&lt;&gt;""),Data!AE135,"")</f>
        <v/>
      </c>
      <c r="L136" s="65" t="str">
        <f>IF(E136=Data!R135,Data!AI135,"")</f>
        <v/>
      </c>
      <c r="M136" s="65" t="str">
        <f>IF(E136=Data!R135,Data!AJ135,"")</f>
        <v/>
      </c>
      <c r="N136" s="66" t="str">
        <f>IF(AND(Data!R135&lt;&gt;"",Data!L135="Accept&amp;#233;"),Data!K135,"")</f>
        <v/>
      </c>
    </row>
    <row r="137" spans="1:14" ht="19.5" hidden="1" customHeight="1" x14ac:dyDescent="0.3">
      <c r="A137" s="59" t="str">
        <f>IF(AND(Data!R136&lt;&gt;"",Data!L136="Accept&amp;#233;"),Data!G136,"")</f>
        <v/>
      </c>
      <c r="B137" s="59" t="str">
        <f>IF(AND(Data!R136&lt;&gt;"",Data!L136="Accept&amp;#233;"),Data!L136,"")</f>
        <v/>
      </c>
      <c r="C137" s="60" t="str">
        <f t="shared" si="4"/>
        <v/>
      </c>
      <c r="D137" s="42" t="str">
        <f>IF(AND(Data!Q136&lt;&gt;"",Data!L136="Accept&amp;#233;"),Data!Q136,"")</f>
        <v/>
      </c>
      <c r="E137" s="61" t="str">
        <f>IF(AND(Data!R136&lt;&gt;"",Data!L136="Accept&amp;#233;"),Data!R136,"")</f>
        <v/>
      </c>
      <c r="F137" s="62" t="str">
        <f>IF(AND(Data!R136&lt;&gt;"",Data!L136="Accept&amp;#233;"),Data!S136,"")</f>
        <v/>
      </c>
      <c r="G137" s="63">
        <f>IF(Data!R136='Delivery Plan'!E137,Data!U136,"")</f>
        <v>0</v>
      </c>
      <c r="H137" s="51"/>
      <c r="I137" s="60" t="str">
        <f t="shared" si="5"/>
        <v/>
      </c>
      <c r="J137" s="42" t="str">
        <f>IF(AND(E137=Data!R136,Data!AA136&lt;&gt;""),Data!AA136,"")</f>
        <v/>
      </c>
      <c r="K137" s="64" t="str">
        <f>IF(AND(E137=Data!R136,Data!AE136&lt;&gt;""),Data!AE136,"")</f>
        <v/>
      </c>
      <c r="L137" s="65">
        <f>IF(E137=Data!R136,Data!AI136,"")</f>
        <v>1</v>
      </c>
      <c r="M137" s="65" t="str">
        <f>IF(E137=Data!R136,Data!AJ136,"")</f>
        <v>Calibration SG248-001 en Turquie</v>
      </c>
      <c r="N137" s="66" t="str">
        <f>IF(AND(Data!R136&lt;&gt;"",Data!L136="Accept&amp;#233;"),Data!K136,"")</f>
        <v/>
      </c>
    </row>
    <row r="138" spans="1:14" ht="19.5" hidden="1" customHeight="1" x14ac:dyDescent="0.3">
      <c r="A138" s="59" t="str">
        <f>IF(AND(Data!R137&lt;&gt;"",Data!L137="Accept&amp;#233;"),Data!G137,"")</f>
        <v/>
      </c>
      <c r="B138" s="59" t="str">
        <f>IF(AND(Data!R137&lt;&gt;"",Data!L137="Accept&amp;#233;"),Data!L137,"")</f>
        <v/>
      </c>
      <c r="C138" s="60" t="str">
        <f t="shared" si="4"/>
        <v/>
      </c>
      <c r="D138" s="42" t="str">
        <f>IF(AND(Data!Q137&lt;&gt;"",Data!L137="Accept&amp;#233;"),Data!Q137,"")</f>
        <v/>
      </c>
      <c r="E138" s="61" t="str">
        <f>IF(AND(Data!R137&lt;&gt;"",Data!L137="Accept&amp;#233;"),Data!R137,"")</f>
        <v/>
      </c>
      <c r="F138" s="62" t="str">
        <f>IF(AND(Data!R137&lt;&gt;"",Data!L137="Accept&amp;#233;"),Data!S137,"")</f>
        <v/>
      </c>
      <c r="G138" s="63" t="str">
        <f>IF(Data!R137='Delivery Plan'!E138,Data!U137,"")</f>
        <v/>
      </c>
      <c r="H138" s="51"/>
      <c r="I138" s="60" t="str">
        <f t="shared" si="5"/>
        <v/>
      </c>
      <c r="J138" s="42" t="str">
        <f>IF(AND(E138=Data!R137,Data!AA137&lt;&gt;""),Data!AA137,"")</f>
        <v/>
      </c>
      <c r="K138" s="64" t="str">
        <f>IF(AND(E138=Data!R137,Data!AE137&lt;&gt;""),Data!AE137,"")</f>
        <v/>
      </c>
      <c r="L138" s="65" t="str">
        <f>IF(E138=Data!R137,Data!AI137,"")</f>
        <v/>
      </c>
      <c r="M138" s="65" t="str">
        <f>IF(E138=Data!R137,Data!AJ137,"")</f>
        <v/>
      </c>
      <c r="N138" s="66" t="str">
        <f>IF(AND(Data!R137&lt;&gt;"",Data!L137="Accept&amp;#233;"),Data!K137,"")</f>
        <v/>
      </c>
    </row>
    <row r="139" spans="1:14" ht="19.5" hidden="1" customHeight="1" x14ac:dyDescent="0.3">
      <c r="A139" s="59" t="e">
        <f>IF(AND(Data!#REF!&lt;&gt;"",Data!#REF!="Accept&amp;#233;"),Data!#REF!,"")</f>
        <v>#REF!</v>
      </c>
      <c r="B139" s="59" t="e">
        <f>IF(AND(Data!#REF!&lt;&gt;"",Data!#REF!="Accept&amp;#233;"),Data!#REF!,"")</f>
        <v>#REF!</v>
      </c>
      <c r="C139" s="60" t="e">
        <f t="shared" si="4"/>
        <v>#REF!</v>
      </c>
      <c r="D139" s="42" t="e">
        <f>IF(AND(Data!#REF!&lt;&gt;"",Data!#REF!="Accept&amp;#233;"),Data!#REF!,"")</f>
        <v>#REF!</v>
      </c>
      <c r="E139" s="61" t="e">
        <f>IF(AND(Data!#REF!&lt;&gt;"",Data!#REF!="Accept&amp;#233;"),Data!#REF!,"")</f>
        <v>#REF!</v>
      </c>
      <c r="F139" s="62" t="e">
        <f>IF(AND(Data!#REF!&lt;&gt;"",Data!#REF!="Accept&amp;#233;"),Data!#REF!,"")</f>
        <v>#REF!</v>
      </c>
      <c r="G139" s="63" t="e">
        <f>IF(Data!#REF!='Delivery Plan'!E139,Data!#REF!,"")</f>
        <v>#REF!</v>
      </c>
      <c r="H139" s="51"/>
      <c r="I139" s="60" t="e">
        <f t="shared" si="5"/>
        <v>#REF!</v>
      </c>
      <c r="J139" s="42" t="e">
        <f>IF(AND(E139=Data!#REF!,Data!#REF!&lt;&gt;""),Data!#REF!,"")</f>
        <v>#REF!</v>
      </c>
      <c r="K139" s="64" t="e">
        <f>IF(AND(E139=Data!#REF!,Data!#REF!&lt;&gt;""),Data!#REF!,"")</f>
        <v>#REF!</v>
      </c>
      <c r="L139" s="65" t="e">
        <f>IF(E139=Data!#REF!,Data!#REF!,"")</f>
        <v>#REF!</v>
      </c>
      <c r="M139" s="65" t="e">
        <f>IF(E139=Data!#REF!,Data!#REF!,"")</f>
        <v>#REF!</v>
      </c>
      <c r="N139" s="66" t="e">
        <f>IF(AND(Data!#REF!&lt;&gt;"",Data!#REF!="Accept&amp;#233;"),Data!#REF!,"")</f>
        <v>#REF!</v>
      </c>
    </row>
    <row r="140" spans="1:14" ht="19.5" hidden="1" customHeight="1" x14ac:dyDescent="0.3">
      <c r="A140" s="59" t="e">
        <f>IF(AND(Data!#REF!&lt;&gt;"",Data!#REF!="Accept&amp;#233;"),Data!#REF!,"")</f>
        <v>#REF!</v>
      </c>
      <c r="B140" s="59" t="e">
        <f>IF(AND(Data!#REF!&lt;&gt;"",Data!#REF!="Accept&amp;#233;"),Data!#REF!,"")</f>
        <v>#REF!</v>
      </c>
      <c r="C140" s="60" t="e">
        <f t="shared" si="4"/>
        <v>#REF!</v>
      </c>
      <c r="D140" s="42" t="e">
        <f>IF(AND(Data!#REF!&lt;&gt;"",Data!#REF!="Accept&amp;#233;"),Data!#REF!,"")</f>
        <v>#REF!</v>
      </c>
      <c r="E140" s="61" t="e">
        <f>IF(AND(Data!#REF!&lt;&gt;"",Data!#REF!="Accept&amp;#233;"),Data!#REF!,"")</f>
        <v>#REF!</v>
      </c>
      <c r="F140" s="62" t="e">
        <f>IF(AND(Data!#REF!&lt;&gt;"",Data!#REF!="Accept&amp;#233;"),Data!#REF!,"")</f>
        <v>#REF!</v>
      </c>
      <c r="G140" s="63" t="e">
        <f>IF(Data!#REF!='Delivery Plan'!E140,Data!#REF!,"")</f>
        <v>#REF!</v>
      </c>
      <c r="H140" s="51"/>
      <c r="I140" s="60" t="e">
        <f t="shared" si="5"/>
        <v>#REF!</v>
      </c>
      <c r="J140" s="42" t="e">
        <f>IF(AND(E140=Data!#REF!,Data!#REF!&lt;&gt;""),Data!#REF!,"")</f>
        <v>#REF!</v>
      </c>
      <c r="K140" s="64" t="e">
        <f>IF(AND(E140=Data!#REF!,Data!#REF!&lt;&gt;""),Data!#REF!,"")</f>
        <v>#REF!</v>
      </c>
      <c r="L140" s="65" t="e">
        <f>IF(E140=Data!#REF!,Data!#REF!,"")</f>
        <v>#REF!</v>
      </c>
      <c r="M140" s="65" t="e">
        <f>IF(E140=Data!#REF!,Data!#REF!,"")</f>
        <v>#REF!</v>
      </c>
      <c r="N140" s="66" t="e">
        <f>IF(AND(Data!#REF!&lt;&gt;"",Data!#REF!="Accept&amp;#233;"),Data!#REF!,"")</f>
        <v>#REF!</v>
      </c>
    </row>
    <row r="141" spans="1:14" ht="19.5" hidden="1" customHeight="1" x14ac:dyDescent="0.3">
      <c r="A141" s="59" t="e">
        <f>IF(AND(Data!#REF!&lt;&gt;"",Data!#REF!="Accept&amp;#233;"),Data!#REF!,"")</f>
        <v>#REF!</v>
      </c>
      <c r="B141" s="59" t="e">
        <f>IF(AND(Data!#REF!&lt;&gt;"",Data!#REF!="Accept&amp;#233;"),Data!#REF!,"")</f>
        <v>#REF!</v>
      </c>
      <c r="C141" s="60" t="e">
        <f t="shared" si="4"/>
        <v>#REF!</v>
      </c>
      <c r="D141" s="42" t="e">
        <f>IF(AND(Data!#REF!&lt;&gt;"",Data!#REF!="Accept&amp;#233;"),Data!#REF!,"")</f>
        <v>#REF!</v>
      </c>
      <c r="E141" s="61" t="e">
        <f>IF(AND(Data!#REF!&lt;&gt;"",Data!#REF!="Accept&amp;#233;"),Data!#REF!,"")</f>
        <v>#REF!</v>
      </c>
      <c r="F141" s="62" t="e">
        <f>IF(AND(Data!#REF!&lt;&gt;"",Data!#REF!="Accept&amp;#233;"),Data!#REF!,"")</f>
        <v>#REF!</v>
      </c>
      <c r="G141" s="63" t="e">
        <f>IF(Data!#REF!='Delivery Plan'!E141,Data!#REF!,"")</f>
        <v>#REF!</v>
      </c>
      <c r="H141" s="51"/>
      <c r="I141" s="60" t="e">
        <f t="shared" si="5"/>
        <v>#REF!</v>
      </c>
      <c r="J141" s="42" t="e">
        <f>IF(AND(E141=Data!#REF!,Data!#REF!&lt;&gt;""),Data!#REF!,"")</f>
        <v>#REF!</v>
      </c>
      <c r="K141" s="64" t="e">
        <f>IF(AND(E141=Data!#REF!,Data!#REF!&lt;&gt;""),Data!#REF!,"")</f>
        <v>#REF!</v>
      </c>
      <c r="L141" s="65" t="e">
        <f>IF(E141=Data!#REF!,Data!#REF!,"")</f>
        <v>#REF!</v>
      </c>
      <c r="M141" s="65" t="e">
        <f>IF(E141=Data!#REF!,Data!#REF!,"")</f>
        <v>#REF!</v>
      </c>
      <c r="N141" s="66" t="e">
        <f>IF(AND(Data!#REF!&lt;&gt;"",Data!#REF!="Accept&amp;#233;"),Data!#REF!,"")</f>
        <v>#REF!</v>
      </c>
    </row>
    <row r="142" spans="1:14" ht="19.5" hidden="1" customHeight="1" x14ac:dyDescent="0.3">
      <c r="A142" s="59" t="e">
        <f>IF(AND(Data!#REF!&lt;&gt;"",Data!#REF!="Accept&amp;#233;"),Data!#REF!,"")</f>
        <v>#REF!</v>
      </c>
      <c r="B142" s="59" t="e">
        <f>IF(AND(Data!#REF!&lt;&gt;"",Data!#REF!="Accept&amp;#233;"),Data!#REF!,"")</f>
        <v>#REF!</v>
      </c>
      <c r="C142" s="60" t="e">
        <f t="shared" si="4"/>
        <v>#REF!</v>
      </c>
      <c r="D142" s="42" t="e">
        <f>IF(AND(Data!#REF!&lt;&gt;"",Data!#REF!="Accept&amp;#233;"),Data!#REF!,"")</f>
        <v>#REF!</v>
      </c>
      <c r="E142" s="61" t="e">
        <f>IF(AND(Data!#REF!&lt;&gt;"",Data!#REF!="Accept&amp;#233;"),Data!#REF!,"")</f>
        <v>#REF!</v>
      </c>
      <c r="F142" s="62" t="e">
        <f>IF(AND(Data!#REF!&lt;&gt;"",Data!#REF!="Accept&amp;#233;"),Data!#REF!,"")</f>
        <v>#REF!</v>
      </c>
      <c r="G142" s="63" t="e">
        <f>IF(Data!#REF!='Delivery Plan'!E142,Data!#REF!,"")</f>
        <v>#REF!</v>
      </c>
      <c r="H142" s="51"/>
      <c r="I142" s="60" t="e">
        <f t="shared" si="5"/>
        <v>#REF!</v>
      </c>
      <c r="J142" s="42" t="e">
        <f>IF(AND(E142=Data!#REF!,Data!#REF!&lt;&gt;""),Data!#REF!,"")</f>
        <v>#REF!</v>
      </c>
      <c r="K142" s="64" t="e">
        <f>IF(AND(E142=Data!#REF!,Data!#REF!&lt;&gt;""),Data!#REF!,"")</f>
        <v>#REF!</v>
      </c>
      <c r="L142" s="65" t="e">
        <f>IF(E142=Data!#REF!,Data!#REF!,"")</f>
        <v>#REF!</v>
      </c>
      <c r="M142" s="65" t="e">
        <f>IF(E142=Data!#REF!,Data!#REF!,"")</f>
        <v>#REF!</v>
      </c>
      <c r="N142" s="66" t="e">
        <f>IF(AND(Data!#REF!&lt;&gt;"",Data!#REF!="Accept&amp;#233;"),Data!#REF!,"")</f>
        <v>#REF!</v>
      </c>
    </row>
    <row r="143" spans="1:14" ht="19.5" hidden="1" customHeight="1" x14ac:dyDescent="0.3">
      <c r="A143" s="59" t="e">
        <f>IF(AND(Data!#REF!&lt;&gt;"",Data!#REF!="Accept&amp;#233;"),Data!#REF!,"")</f>
        <v>#REF!</v>
      </c>
      <c r="B143" s="59" t="e">
        <f>IF(AND(Data!#REF!&lt;&gt;"",Data!#REF!="Accept&amp;#233;"),Data!#REF!,"")</f>
        <v>#REF!</v>
      </c>
      <c r="C143" s="60" t="e">
        <f t="shared" si="4"/>
        <v>#REF!</v>
      </c>
      <c r="D143" s="42" t="e">
        <f>IF(AND(Data!#REF!&lt;&gt;"",Data!#REF!="Accept&amp;#233;"),Data!#REF!,"")</f>
        <v>#REF!</v>
      </c>
      <c r="E143" s="61" t="e">
        <f>IF(AND(Data!#REF!&lt;&gt;"",Data!#REF!="Accept&amp;#233;"),Data!#REF!,"")</f>
        <v>#REF!</v>
      </c>
      <c r="F143" s="62" t="e">
        <f>IF(AND(Data!#REF!&lt;&gt;"",Data!#REF!="Accept&amp;#233;"),Data!#REF!,"")</f>
        <v>#REF!</v>
      </c>
      <c r="G143" s="63" t="e">
        <f>IF(Data!#REF!='Delivery Plan'!E143,Data!#REF!,"")</f>
        <v>#REF!</v>
      </c>
      <c r="H143" s="51"/>
      <c r="I143" s="60" t="e">
        <f t="shared" si="5"/>
        <v>#REF!</v>
      </c>
      <c r="J143" s="42" t="e">
        <f>IF(AND(E143=Data!#REF!,Data!#REF!&lt;&gt;""),Data!#REF!,"")</f>
        <v>#REF!</v>
      </c>
      <c r="K143" s="64" t="e">
        <f>IF(AND(E143=Data!#REF!,Data!#REF!&lt;&gt;""),Data!#REF!,"")</f>
        <v>#REF!</v>
      </c>
      <c r="L143" s="65" t="e">
        <f>IF(E143=Data!#REF!,Data!#REF!,"")</f>
        <v>#REF!</v>
      </c>
      <c r="M143" s="65" t="e">
        <f>IF(E143=Data!#REF!,Data!#REF!,"")</f>
        <v>#REF!</v>
      </c>
      <c r="N143" s="66" t="e">
        <f>IF(AND(Data!#REF!&lt;&gt;"",Data!#REF!="Accept&amp;#233;"),Data!#REF!,"")</f>
        <v>#REF!</v>
      </c>
    </row>
    <row r="144" spans="1:14" ht="19.5" hidden="1" customHeight="1" x14ac:dyDescent="0.3">
      <c r="A144" s="59" t="e">
        <f>IF(AND(Data!#REF!&lt;&gt;"",Data!#REF!="Accept&amp;#233;"),Data!#REF!,"")</f>
        <v>#REF!</v>
      </c>
      <c r="B144" s="59" t="e">
        <f>IF(AND(Data!#REF!&lt;&gt;"",Data!#REF!="Accept&amp;#233;"),Data!#REF!,"")</f>
        <v>#REF!</v>
      </c>
      <c r="C144" s="60" t="e">
        <f t="shared" si="4"/>
        <v>#REF!</v>
      </c>
      <c r="D144" s="42" t="e">
        <f>IF(AND(Data!#REF!&lt;&gt;"",Data!#REF!="Accept&amp;#233;"),Data!#REF!,"")</f>
        <v>#REF!</v>
      </c>
      <c r="E144" s="61" t="e">
        <f>IF(AND(Data!#REF!&lt;&gt;"",Data!#REF!="Accept&amp;#233;"),Data!#REF!,"")</f>
        <v>#REF!</v>
      </c>
      <c r="F144" s="62" t="e">
        <f>IF(AND(Data!#REF!&lt;&gt;"",Data!#REF!="Accept&amp;#233;"),Data!#REF!,"")</f>
        <v>#REF!</v>
      </c>
      <c r="G144" s="63" t="e">
        <f>IF(Data!#REF!='Delivery Plan'!E144,Data!#REF!,"")</f>
        <v>#REF!</v>
      </c>
      <c r="H144" s="51"/>
      <c r="I144" s="60" t="e">
        <f t="shared" si="5"/>
        <v>#REF!</v>
      </c>
      <c r="J144" s="42" t="e">
        <f>IF(AND(E144=Data!#REF!,Data!#REF!&lt;&gt;""),Data!#REF!,"")</f>
        <v>#REF!</v>
      </c>
      <c r="K144" s="64" t="e">
        <f>IF(AND(E144=Data!#REF!,Data!#REF!&lt;&gt;""),Data!#REF!,"")</f>
        <v>#REF!</v>
      </c>
      <c r="L144" s="65" t="e">
        <f>IF(E144=Data!#REF!,Data!#REF!,"")</f>
        <v>#REF!</v>
      </c>
      <c r="M144" s="65" t="e">
        <f>IF(E144=Data!#REF!,Data!#REF!,"")</f>
        <v>#REF!</v>
      </c>
      <c r="N144" s="66" t="e">
        <f>IF(AND(Data!#REF!&lt;&gt;"",Data!#REF!="Accept&amp;#233;"),Data!#REF!,"")</f>
        <v>#REF!</v>
      </c>
    </row>
    <row r="145" spans="1:14" ht="19.5" hidden="1" customHeight="1" x14ac:dyDescent="0.3">
      <c r="A145" s="59" t="e">
        <f>IF(AND(Data!#REF!&lt;&gt;"",Data!#REF!="Accept&amp;#233;"),Data!#REF!,"")</f>
        <v>#REF!</v>
      </c>
      <c r="B145" s="59" t="e">
        <f>IF(AND(Data!#REF!&lt;&gt;"",Data!#REF!="Accept&amp;#233;"),Data!#REF!,"")</f>
        <v>#REF!</v>
      </c>
      <c r="C145" s="60" t="e">
        <f t="shared" si="4"/>
        <v>#REF!</v>
      </c>
      <c r="D145" s="42" t="e">
        <f>IF(AND(Data!#REF!&lt;&gt;"",Data!#REF!="Accept&amp;#233;"),Data!#REF!,"")</f>
        <v>#REF!</v>
      </c>
      <c r="E145" s="61" t="e">
        <f>IF(AND(Data!#REF!&lt;&gt;"",Data!#REF!="Accept&amp;#233;"),Data!#REF!,"")</f>
        <v>#REF!</v>
      </c>
      <c r="F145" s="62" t="e">
        <f>IF(AND(Data!#REF!&lt;&gt;"",Data!#REF!="Accept&amp;#233;"),Data!#REF!,"")</f>
        <v>#REF!</v>
      </c>
      <c r="G145" s="63" t="e">
        <f>IF(Data!#REF!='Delivery Plan'!E145,Data!#REF!,"")</f>
        <v>#REF!</v>
      </c>
      <c r="H145" s="51"/>
      <c r="I145" s="60" t="e">
        <f t="shared" si="5"/>
        <v>#REF!</v>
      </c>
      <c r="J145" s="42" t="e">
        <f>IF(AND(E145=Data!#REF!,Data!#REF!&lt;&gt;""),Data!#REF!,"")</f>
        <v>#REF!</v>
      </c>
      <c r="K145" s="64" t="e">
        <f>IF(AND(E145=Data!#REF!,Data!#REF!&lt;&gt;""),Data!#REF!,"")</f>
        <v>#REF!</v>
      </c>
      <c r="L145" s="65" t="e">
        <f>IF(E145=Data!#REF!,Data!#REF!,"")</f>
        <v>#REF!</v>
      </c>
      <c r="M145" s="65" t="e">
        <f>IF(E145=Data!#REF!,Data!#REF!,"")</f>
        <v>#REF!</v>
      </c>
      <c r="N145" s="66" t="e">
        <f>IF(AND(Data!#REF!&lt;&gt;"",Data!#REF!="Accept&amp;#233;"),Data!#REF!,"")</f>
        <v>#REF!</v>
      </c>
    </row>
    <row r="146" spans="1:14" ht="19.5" hidden="1" customHeight="1" x14ac:dyDescent="0.3">
      <c r="A146" s="59" t="e">
        <f>IF(AND(Data!#REF!&lt;&gt;"",Data!#REF!="Accept&amp;#233;"),Data!#REF!,"")</f>
        <v>#REF!</v>
      </c>
      <c r="B146" s="59" t="e">
        <f>IF(AND(Data!#REF!&lt;&gt;"",Data!#REF!="Accept&amp;#233;"),Data!#REF!,"")</f>
        <v>#REF!</v>
      </c>
      <c r="C146" s="60" t="e">
        <f t="shared" si="4"/>
        <v>#REF!</v>
      </c>
      <c r="D146" s="42" t="e">
        <f>IF(AND(Data!#REF!&lt;&gt;"",Data!#REF!="Accept&amp;#233;"),Data!#REF!,"")</f>
        <v>#REF!</v>
      </c>
      <c r="E146" s="61" t="e">
        <f>IF(AND(Data!#REF!&lt;&gt;"",Data!#REF!="Accept&amp;#233;"),Data!#REF!,"")</f>
        <v>#REF!</v>
      </c>
      <c r="F146" s="62" t="e">
        <f>IF(AND(Data!#REF!&lt;&gt;"",Data!#REF!="Accept&amp;#233;"),Data!#REF!,"")</f>
        <v>#REF!</v>
      </c>
      <c r="G146" s="63" t="e">
        <f>IF(Data!#REF!='Delivery Plan'!E146,Data!#REF!,"")</f>
        <v>#REF!</v>
      </c>
      <c r="H146" s="51"/>
      <c r="I146" s="60" t="e">
        <f t="shared" si="5"/>
        <v>#REF!</v>
      </c>
      <c r="J146" s="42" t="e">
        <f>IF(AND(E146=Data!#REF!,Data!#REF!&lt;&gt;""),Data!#REF!,"")</f>
        <v>#REF!</v>
      </c>
      <c r="K146" s="64" t="e">
        <f>IF(AND(E146=Data!#REF!,Data!#REF!&lt;&gt;""),Data!#REF!,"")</f>
        <v>#REF!</v>
      </c>
      <c r="L146" s="65" t="e">
        <f>IF(E146=Data!#REF!,Data!#REF!,"")</f>
        <v>#REF!</v>
      </c>
      <c r="M146" s="65" t="e">
        <f>IF(E146=Data!#REF!,Data!#REF!,"")</f>
        <v>#REF!</v>
      </c>
      <c r="N146" s="66" t="e">
        <f>IF(AND(Data!#REF!&lt;&gt;"",Data!#REF!="Accept&amp;#233;"),Data!#REF!,"")</f>
        <v>#REF!</v>
      </c>
    </row>
    <row r="147" spans="1:14" ht="19.5" hidden="1" customHeight="1" x14ac:dyDescent="0.3">
      <c r="A147" s="59" t="e">
        <f>IF(AND(Data!#REF!&lt;&gt;"",Data!#REF!="Accept&amp;#233;"),Data!#REF!,"")</f>
        <v>#REF!</v>
      </c>
      <c r="B147" s="59" t="e">
        <f>IF(AND(Data!#REF!&lt;&gt;"",Data!#REF!="Accept&amp;#233;"),Data!#REF!,"")</f>
        <v>#REF!</v>
      </c>
      <c r="C147" s="60" t="e">
        <f t="shared" si="4"/>
        <v>#REF!</v>
      </c>
      <c r="D147" s="42" t="e">
        <f>IF(AND(Data!#REF!&lt;&gt;"",Data!#REF!="Accept&amp;#233;"),Data!#REF!,"")</f>
        <v>#REF!</v>
      </c>
      <c r="E147" s="61" t="e">
        <f>IF(AND(Data!#REF!&lt;&gt;"",Data!#REF!="Accept&amp;#233;"),Data!#REF!,"")</f>
        <v>#REF!</v>
      </c>
      <c r="F147" s="62" t="e">
        <f>IF(AND(Data!#REF!&lt;&gt;"",Data!#REF!="Accept&amp;#233;"),Data!#REF!,"")</f>
        <v>#REF!</v>
      </c>
      <c r="G147" s="63" t="e">
        <f>IF(Data!#REF!='Delivery Plan'!E147,Data!#REF!,"")</f>
        <v>#REF!</v>
      </c>
      <c r="H147" s="51"/>
      <c r="I147" s="60" t="e">
        <f t="shared" si="5"/>
        <v>#REF!</v>
      </c>
      <c r="J147" s="42" t="e">
        <f>IF(AND(E147=Data!#REF!,Data!#REF!&lt;&gt;""),Data!#REF!,"")</f>
        <v>#REF!</v>
      </c>
      <c r="K147" s="64" t="e">
        <f>IF(AND(E147=Data!#REF!,Data!#REF!&lt;&gt;""),Data!#REF!,"")</f>
        <v>#REF!</v>
      </c>
      <c r="L147" s="65" t="e">
        <f>IF(E147=Data!#REF!,Data!#REF!,"")</f>
        <v>#REF!</v>
      </c>
      <c r="M147" s="65" t="e">
        <f>IF(E147=Data!#REF!,Data!#REF!,"")</f>
        <v>#REF!</v>
      </c>
      <c r="N147" s="66" t="e">
        <f>IF(AND(Data!#REF!&lt;&gt;"",Data!#REF!="Accept&amp;#233;"),Data!#REF!,"")</f>
        <v>#REF!</v>
      </c>
    </row>
    <row r="148" spans="1:14" ht="19.5" hidden="1" customHeight="1" x14ac:dyDescent="0.3">
      <c r="A148" s="59" t="e">
        <f>IF(AND(Data!#REF!&lt;&gt;"",Data!#REF!="Accept&amp;#233;"),Data!#REF!,"")</f>
        <v>#REF!</v>
      </c>
      <c r="B148" s="59" t="e">
        <f>IF(AND(Data!#REF!&lt;&gt;"",Data!#REF!="Accept&amp;#233;"),Data!#REF!,"")</f>
        <v>#REF!</v>
      </c>
      <c r="C148" s="60" t="e">
        <f t="shared" si="4"/>
        <v>#REF!</v>
      </c>
      <c r="D148" s="42" t="e">
        <f>IF(AND(Data!#REF!&lt;&gt;"",Data!#REF!="Accept&amp;#233;"),Data!#REF!,"")</f>
        <v>#REF!</v>
      </c>
      <c r="E148" s="61" t="e">
        <f>IF(AND(Data!#REF!&lt;&gt;"",Data!#REF!="Accept&amp;#233;"),Data!#REF!,"")</f>
        <v>#REF!</v>
      </c>
      <c r="F148" s="62" t="e">
        <f>IF(AND(Data!#REF!&lt;&gt;"",Data!#REF!="Accept&amp;#233;"),Data!#REF!,"")</f>
        <v>#REF!</v>
      </c>
      <c r="G148" s="63" t="e">
        <f>IF(Data!#REF!='Delivery Plan'!E148,Data!#REF!,"")</f>
        <v>#REF!</v>
      </c>
      <c r="H148" s="51"/>
      <c r="I148" s="60" t="e">
        <f t="shared" si="5"/>
        <v>#REF!</v>
      </c>
      <c r="J148" s="42" t="e">
        <f>IF(AND(E148=Data!#REF!,Data!#REF!&lt;&gt;""),Data!#REF!,"")</f>
        <v>#REF!</v>
      </c>
      <c r="K148" s="64" t="e">
        <f>IF(AND(E148=Data!#REF!,Data!#REF!&lt;&gt;""),Data!#REF!,"")</f>
        <v>#REF!</v>
      </c>
      <c r="L148" s="65" t="e">
        <f>IF(E148=Data!#REF!,Data!#REF!,"")</f>
        <v>#REF!</v>
      </c>
      <c r="M148" s="65" t="e">
        <f>IF(E148=Data!#REF!,Data!#REF!,"")</f>
        <v>#REF!</v>
      </c>
      <c r="N148" s="66" t="e">
        <f>IF(AND(Data!#REF!&lt;&gt;"",Data!#REF!="Accept&amp;#233;"),Data!#REF!,"")</f>
        <v>#REF!</v>
      </c>
    </row>
    <row r="149" spans="1:14" ht="19.5" hidden="1" customHeight="1" x14ac:dyDescent="0.3">
      <c r="A149" s="59" t="e">
        <f>IF(AND(Data!#REF!&lt;&gt;"",Data!#REF!="Accept&amp;#233;"),Data!#REF!,"")</f>
        <v>#REF!</v>
      </c>
      <c r="B149" s="59" t="e">
        <f>IF(AND(Data!#REF!&lt;&gt;"",Data!#REF!="Accept&amp;#233;"),Data!#REF!,"")</f>
        <v>#REF!</v>
      </c>
      <c r="C149" s="60" t="e">
        <f t="shared" si="4"/>
        <v>#REF!</v>
      </c>
      <c r="D149" s="42" t="e">
        <f>IF(AND(Data!#REF!&lt;&gt;"",Data!#REF!="Accept&amp;#233;"),Data!#REF!,"")</f>
        <v>#REF!</v>
      </c>
      <c r="E149" s="61" t="e">
        <f>IF(AND(Data!#REF!&lt;&gt;"",Data!#REF!="Accept&amp;#233;"),Data!#REF!,"")</f>
        <v>#REF!</v>
      </c>
      <c r="F149" s="62" t="e">
        <f>IF(AND(Data!#REF!&lt;&gt;"",Data!#REF!="Accept&amp;#233;"),Data!#REF!,"")</f>
        <v>#REF!</v>
      </c>
      <c r="G149" s="63" t="e">
        <f>IF(Data!#REF!='Delivery Plan'!E149,Data!#REF!,"")</f>
        <v>#REF!</v>
      </c>
      <c r="H149" s="51"/>
      <c r="I149" s="60" t="e">
        <f t="shared" si="5"/>
        <v>#REF!</v>
      </c>
      <c r="J149" s="42" t="e">
        <f>IF(AND(E149=Data!#REF!,Data!#REF!&lt;&gt;""),Data!#REF!,"")</f>
        <v>#REF!</v>
      </c>
      <c r="K149" s="64" t="e">
        <f>IF(AND(E149=Data!#REF!,Data!#REF!&lt;&gt;""),Data!#REF!,"")</f>
        <v>#REF!</v>
      </c>
      <c r="L149" s="65" t="e">
        <f>IF(E149=Data!#REF!,Data!#REF!,"")</f>
        <v>#REF!</v>
      </c>
      <c r="M149" s="65" t="e">
        <f>IF(E149=Data!#REF!,Data!#REF!,"")</f>
        <v>#REF!</v>
      </c>
      <c r="N149" s="66" t="e">
        <f>IF(AND(Data!#REF!&lt;&gt;"",Data!#REF!="Accept&amp;#233;"),Data!#REF!,"")</f>
        <v>#REF!</v>
      </c>
    </row>
    <row r="150" spans="1:14" ht="19.5" hidden="1" customHeight="1" x14ac:dyDescent="0.3">
      <c r="A150" s="59" t="e">
        <f>IF(AND(Data!#REF!&lt;&gt;"",Data!#REF!="Accept&amp;#233;"),Data!#REF!,"")</f>
        <v>#REF!</v>
      </c>
      <c r="B150" s="59" t="e">
        <f>IF(AND(Data!#REF!&lt;&gt;"",Data!#REF!="Accept&amp;#233;"),Data!#REF!,"")</f>
        <v>#REF!</v>
      </c>
      <c r="C150" s="60" t="e">
        <f t="shared" si="4"/>
        <v>#REF!</v>
      </c>
      <c r="D150" s="42" t="e">
        <f>IF(AND(Data!#REF!&lt;&gt;"",Data!#REF!="Accept&amp;#233;"),Data!#REF!,"")</f>
        <v>#REF!</v>
      </c>
      <c r="E150" s="61" t="e">
        <f>IF(AND(Data!#REF!&lt;&gt;"",Data!#REF!="Accept&amp;#233;"),Data!#REF!,"")</f>
        <v>#REF!</v>
      </c>
      <c r="F150" s="62" t="e">
        <f>IF(AND(Data!#REF!&lt;&gt;"",Data!#REF!="Accept&amp;#233;"),Data!#REF!,"")</f>
        <v>#REF!</v>
      </c>
      <c r="G150" s="63" t="e">
        <f>IF(Data!#REF!='Delivery Plan'!E150,Data!#REF!,"")</f>
        <v>#REF!</v>
      </c>
      <c r="H150" s="51"/>
      <c r="I150" s="60" t="e">
        <f t="shared" si="5"/>
        <v>#REF!</v>
      </c>
      <c r="J150" s="42" t="e">
        <f>IF(AND(E150=Data!#REF!,Data!#REF!&lt;&gt;""),Data!#REF!,"")</f>
        <v>#REF!</v>
      </c>
      <c r="K150" s="64" t="e">
        <f>IF(AND(E150=Data!#REF!,Data!#REF!&lt;&gt;""),Data!#REF!,"")</f>
        <v>#REF!</v>
      </c>
      <c r="L150" s="65" t="e">
        <f>IF(E150=Data!#REF!,Data!#REF!,"")</f>
        <v>#REF!</v>
      </c>
      <c r="M150" s="65" t="e">
        <f>IF(E150=Data!#REF!,Data!#REF!,"")</f>
        <v>#REF!</v>
      </c>
      <c r="N150" s="66" t="e">
        <f>IF(AND(Data!#REF!&lt;&gt;"",Data!#REF!="Accept&amp;#233;"),Data!#REF!,"")</f>
        <v>#REF!</v>
      </c>
    </row>
    <row r="151" spans="1:14" ht="19.5" hidden="1" customHeight="1" x14ac:dyDescent="0.3">
      <c r="A151" s="59" t="e">
        <f>IF(AND(Data!#REF!&lt;&gt;"",Data!#REF!="Accept&amp;#233;"),Data!#REF!,"")</f>
        <v>#REF!</v>
      </c>
      <c r="B151" s="59" t="e">
        <f>IF(AND(Data!#REF!&lt;&gt;"",Data!#REF!="Accept&amp;#233;"),Data!#REF!,"")</f>
        <v>#REF!</v>
      </c>
      <c r="C151" s="60" t="e">
        <f t="shared" si="4"/>
        <v>#REF!</v>
      </c>
      <c r="D151" s="42" t="e">
        <f>IF(AND(Data!#REF!&lt;&gt;"",Data!#REF!="Accept&amp;#233;"),Data!#REF!,"")</f>
        <v>#REF!</v>
      </c>
      <c r="E151" s="61" t="e">
        <f>IF(AND(Data!#REF!&lt;&gt;"",Data!#REF!="Accept&amp;#233;"),Data!#REF!,"")</f>
        <v>#REF!</v>
      </c>
      <c r="F151" s="62" t="e">
        <f>IF(AND(Data!#REF!&lt;&gt;"",Data!#REF!="Accept&amp;#233;"),Data!#REF!,"")</f>
        <v>#REF!</v>
      </c>
      <c r="G151" s="63" t="e">
        <f>IF(Data!#REF!='Delivery Plan'!E151,Data!#REF!,"")</f>
        <v>#REF!</v>
      </c>
      <c r="H151" s="51"/>
      <c r="I151" s="60" t="e">
        <f t="shared" si="5"/>
        <v>#REF!</v>
      </c>
      <c r="J151" s="42" t="e">
        <f>IF(AND(E151=Data!#REF!,Data!#REF!&lt;&gt;""),Data!#REF!,"")</f>
        <v>#REF!</v>
      </c>
      <c r="K151" s="64" t="e">
        <f>IF(AND(E151=Data!#REF!,Data!#REF!&lt;&gt;""),Data!#REF!,"")</f>
        <v>#REF!</v>
      </c>
      <c r="L151" s="65" t="e">
        <f>IF(E151=Data!#REF!,Data!#REF!,"")</f>
        <v>#REF!</v>
      </c>
      <c r="M151" s="65" t="e">
        <f>IF(E151=Data!#REF!,Data!#REF!,"")</f>
        <v>#REF!</v>
      </c>
      <c r="N151" s="66" t="e">
        <f>IF(AND(Data!#REF!&lt;&gt;"",Data!#REF!="Accept&amp;#233;"),Data!#REF!,"")</f>
        <v>#REF!</v>
      </c>
    </row>
    <row r="152" spans="1:14" ht="19.5" hidden="1" customHeight="1" x14ac:dyDescent="0.3">
      <c r="A152" s="59" t="e">
        <f>IF(AND(Data!#REF!&lt;&gt;"",Data!#REF!="Accept&amp;#233;"),Data!#REF!,"")</f>
        <v>#REF!</v>
      </c>
      <c r="B152" s="59" t="e">
        <f>IF(AND(Data!#REF!&lt;&gt;"",Data!#REF!="Accept&amp;#233;"),Data!#REF!,"")</f>
        <v>#REF!</v>
      </c>
      <c r="C152" s="60" t="e">
        <f t="shared" si="4"/>
        <v>#REF!</v>
      </c>
      <c r="D152" s="42" t="e">
        <f>IF(AND(Data!#REF!&lt;&gt;"",Data!#REF!="Accept&amp;#233;"),Data!#REF!,"")</f>
        <v>#REF!</v>
      </c>
      <c r="E152" s="61" t="e">
        <f>IF(AND(Data!#REF!&lt;&gt;"",Data!#REF!="Accept&amp;#233;"),Data!#REF!,"")</f>
        <v>#REF!</v>
      </c>
      <c r="F152" s="62" t="e">
        <f>IF(AND(Data!#REF!&lt;&gt;"",Data!#REF!="Accept&amp;#233;"),Data!#REF!,"")</f>
        <v>#REF!</v>
      </c>
      <c r="G152" s="63" t="e">
        <f>IF(Data!#REF!='Delivery Plan'!E152,Data!#REF!,"")</f>
        <v>#REF!</v>
      </c>
      <c r="H152" s="51"/>
      <c r="I152" s="60" t="e">
        <f t="shared" si="5"/>
        <v>#REF!</v>
      </c>
      <c r="J152" s="42" t="e">
        <f>IF(AND(E152=Data!#REF!,Data!#REF!&lt;&gt;""),Data!#REF!,"")</f>
        <v>#REF!</v>
      </c>
      <c r="K152" s="64" t="e">
        <f>IF(AND(E152=Data!#REF!,Data!#REF!&lt;&gt;""),Data!#REF!,"")</f>
        <v>#REF!</v>
      </c>
      <c r="L152" s="65" t="e">
        <f>IF(E152=Data!#REF!,Data!#REF!,"")</f>
        <v>#REF!</v>
      </c>
      <c r="M152" s="65" t="e">
        <f>IF(E152=Data!#REF!,Data!#REF!,"")</f>
        <v>#REF!</v>
      </c>
      <c r="N152" s="66" t="e">
        <f>IF(AND(Data!#REF!&lt;&gt;"",Data!#REF!="Accept&amp;#233;"),Data!#REF!,"")</f>
        <v>#REF!</v>
      </c>
    </row>
    <row r="153" spans="1:14" ht="19.5" hidden="1" customHeight="1" x14ac:dyDescent="0.3">
      <c r="A153" s="59" t="e">
        <f>IF(AND(Data!#REF!&lt;&gt;"",Data!#REF!="Accept&amp;#233;"),Data!#REF!,"")</f>
        <v>#REF!</v>
      </c>
      <c r="B153" s="59" t="e">
        <f>IF(AND(Data!#REF!&lt;&gt;"",Data!#REF!="Accept&amp;#233;"),Data!#REF!,"")</f>
        <v>#REF!</v>
      </c>
      <c r="C153" s="60" t="e">
        <f t="shared" si="4"/>
        <v>#REF!</v>
      </c>
      <c r="D153" s="42" t="e">
        <f>IF(AND(Data!#REF!&lt;&gt;"",Data!#REF!="Accept&amp;#233;"),Data!#REF!,"")</f>
        <v>#REF!</v>
      </c>
      <c r="E153" s="61" t="e">
        <f>IF(AND(Data!#REF!&lt;&gt;"",Data!#REF!="Accept&amp;#233;"),Data!#REF!,"")</f>
        <v>#REF!</v>
      </c>
      <c r="F153" s="62" t="e">
        <f>IF(AND(Data!#REF!&lt;&gt;"",Data!#REF!="Accept&amp;#233;"),Data!#REF!,"")</f>
        <v>#REF!</v>
      </c>
      <c r="G153" s="63" t="e">
        <f>IF(Data!#REF!='Delivery Plan'!E153,Data!#REF!,"")</f>
        <v>#REF!</v>
      </c>
      <c r="H153" s="51"/>
      <c r="I153" s="60" t="e">
        <f t="shared" si="5"/>
        <v>#REF!</v>
      </c>
      <c r="J153" s="42" t="e">
        <f>IF(AND(E153=Data!#REF!,Data!#REF!&lt;&gt;""),Data!#REF!,"")</f>
        <v>#REF!</v>
      </c>
      <c r="K153" s="64" t="e">
        <f>IF(AND(E153=Data!#REF!,Data!#REF!&lt;&gt;""),Data!#REF!,"")</f>
        <v>#REF!</v>
      </c>
      <c r="L153" s="65" t="e">
        <f>IF(E153=Data!#REF!,Data!#REF!,"")</f>
        <v>#REF!</v>
      </c>
      <c r="M153" s="65" t="e">
        <f>IF(E153=Data!#REF!,Data!#REF!,"")</f>
        <v>#REF!</v>
      </c>
      <c r="N153" s="66" t="e">
        <f>IF(AND(Data!#REF!&lt;&gt;"",Data!#REF!="Accept&amp;#233;"),Data!#REF!,"")</f>
        <v>#REF!</v>
      </c>
    </row>
    <row r="154" spans="1:14" ht="19.5" hidden="1" customHeight="1" x14ac:dyDescent="0.3">
      <c r="A154" s="59" t="e">
        <f>IF(AND(Data!#REF!&lt;&gt;"",Data!#REF!="Accept&amp;#233;"),Data!#REF!,"")</f>
        <v>#REF!</v>
      </c>
      <c r="B154" s="59" t="e">
        <f>IF(AND(Data!#REF!&lt;&gt;"",Data!#REF!="Accept&amp;#233;"),Data!#REF!,"")</f>
        <v>#REF!</v>
      </c>
      <c r="C154" s="60" t="e">
        <f t="shared" si="4"/>
        <v>#REF!</v>
      </c>
      <c r="D154" s="42" t="e">
        <f>IF(AND(Data!#REF!&lt;&gt;"",Data!#REF!="Accept&amp;#233;"),Data!#REF!,"")</f>
        <v>#REF!</v>
      </c>
      <c r="E154" s="61" t="e">
        <f>IF(AND(Data!#REF!&lt;&gt;"",Data!#REF!="Accept&amp;#233;"),Data!#REF!,"")</f>
        <v>#REF!</v>
      </c>
      <c r="F154" s="62" t="e">
        <f>IF(AND(Data!#REF!&lt;&gt;"",Data!#REF!="Accept&amp;#233;"),Data!#REF!,"")</f>
        <v>#REF!</v>
      </c>
      <c r="G154" s="63" t="e">
        <f>IF(Data!#REF!='Delivery Plan'!E154,Data!#REF!,"")</f>
        <v>#REF!</v>
      </c>
      <c r="H154" s="51"/>
      <c r="I154" s="60" t="e">
        <f t="shared" si="5"/>
        <v>#REF!</v>
      </c>
      <c r="J154" s="42" t="e">
        <f>IF(AND(E154=Data!#REF!,Data!#REF!&lt;&gt;""),Data!#REF!,"")</f>
        <v>#REF!</v>
      </c>
      <c r="K154" s="64" t="e">
        <f>IF(AND(E154=Data!#REF!,Data!#REF!&lt;&gt;""),Data!#REF!,"")</f>
        <v>#REF!</v>
      </c>
      <c r="L154" s="65" t="e">
        <f>IF(E154=Data!#REF!,Data!#REF!,"")</f>
        <v>#REF!</v>
      </c>
      <c r="M154" s="65" t="e">
        <f>IF(E154=Data!#REF!,Data!#REF!,"")</f>
        <v>#REF!</v>
      </c>
      <c r="N154" s="66" t="e">
        <f>IF(AND(Data!#REF!&lt;&gt;"",Data!#REF!="Accept&amp;#233;"),Data!#REF!,"")</f>
        <v>#REF!</v>
      </c>
    </row>
    <row r="155" spans="1:14" ht="19.5" hidden="1" customHeight="1" x14ac:dyDescent="0.3">
      <c r="A155" s="59" t="e">
        <f>IF(AND(Data!#REF!&lt;&gt;"",Data!#REF!="Accept&amp;#233;"),Data!#REF!,"")</f>
        <v>#REF!</v>
      </c>
      <c r="B155" s="59" t="e">
        <f>IF(AND(Data!#REF!&lt;&gt;"",Data!#REF!="Accept&amp;#233;"),Data!#REF!,"")</f>
        <v>#REF!</v>
      </c>
      <c r="C155" s="60" t="e">
        <f t="shared" si="4"/>
        <v>#REF!</v>
      </c>
      <c r="D155" s="42" t="e">
        <f>IF(AND(Data!#REF!&lt;&gt;"",Data!#REF!="Accept&amp;#233;"),Data!#REF!,"")</f>
        <v>#REF!</v>
      </c>
      <c r="E155" s="61" t="e">
        <f>IF(AND(Data!#REF!&lt;&gt;"",Data!#REF!="Accept&amp;#233;"),Data!#REF!,"")</f>
        <v>#REF!</v>
      </c>
      <c r="F155" s="62" t="e">
        <f>IF(AND(Data!#REF!&lt;&gt;"",Data!#REF!="Accept&amp;#233;"),Data!#REF!,"")</f>
        <v>#REF!</v>
      </c>
      <c r="G155" s="63" t="e">
        <f>IF(Data!#REF!='Delivery Plan'!E155,Data!#REF!,"")</f>
        <v>#REF!</v>
      </c>
      <c r="H155" s="51"/>
      <c r="I155" s="60" t="e">
        <f t="shared" si="5"/>
        <v>#REF!</v>
      </c>
      <c r="J155" s="42" t="e">
        <f>IF(AND(E155=Data!#REF!,Data!#REF!&lt;&gt;""),Data!#REF!,"")</f>
        <v>#REF!</v>
      </c>
      <c r="K155" s="64" t="e">
        <f>IF(AND(E155=Data!#REF!,Data!#REF!&lt;&gt;""),Data!#REF!,"")</f>
        <v>#REF!</v>
      </c>
      <c r="L155" s="65" t="e">
        <f>IF(E155=Data!#REF!,Data!#REF!,"")</f>
        <v>#REF!</v>
      </c>
      <c r="M155" s="65" t="e">
        <f>IF(E155=Data!#REF!,Data!#REF!,"")</f>
        <v>#REF!</v>
      </c>
      <c r="N155" s="66" t="e">
        <f>IF(AND(Data!#REF!&lt;&gt;"",Data!#REF!="Accept&amp;#233;"),Data!#REF!,"")</f>
        <v>#REF!</v>
      </c>
    </row>
    <row r="156" spans="1:14" ht="19.5" hidden="1" customHeight="1" x14ac:dyDescent="0.3">
      <c r="A156" s="59" t="e">
        <f>IF(AND(Data!#REF!&lt;&gt;"",Data!#REF!="Accept&amp;#233;"),Data!#REF!,"")</f>
        <v>#REF!</v>
      </c>
      <c r="B156" s="59" t="e">
        <f>IF(AND(Data!#REF!&lt;&gt;"",Data!#REF!="Accept&amp;#233;"),Data!#REF!,"")</f>
        <v>#REF!</v>
      </c>
      <c r="C156" s="60" t="e">
        <f t="shared" si="4"/>
        <v>#REF!</v>
      </c>
      <c r="D156" s="42" t="e">
        <f>IF(AND(Data!#REF!&lt;&gt;"",Data!#REF!="Accept&amp;#233;"),Data!#REF!,"")</f>
        <v>#REF!</v>
      </c>
      <c r="E156" s="61" t="e">
        <f>IF(AND(Data!#REF!&lt;&gt;"",Data!#REF!="Accept&amp;#233;"),Data!#REF!,"")</f>
        <v>#REF!</v>
      </c>
      <c r="F156" s="62" t="e">
        <f>IF(AND(Data!#REF!&lt;&gt;"",Data!#REF!="Accept&amp;#233;"),Data!#REF!,"")</f>
        <v>#REF!</v>
      </c>
      <c r="G156" s="63" t="e">
        <f>IF(Data!#REF!='Delivery Plan'!E156,Data!#REF!,"")</f>
        <v>#REF!</v>
      </c>
      <c r="H156" s="51"/>
      <c r="I156" s="60" t="e">
        <f t="shared" si="5"/>
        <v>#REF!</v>
      </c>
      <c r="J156" s="42" t="e">
        <f>IF(AND(E156=Data!#REF!,Data!#REF!&lt;&gt;""),Data!#REF!,"")</f>
        <v>#REF!</v>
      </c>
      <c r="K156" s="64" t="e">
        <f>IF(AND(E156=Data!#REF!,Data!#REF!&lt;&gt;""),Data!#REF!,"")</f>
        <v>#REF!</v>
      </c>
      <c r="L156" s="65" t="e">
        <f>IF(E156=Data!#REF!,Data!#REF!,"")</f>
        <v>#REF!</v>
      </c>
      <c r="M156" s="65" t="e">
        <f>IF(E156=Data!#REF!,Data!#REF!,"")</f>
        <v>#REF!</v>
      </c>
      <c r="N156" s="66" t="e">
        <f>IF(AND(Data!#REF!&lt;&gt;"",Data!#REF!="Accept&amp;#233;"),Data!#REF!,"")</f>
        <v>#REF!</v>
      </c>
    </row>
    <row r="157" spans="1:14" ht="19.5" hidden="1" customHeight="1" x14ac:dyDescent="0.3">
      <c r="A157" s="59" t="e">
        <f>IF(AND(Data!#REF!&lt;&gt;"",Data!#REF!="Accept&amp;#233;"),Data!#REF!,"")</f>
        <v>#REF!</v>
      </c>
      <c r="B157" s="59" t="e">
        <f>IF(AND(Data!#REF!&lt;&gt;"",Data!#REF!="Accept&amp;#233;"),Data!#REF!,"")</f>
        <v>#REF!</v>
      </c>
      <c r="C157" s="60" t="e">
        <f t="shared" si="4"/>
        <v>#REF!</v>
      </c>
      <c r="D157" s="42" t="e">
        <f>IF(AND(Data!#REF!&lt;&gt;"",Data!#REF!="Accept&amp;#233;"),Data!#REF!,"")</f>
        <v>#REF!</v>
      </c>
      <c r="E157" s="61" t="e">
        <f>IF(AND(Data!#REF!&lt;&gt;"",Data!#REF!="Accept&amp;#233;"),Data!#REF!,"")</f>
        <v>#REF!</v>
      </c>
      <c r="F157" s="62" t="e">
        <f>IF(AND(Data!#REF!&lt;&gt;"",Data!#REF!="Accept&amp;#233;"),Data!#REF!,"")</f>
        <v>#REF!</v>
      </c>
      <c r="G157" s="63" t="e">
        <f>IF(Data!#REF!='Delivery Plan'!E157,Data!#REF!,"")</f>
        <v>#REF!</v>
      </c>
      <c r="H157" s="51"/>
      <c r="I157" s="60" t="e">
        <f t="shared" si="5"/>
        <v>#REF!</v>
      </c>
      <c r="J157" s="42" t="e">
        <f>IF(AND(E157=Data!#REF!,Data!#REF!&lt;&gt;""),Data!#REF!,"")</f>
        <v>#REF!</v>
      </c>
      <c r="K157" s="64" t="e">
        <f>IF(AND(E157=Data!#REF!,Data!#REF!&lt;&gt;""),Data!#REF!,"")</f>
        <v>#REF!</v>
      </c>
      <c r="L157" s="65" t="e">
        <f>IF(E157=Data!#REF!,Data!#REF!,"")</f>
        <v>#REF!</v>
      </c>
      <c r="M157" s="65" t="e">
        <f>IF(E157=Data!#REF!,Data!#REF!,"")</f>
        <v>#REF!</v>
      </c>
      <c r="N157" s="66" t="e">
        <f>IF(AND(Data!#REF!&lt;&gt;"",Data!#REF!="Accept&amp;#233;"),Data!#REF!,"")</f>
        <v>#REF!</v>
      </c>
    </row>
    <row r="158" spans="1:14" ht="19.5" hidden="1" customHeight="1" x14ac:dyDescent="0.3">
      <c r="A158" s="59" t="e">
        <f>IF(AND(Data!#REF!&lt;&gt;"",Data!#REF!="Accept&amp;#233;"),Data!#REF!,"")</f>
        <v>#REF!</v>
      </c>
      <c r="B158" s="59" t="e">
        <f>IF(AND(Data!#REF!&lt;&gt;"",Data!#REF!="Accept&amp;#233;"),Data!#REF!,"")</f>
        <v>#REF!</v>
      </c>
      <c r="C158" s="60" t="e">
        <f t="shared" si="4"/>
        <v>#REF!</v>
      </c>
      <c r="D158" s="42" t="e">
        <f>IF(AND(Data!#REF!&lt;&gt;"",Data!#REF!="Accept&amp;#233;"),Data!#REF!,"")</f>
        <v>#REF!</v>
      </c>
      <c r="E158" s="61" t="e">
        <f>IF(AND(Data!#REF!&lt;&gt;"",Data!#REF!="Accept&amp;#233;"),Data!#REF!,"")</f>
        <v>#REF!</v>
      </c>
      <c r="F158" s="62" t="e">
        <f>IF(AND(Data!#REF!&lt;&gt;"",Data!#REF!="Accept&amp;#233;"),Data!#REF!,"")</f>
        <v>#REF!</v>
      </c>
      <c r="G158" s="63" t="e">
        <f>IF(Data!#REF!='Delivery Plan'!E158,Data!#REF!,"")</f>
        <v>#REF!</v>
      </c>
      <c r="H158" s="51"/>
      <c r="I158" s="60" t="e">
        <f t="shared" si="5"/>
        <v>#REF!</v>
      </c>
      <c r="J158" s="42" t="e">
        <f>IF(AND(E158=Data!#REF!,Data!#REF!&lt;&gt;""),Data!#REF!,"")</f>
        <v>#REF!</v>
      </c>
      <c r="K158" s="64" t="e">
        <f>IF(AND(E158=Data!#REF!,Data!#REF!&lt;&gt;""),Data!#REF!,"")</f>
        <v>#REF!</v>
      </c>
      <c r="L158" s="65" t="e">
        <f>IF(E158=Data!#REF!,Data!#REF!,"")</f>
        <v>#REF!</v>
      </c>
      <c r="M158" s="65" t="e">
        <f>IF(E158=Data!#REF!,Data!#REF!,"")</f>
        <v>#REF!</v>
      </c>
      <c r="N158" s="66" t="e">
        <f>IF(AND(Data!#REF!&lt;&gt;"",Data!#REF!="Accept&amp;#233;"),Data!#REF!,"")</f>
        <v>#REF!</v>
      </c>
    </row>
    <row r="159" spans="1:14" ht="19.5" hidden="1" customHeight="1" x14ac:dyDescent="0.3">
      <c r="A159" s="59" t="e">
        <f>IF(AND(Data!#REF!&lt;&gt;"",Data!#REF!="Accept&amp;#233;"),Data!#REF!,"")</f>
        <v>#REF!</v>
      </c>
      <c r="B159" s="59" t="e">
        <f>IF(AND(Data!#REF!&lt;&gt;"",Data!#REF!="Accept&amp;#233;"),Data!#REF!,"")</f>
        <v>#REF!</v>
      </c>
      <c r="C159" s="60" t="e">
        <f t="shared" si="4"/>
        <v>#REF!</v>
      </c>
      <c r="D159" s="42" t="e">
        <f>IF(AND(Data!#REF!&lt;&gt;"",Data!#REF!="Accept&amp;#233;"),Data!#REF!,"")</f>
        <v>#REF!</v>
      </c>
      <c r="E159" s="61" t="e">
        <f>IF(AND(Data!#REF!&lt;&gt;"",Data!#REF!="Accept&amp;#233;"),Data!#REF!,"")</f>
        <v>#REF!</v>
      </c>
      <c r="F159" s="62" t="e">
        <f>IF(AND(Data!#REF!&lt;&gt;"",Data!#REF!="Accept&amp;#233;"),Data!#REF!,"")</f>
        <v>#REF!</v>
      </c>
      <c r="G159" s="63" t="e">
        <f>IF(Data!#REF!='Delivery Plan'!E159,Data!#REF!,"")</f>
        <v>#REF!</v>
      </c>
      <c r="H159" s="51"/>
      <c r="I159" s="60" t="e">
        <f t="shared" si="5"/>
        <v>#REF!</v>
      </c>
      <c r="J159" s="42" t="e">
        <f>IF(AND(E159=Data!#REF!,Data!#REF!&lt;&gt;""),Data!#REF!,"")</f>
        <v>#REF!</v>
      </c>
      <c r="K159" s="64" t="e">
        <f>IF(AND(E159=Data!#REF!,Data!#REF!&lt;&gt;""),Data!#REF!,"")</f>
        <v>#REF!</v>
      </c>
      <c r="L159" s="65" t="e">
        <f>IF(E159=Data!#REF!,Data!#REF!,"")</f>
        <v>#REF!</v>
      </c>
      <c r="M159" s="65" t="e">
        <f>IF(E159=Data!#REF!,Data!#REF!,"")</f>
        <v>#REF!</v>
      </c>
      <c r="N159" s="66" t="e">
        <f>IF(AND(Data!#REF!&lt;&gt;"",Data!#REF!="Accept&amp;#233;"),Data!#REF!,"")</f>
        <v>#REF!</v>
      </c>
    </row>
    <row r="160" spans="1:14" ht="19.5" hidden="1" customHeight="1" x14ac:dyDescent="0.3">
      <c r="A160" s="59" t="e">
        <f>IF(AND(Data!#REF!&lt;&gt;"",Data!#REF!="Accept&amp;#233;"),Data!#REF!,"")</f>
        <v>#REF!</v>
      </c>
      <c r="B160" s="59" t="e">
        <f>IF(AND(Data!#REF!&lt;&gt;"",Data!#REF!="Accept&amp;#233;"),Data!#REF!,"")</f>
        <v>#REF!</v>
      </c>
      <c r="C160" s="60" t="e">
        <f t="shared" si="4"/>
        <v>#REF!</v>
      </c>
      <c r="D160" s="42" t="e">
        <f>IF(AND(Data!#REF!&lt;&gt;"",Data!#REF!="Accept&amp;#233;"),Data!#REF!,"")</f>
        <v>#REF!</v>
      </c>
      <c r="E160" s="61" t="e">
        <f>IF(AND(Data!#REF!&lt;&gt;"",Data!#REF!="Accept&amp;#233;"),Data!#REF!,"")</f>
        <v>#REF!</v>
      </c>
      <c r="F160" s="62" t="e">
        <f>IF(AND(Data!#REF!&lt;&gt;"",Data!#REF!="Accept&amp;#233;"),Data!#REF!,"")</f>
        <v>#REF!</v>
      </c>
      <c r="G160" s="63" t="e">
        <f>IF(Data!#REF!='Delivery Plan'!E160,Data!#REF!,"")</f>
        <v>#REF!</v>
      </c>
      <c r="H160" s="51"/>
      <c r="I160" s="60" t="e">
        <f t="shared" si="5"/>
        <v>#REF!</v>
      </c>
      <c r="J160" s="42" t="e">
        <f>IF(AND(E160=Data!#REF!,Data!#REF!&lt;&gt;""),Data!#REF!,"")</f>
        <v>#REF!</v>
      </c>
      <c r="K160" s="64" t="e">
        <f>IF(AND(E160=Data!#REF!,Data!#REF!&lt;&gt;""),Data!#REF!,"")</f>
        <v>#REF!</v>
      </c>
      <c r="L160" s="65" t="e">
        <f>IF(E160=Data!#REF!,Data!#REF!,"")</f>
        <v>#REF!</v>
      </c>
      <c r="M160" s="65" t="e">
        <f>IF(E160=Data!#REF!,Data!#REF!,"")</f>
        <v>#REF!</v>
      </c>
      <c r="N160" s="66" t="e">
        <f>IF(AND(Data!#REF!&lt;&gt;"",Data!#REF!="Accept&amp;#233;"),Data!#REF!,"")</f>
        <v>#REF!</v>
      </c>
    </row>
    <row r="161" spans="1:14" ht="19.5" hidden="1" customHeight="1" x14ac:dyDescent="0.3">
      <c r="A161" s="59" t="e">
        <f>IF(AND(Data!#REF!&lt;&gt;"",Data!#REF!="Accept&amp;#233;"),Data!#REF!,"")</f>
        <v>#REF!</v>
      </c>
      <c r="B161" s="59" t="e">
        <f>IF(AND(Data!#REF!&lt;&gt;"",Data!#REF!="Accept&amp;#233;"),Data!#REF!,"")</f>
        <v>#REF!</v>
      </c>
      <c r="C161" s="60" t="e">
        <f t="shared" si="4"/>
        <v>#REF!</v>
      </c>
      <c r="D161" s="42" t="e">
        <f>IF(AND(Data!#REF!&lt;&gt;"",Data!#REF!="Accept&amp;#233;"),Data!#REF!,"")</f>
        <v>#REF!</v>
      </c>
      <c r="E161" s="61" t="e">
        <f>IF(AND(Data!#REF!&lt;&gt;"",Data!#REF!="Accept&amp;#233;"),Data!#REF!,"")</f>
        <v>#REF!</v>
      </c>
      <c r="F161" s="62" t="e">
        <f>IF(AND(Data!#REF!&lt;&gt;"",Data!#REF!="Accept&amp;#233;"),Data!#REF!,"")</f>
        <v>#REF!</v>
      </c>
      <c r="G161" s="63" t="e">
        <f>IF(Data!#REF!='Delivery Plan'!E161,Data!#REF!,"")</f>
        <v>#REF!</v>
      </c>
      <c r="H161" s="51"/>
      <c r="I161" s="60" t="e">
        <f t="shared" si="5"/>
        <v>#REF!</v>
      </c>
      <c r="J161" s="42" t="e">
        <f>IF(AND(E161=Data!#REF!,Data!#REF!&lt;&gt;""),Data!#REF!,"")</f>
        <v>#REF!</v>
      </c>
      <c r="K161" s="64" t="e">
        <f>IF(AND(E161=Data!#REF!,Data!#REF!&lt;&gt;""),Data!#REF!,"")</f>
        <v>#REF!</v>
      </c>
      <c r="L161" s="65" t="e">
        <f>IF(E161=Data!#REF!,Data!#REF!,"")</f>
        <v>#REF!</v>
      </c>
      <c r="M161" s="65" t="e">
        <f>IF(E161=Data!#REF!,Data!#REF!,"")</f>
        <v>#REF!</v>
      </c>
      <c r="N161" s="66" t="e">
        <f>IF(AND(Data!#REF!&lt;&gt;"",Data!#REF!="Accept&amp;#233;"),Data!#REF!,"")</f>
        <v>#REF!</v>
      </c>
    </row>
    <row r="162" spans="1:14" ht="19.5" hidden="1" customHeight="1" x14ac:dyDescent="0.3">
      <c r="A162" s="59" t="e">
        <f>IF(AND(Data!#REF!&lt;&gt;"",Data!#REF!="Accept&amp;#233;"),Data!#REF!,"")</f>
        <v>#REF!</v>
      </c>
      <c r="B162" s="59" t="e">
        <f>IF(AND(Data!#REF!&lt;&gt;"",Data!#REF!="Accept&amp;#233;"),Data!#REF!,"")</f>
        <v>#REF!</v>
      </c>
      <c r="C162" s="60" t="e">
        <f t="shared" si="4"/>
        <v>#REF!</v>
      </c>
      <c r="D162" s="42" t="e">
        <f>IF(AND(Data!#REF!&lt;&gt;"",Data!#REF!="Accept&amp;#233;"),Data!#REF!,"")</f>
        <v>#REF!</v>
      </c>
      <c r="E162" s="61" t="e">
        <f>IF(AND(Data!#REF!&lt;&gt;"",Data!#REF!="Accept&amp;#233;"),Data!#REF!,"")</f>
        <v>#REF!</v>
      </c>
      <c r="F162" s="62" t="e">
        <f>IF(AND(Data!#REF!&lt;&gt;"",Data!#REF!="Accept&amp;#233;"),Data!#REF!,"")</f>
        <v>#REF!</v>
      </c>
      <c r="G162" s="63" t="e">
        <f>IF(Data!#REF!='Delivery Plan'!E162,Data!#REF!,"")</f>
        <v>#REF!</v>
      </c>
      <c r="H162" s="51"/>
      <c r="I162" s="60" t="e">
        <f t="shared" si="5"/>
        <v>#REF!</v>
      </c>
      <c r="J162" s="42" t="e">
        <f>IF(AND(E162=Data!#REF!,Data!#REF!&lt;&gt;""),Data!#REF!,"")</f>
        <v>#REF!</v>
      </c>
      <c r="K162" s="64" t="e">
        <f>IF(AND(E162=Data!#REF!,Data!#REF!&lt;&gt;""),Data!#REF!,"")</f>
        <v>#REF!</v>
      </c>
      <c r="L162" s="65" t="e">
        <f>IF(E162=Data!#REF!,Data!#REF!,"")</f>
        <v>#REF!</v>
      </c>
      <c r="M162" s="65" t="e">
        <f>IF(E162=Data!#REF!,Data!#REF!,"")</f>
        <v>#REF!</v>
      </c>
      <c r="N162" s="66" t="e">
        <f>IF(AND(Data!#REF!&lt;&gt;"",Data!#REF!="Accept&amp;#233;"),Data!#REF!,"")</f>
        <v>#REF!</v>
      </c>
    </row>
    <row r="163" spans="1:14" ht="19.5" hidden="1" customHeight="1" x14ac:dyDescent="0.3">
      <c r="A163" s="59" t="e">
        <f>IF(AND(Data!#REF!&lt;&gt;"",Data!#REF!="Accept&amp;#233;"),Data!#REF!,"")</f>
        <v>#REF!</v>
      </c>
      <c r="B163" s="59" t="e">
        <f>IF(AND(Data!#REF!&lt;&gt;"",Data!#REF!="Accept&amp;#233;"),Data!#REF!,"")</f>
        <v>#REF!</v>
      </c>
      <c r="C163" s="60" t="e">
        <f t="shared" si="4"/>
        <v>#REF!</v>
      </c>
      <c r="D163" s="42" t="e">
        <f>IF(AND(Data!#REF!&lt;&gt;"",Data!#REF!="Accept&amp;#233;"),Data!#REF!,"")</f>
        <v>#REF!</v>
      </c>
      <c r="E163" s="61" t="e">
        <f>IF(AND(Data!#REF!&lt;&gt;"",Data!#REF!="Accept&amp;#233;"),Data!#REF!,"")</f>
        <v>#REF!</v>
      </c>
      <c r="F163" s="62" t="e">
        <f>IF(AND(Data!#REF!&lt;&gt;"",Data!#REF!="Accept&amp;#233;"),Data!#REF!,"")</f>
        <v>#REF!</v>
      </c>
      <c r="G163" s="63" t="e">
        <f>IF(Data!#REF!='Delivery Plan'!E163,Data!#REF!,"")</f>
        <v>#REF!</v>
      </c>
      <c r="H163" s="51"/>
      <c r="I163" s="60" t="e">
        <f t="shared" si="5"/>
        <v>#REF!</v>
      </c>
      <c r="J163" s="42" t="e">
        <f>IF(AND(E163=Data!#REF!,Data!#REF!&lt;&gt;""),Data!#REF!,"")</f>
        <v>#REF!</v>
      </c>
      <c r="K163" s="64" t="e">
        <f>IF(AND(E163=Data!#REF!,Data!#REF!&lt;&gt;""),Data!#REF!,"")</f>
        <v>#REF!</v>
      </c>
      <c r="L163" s="65" t="e">
        <f>IF(E163=Data!#REF!,Data!#REF!,"")</f>
        <v>#REF!</v>
      </c>
      <c r="M163" s="65" t="e">
        <f>IF(E163=Data!#REF!,Data!#REF!,"")</f>
        <v>#REF!</v>
      </c>
      <c r="N163" s="66" t="e">
        <f>IF(AND(Data!#REF!&lt;&gt;"",Data!#REF!="Accept&amp;#233;"),Data!#REF!,"")</f>
        <v>#REF!</v>
      </c>
    </row>
    <row r="164" spans="1:14" ht="19.5" hidden="1" customHeight="1" x14ac:dyDescent="0.3">
      <c r="A164" s="59" t="e">
        <f>IF(AND(Data!#REF!&lt;&gt;"",Data!#REF!="Accept&amp;#233;"),Data!#REF!,"")</f>
        <v>#REF!</v>
      </c>
      <c r="B164" s="59" t="e">
        <f>IF(AND(Data!#REF!&lt;&gt;"",Data!#REF!="Accept&amp;#233;"),Data!#REF!,"")</f>
        <v>#REF!</v>
      </c>
      <c r="C164" s="60" t="e">
        <f t="shared" si="4"/>
        <v>#REF!</v>
      </c>
      <c r="D164" s="42" t="e">
        <f>IF(AND(Data!#REF!&lt;&gt;"",Data!#REF!="Accept&amp;#233;"),Data!#REF!,"")</f>
        <v>#REF!</v>
      </c>
      <c r="E164" s="61" t="e">
        <f>IF(AND(Data!#REF!&lt;&gt;"",Data!#REF!="Accept&amp;#233;"),Data!#REF!,"")</f>
        <v>#REF!</v>
      </c>
      <c r="F164" s="62" t="e">
        <f>IF(AND(Data!#REF!&lt;&gt;"",Data!#REF!="Accept&amp;#233;"),Data!#REF!,"")</f>
        <v>#REF!</v>
      </c>
      <c r="G164" s="63" t="e">
        <f>IF(Data!#REF!='Delivery Plan'!E164,Data!#REF!,"")</f>
        <v>#REF!</v>
      </c>
      <c r="H164" s="51"/>
      <c r="I164" s="60" t="e">
        <f t="shared" si="5"/>
        <v>#REF!</v>
      </c>
      <c r="J164" s="42" t="e">
        <f>IF(AND(E164=Data!#REF!,Data!#REF!&lt;&gt;""),Data!#REF!,"")</f>
        <v>#REF!</v>
      </c>
      <c r="K164" s="64" t="e">
        <f>IF(AND(E164=Data!#REF!,Data!#REF!&lt;&gt;""),Data!#REF!,"")</f>
        <v>#REF!</v>
      </c>
      <c r="L164" s="65" t="e">
        <f>IF(E164=Data!#REF!,Data!#REF!,"")</f>
        <v>#REF!</v>
      </c>
      <c r="M164" s="65" t="e">
        <f>IF(E164=Data!#REF!,Data!#REF!,"")</f>
        <v>#REF!</v>
      </c>
      <c r="N164" s="66" t="e">
        <f>IF(AND(Data!#REF!&lt;&gt;"",Data!#REF!="Accept&amp;#233;"),Data!#REF!,"")</f>
        <v>#REF!</v>
      </c>
    </row>
    <row r="165" spans="1:14" ht="19.5" hidden="1" customHeight="1" x14ac:dyDescent="0.3">
      <c r="A165" s="59" t="e">
        <f>IF(AND(Data!#REF!&lt;&gt;"",Data!#REF!="Accept&amp;#233;"),Data!#REF!,"")</f>
        <v>#REF!</v>
      </c>
      <c r="B165" s="59" t="e">
        <f>IF(AND(Data!#REF!&lt;&gt;"",Data!#REF!="Accept&amp;#233;"),Data!#REF!,"")</f>
        <v>#REF!</v>
      </c>
      <c r="C165" s="60" t="e">
        <f t="shared" si="4"/>
        <v>#REF!</v>
      </c>
      <c r="D165" s="42" t="e">
        <f>IF(AND(Data!#REF!&lt;&gt;"",Data!#REF!="Accept&amp;#233;"),Data!#REF!,"")</f>
        <v>#REF!</v>
      </c>
      <c r="E165" s="61" t="e">
        <f>IF(AND(Data!#REF!&lt;&gt;"",Data!#REF!="Accept&amp;#233;"),Data!#REF!,"")</f>
        <v>#REF!</v>
      </c>
      <c r="F165" s="62" t="e">
        <f>IF(AND(Data!#REF!&lt;&gt;"",Data!#REF!="Accept&amp;#233;"),Data!#REF!,"")</f>
        <v>#REF!</v>
      </c>
      <c r="G165" s="63" t="e">
        <f>IF(Data!#REF!='Delivery Plan'!E165,Data!#REF!,"")</f>
        <v>#REF!</v>
      </c>
      <c r="H165" s="51"/>
      <c r="I165" s="60" t="e">
        <f t="shared" si="5"/>
        <v>#REF!</v>
      </c>
      <c r="J165" s="42" t="e">
        <f>IF(AND(E165=Data!#REF!,Data!#REF!&lt;&gt;""),Data!#REF!,"")</f>
        <v>#REF!</v>
      </c>
      <c r="K165" s="64" t="e">
        <f>IF(AND(E165=Data!#REF!,Data!#REF!&lt;&gt;""),Data!#REF!,"")</f>
        <v>#REF!</v>
      </c>
      <c r="L165" s="65" t="e">
        <f>IF(E165=Data!#REF!,Data!#REF!,"")</f>
        <v>#REF!</v>
      </c>
      <c r="M165" s="65" t="e">
        <f>IF(E165=Data!#REF!,Data!#REF!,"")</f>
        <v>#REF!</v>
      </c>
      <c r="N165" s="66" t="e">
        <f>IF(AND(Data!#REF!&lt;&gt;"",Data!#REF!="Accept&amp;#233;"),Data!#REF!,"")</f>
        <v>#REF!</v>
      </c>
    </row>
    <row r="166" spans="1:14" ht="19.5" hidden="1" customHeight="1" x14ac:dyDescent="0.3">
      <c r="A166" s="59" t="e">
        <f>IF(AND(Data!#REF!&lt;&gt;"",Data!#REF!="Accept&amp;#233;"),Data!#REF!,"")</f>
        <v>#REF!</v>
      </c>
      <c r="B166" s="59" t="e">
        <f>IF(AND(Data!#REF!&lt;&gt;"",Data!#REF!="Accept&amp;#233;"),Data!#REF!,"")</f>
        <v>#REF!</v>
      </c>
      <c r="C166" s="60" t="e">
        <f t="shared" si="4"/>
        <v>#REF!</v>
      </c>
      <c r="D166" s="42" t="e">
        <f>IF(AND(Data!#REF!&lt;&gt;"",Data!#REF!="Accept&amp;#233;"),Data!#REF!,"")</f>
        <v>#REF!</v>
      </c>
      <c r="E166" s="61" t="e">
        <f>IF(AND(Data!#REF!&lt;&gt;"",Data!#REF!="Accept&amp;#233;"),Data!#REF!,"")</f>
        <v>#REF!</v>
      </c>
      <c r="F166" s="62" t="e">
        <f>IF(AND(Data!#REF!&lt;&gt;"",Data!#REF!="Accept&amp;#233;"),Data!#REF!,"")</f>
        <v>#REF!</v>
      </c>
      <c r="G166" s="63" t="e">
        <f>IF(Data!#REF!='Delivery Plan'!E166,Data!#REF!,"")</f>
        <v>#REF!</v>
      </c>
      <c r="H166" s="51"/>
      <c r="I166" s="60" t="e">
        <f t="shared" si="5"/>
        <v>#REF!</v>
      </c>
      <c r="J166" s="42" t="e">
        <f>IF(AND(E166=Data!#REF!,Data!#REF!&lt;&gt;""),Data!#REF!,"")</f>
        <v>#REF!</v>
      </c>
      <c r="K166" s="64" t="e">
        <f>IF(AND(E166=Data!#REF!,Data!#REF!&lt;&gt;""),Data!#REF!,"")</f>
        <v>#REF!</v>
      </c>
      <c r="L166" s="65" t="e">
        <f>IF(E166=Data!#REF!,Data!#REF!,"")</f>
        <v>#REF!</v>
      </c>
      <c r="M166" s="65" t="e">
        <f>IF(E166=Data!#REF!,Data!#REF!,"")</f>
        <v>#REF!</v>
      </c>
      <c r="N166" s="66" t="e">
        <f>IF(AND(Data!#REF!&lt;&gt;"",Data!#REF!="Accept&amp;#233;"),Data!#REF!,"")</f>
        <v>#REF!</v>
      </c>
    </row>
    <row r="167" spans="1:14" ht="19.5" hidden="1" customHeight="1" x14ac:dyDescent="0.3">
      <c r="A167" s="59" t="e">
        <f>IF(AND(Data!#REF!&lt;&gt;"",Data!#REF!="Accept&amp;#233;"),Data!#REF!,"")</f>
        <v>#REF!</v>
      </c>
      <c r="B167" s="59" t="e">
        <f>IF(AND(Data!#REF!&lt;&gt;"",Data!#REF!="Accept&amp;#233;"),Data!#REF!,"")</f>
        <v>#REF!</v>
      </c>
      <c r="C167" s="60" t="e">
        <f t="shared" si="4"/>
        <v>#REF!</v>
      </c>
      <c r="D167" s="42" t="e">
        <f>IF(AND(Data!#REF!&lt;&gt;"",Data!#REF!="Accept&amp;#233;"),Data!#REF!,"")</f>
        <v>#REF!</v>
      </c>
      <c r="E167" s="61" t="e">
        <f>IF(AND(Data!#REF!&lt;&gt;"",Data!#REF!="Accept&amp;#233;"),Data!#REF!,"")</f>
        <v>#REF!</v>
      </c>
      <c r="F167" s="62" t="e">
        <f>IF(AND(Data!#REF!&lt;&gt;"",Data!#REF!="Accept&amp;#233;"),Data!#REF!,"")</f>
        <v>#REF!</v>
      </c>
      <c r="G167" s="63" t="e">
        <f>IF(Data!#REF!='Delivery Plan'!E167,Data!#REF!,"")</f>
        <v>#REF!</v>
      </c>
      <c r="H167" s="51"/>
      <c r="I167" s="60" t="e">
        <f t="shared" si="5"/>
        <v>#REF!</v>
      </c>
      <c r="J167" s="42" t="e">
        <f>IF(AND(E167=Data!#REF!,Data!#REF!&lt;&gt;""),Data!#REF!,"")</f>
        <v>#REF!</v>
      </c>
      <c r="K167" s="64" t="e">
        <f>IF(AND(E167=Data!#REF!,Data!#REF!&lt;&gt;""),Data!#REF!,"")</f>
        <v>#REF!</v>
      </c>
      <c r="L167" s="65" t="e">
        <f>IF(E167=Data!#REF!,Data!#REF!,"")</f>
        <v>#REF!</v>
      </c>
      <c r="M167" s="65" t="e">
        <f>IF(E167=Data!#REF!,Data!#REF!,"")</f>
        <v>#REF!</v>
      </c>
      <c r="N167" s="66" t="e">
        <f>IF(AND(Data!#REF!&lt;&gt;"",Data!#REF!="Accept&amp;#233;"),Data!#REF!,"")</f>
        <v>#REF!</v>
      </c>
    </row>
    <row r="168" spans="1:14" ht="19.5" hidden="1" customHeight="1" x14ac:dyDescent="0.3">
      <c r="A168" s="59" t="e">
        <f>IF(AND(Data!#REF!&lt;&gt;"",Data!#REF!="Accept&amp;#233;"),Data!#REF!,"")</f>
        <v>#REF!</v>
      </c>
      <c r="B168" s="59" t="e">
        <f>IF(AND(Data!#REF!&lt;&gt;"",Data!#REF!="Accept&amp;#233;"),Data!#REF!,"")</f>
        <v>#REF!</v>
      </c>
      <c r="C168" s="60" t="e">
        <f t="shared" si="4"/>
        <v>#REF!</v>
      </c>
      <c r="D168" s="42" t="e">
        <f>IF(AND(Data!#REF!&lt;&gt;"",Data!#REF!="Accept&amp;#233;"),Data!#REF!,"")</f>
        <v>#REF!</v>
      </c>
      <c r="E168" s="61" t="e">
        <f>IF(AND(Data!#REF!&lt;&gt;"",Data!#REF!="Accept&amp;#233;"),Data!#REF!,"")</f>
        <v>#REF!</v>
      </c>
      <c r="F168" s="62" t="e">
        <f>IF(AND(Data!#REF!&lt;&gt;"",Data!#REF!="Accept&amp;#233;"),Data!#REF!,"")</f>
        <v>#REF!</v>
      </c>
      <c r="G168" s="63" t="e">
        <f>IF(Data!#REF!='Delivery Plan'!E168,Data!#REF!,"")</f>
        <v>#REF!</v>
      </c>
      <c r="H168" s="51"/>
      <c r="I168" s="60" t="e">
        <f t="shared" si="5"/>
        <v>#REF!</v>
      </c>
      <c r="J168" s="42" t="e">
        <f>IF(AND(E168=Data!#REF!,Data!#REF!&lt;&gt;""),Data!#REF!,"")</f>
        <v>#REF!</v>
      </c>
      <c r="K168" s="64" t="e">
        <f>IF(AND(E168=Data!#REF!,Data!#REF!&lt;&gt;""),Data!#REF!,"")</f>
        <v>#REF!</v>
      </c>
      <c r="L168" s="65" t="e">
        <f>IF(E168=Data!#REF!,Data!#REF!,"")</f>
        <v>#REF!</v>
      </c>
      <c r="M168" s="65" t="e">
        <f>IF(E168=Data!#REF!,Data!#REF!,"")</f>
        <v>#REF!</v>
      </c>
      <c r="N168" s="66" t="e">
        <f>IF(AND(Data!#REF!&lt;&gt;"",Data!#REF!="Accept&amp;#233;"),Data!#REF!,"")</f>
        <v>#REF!</v>
      </c>
    </row>
    <row r="169" spans="1:14" ht="19.5" hidden="1" customHeight="1" x14ac:dyDescent="0.3">
      <c r="A169" s="59" t="e">
        <f>IF(AND(Data!#REF!&lt;&gt;"",Data!#REF!="Accept&amp;#233;"),Data!#REF!,"")</f>
        <v>#REF!</v>
      </c>
      <c r="B169" s="59" t="e">
        <f>IF(AND(Data!#REF!&lt;&gt;"",Data!#REF!="Accept&amp;#233;"),Data!#REF!,"")</f>
        <v>#REF!</v>
      </c>
      <c r="C169" s="60" t="e">
        <f t="shared" si="4"/>
        <v>#REF!</v>
      </c>
      <c r="D169" s="42" t="e">
        <f>IF(AND(Data!#REF!&lt;&gt;"",Data!#REF!="Accept&amp;#233;"),Data!#REF!,"")</f>
        <v>#REF!</v>
      </c>
      <c r="E169" s="61" t="e">
        <f>IF(AND(Data!#REF!&lt;&gt;"",Data!#REF!="Accept&amp;#233;"),Data!#REF!,"")</f>
        <v>#REF!</v>
      </c>
      <c r="F169" s="62" t="e">
        <f>IF(AND(Data!#REF!&lt;&gt;"",Data!#REF!="Accept&amp;#233;"),Data!#REF!,"")</f>
        <v>#REF!</v>
      </c>
      <c r="G169" s="63" t="e">
        <f>IF(Data!#REF!='Delivery Plan'!E169,Data!#REF!,"")</f>
        <v>#REF!</v>
      </c>
      <c r="H169" s="51"/>
      <c r="I169" s="60" t="e">
        <f t="shared" si="5"/>
        <v>#REF!</v>
      </c>
      <c r="J169" s="42" t="e">
        <f>IF(AND(E169=Data!#REF!,Data!#REF!&lt;&gt;""),Data!#REF!,"")</f>
        <v>#REF!</v>
      </c>
      <c r="K169" s="64" t="e">
        <f>IF(AND(E169=Data!#REF!,Data!#REF!&lt;&gt;""),Data!#REF!,"")</f>
        <v>#REF!</v>
      </c>
      <c r="L169" s="65" t="e">
        <f>IF(E169=Data!#REF!,Data!#REF!,"")</f>
        <v>#REF!</v>
      </c>
      <c r="M169" s="65" t="e">
        <f>IF(E169=Data!#REF!,Data!#REF!,"")</f>
        <v>#REF!</v>
      </c>
      <c r="N169" s="66" t="e">
        <f>IF(AND(Data!#REF!&lt;&gt;"",Data!#REF!="Accept&amp;#233;"),Data!#REF!,"")</f>
        <v>#REF!</v>
      </c>
    </row>
    <row r="170" spans="1:14" ht="19.5" hidden="1" customHeight="1" x14ac:dyDescent="0.3">
      <c r="A170" s="59" t="e">
        <f>IF(AND(Data!#REF!&lt;&gt;"",Data!#REF!="Accept&amp;#233;"),Data!#REF!,"")</f>
        <v>#REF!</v>
      </c>
      <c r="B170" s="59" t="e">
        <f>IF(AND(Data!#REF!&lt;&gt;"",Data!#REF!="Accept&amp;#233;"),Data!#REF!,"")</f>
        <v>#REF!</v>
      </c>
      <c r="C170" s="60" t="e">
        <f t="shared" si="4"/>
        <v>#REF!</v>
      </c>
      <c r="D170" s="42" t="e">
        <f>IF(AND(Data!#REF!&lt;&gt;"",Data!#REF!="Accept&amp;#233;"),Data!#REF!,"")</f>
        <v>#REF!</v>
      </c>
      <c r="E170" s="61" t="e">
        <f>IF(AND(Data!#REF!&lt;&gt;"",Data!#REF!="Accept&amp;#233;"),Data!#REF!,"")</f>
        <v>#REF!</v>
      </c>
      <c r="F170" s="62" t="e">
        <f>IF(AND(Data!#REF!&lt;&gt;"",Data!#REF!="Accept&amp;#233;"),Data!#REF!,"")</f>
        <v>#REF!</v>
      </c>
      <c r="G170" s="63" t="e">
        <f>IF(Data!#REF!='Delivery Plan'!E170,Data!#REF!,"")</f>
        <v>#REF!</v>
      </c>
      <c r="H170" s="51"/>
      <c r="I170" s="60" t="e">
        <f t="shared" si="5"/>
        <v>#REF!</v>
      </c>
      <c r="J170" s="42" t="e">
        <f>IF(AND(E170=Data!#REF!,Data!#REF!&lt;&gt;""),Data!#REF!,"")</f>
        <v>#REF!</v>
      </c>
      <c r="K170" s="64" t="e">
        <f>IF(AND(E170=Data!#REF!,Data!#REF!&lt;&gt;""),Data!#REF!,"")</f>
        <v>#REF!</v>
      </c>
      <c r="L170" s="65" t="e">
        <f>IF(E170=Data!#REF!,Data!#REF!,"")</f>
        <v>#REF!</v>
      </c>
      <c r="M170" s="65" t="e">
        <f>IF(E170=Data!#REF!,Data!#REF!,"")</f>
        <v>#REF!</v>
      </c>
      <c r="N170" s="66" t="e">
        <f>IF(AND(Data!#REF!&lt;&gt;"",Data!#REF!="Accept&amp;#233;"),Data!#REF!,"")</f>
        <v>#REF!</v>
      </c>
    </row>
    <row r="171" spans="1:14" ht="19.5" hidden="1" customHeight="1" x14ac:dyDescent="0.3">
      <c r="A171" s="59" t="e">
        <f>IF(AND(Data!#REF!&lt;&gt;"",Data!#REF!="Accept&amp;#233;"),Data!#REF!,"")</f>
        <v>#REF!</v>
      </c>
      <c r="B171" s="59" t="e">
        <f>IF(AND(Data!#REF!&lt;&gt;"",Data!#REF!="Accept&amp;#233;"),Data!#REF!,"")</f>
        <v>#REF!</v>
      </c>
      <c r="C171" s="60" t="e">
        <f t="shared" si="4"/>
        <v>#REF!</v>
      </c>
      <c r="D171" s="42" t="e">
        <f>IF(AND(Data!#REF!&lt;&gt;"",Data!#REF!="Accept&amp;#233;"),Data!#REF!,"")</f>
        <v>#REF!</v>
      </c>
      <c r="E171" s="61" t="e">
        <f>IF(AND(Data!#REF!&lt;&gt;"",Data!#REF!="Accept&amp;#233;"),Data!#REF!,"")</f>
        <v>#REF!</v>
      </c>
      <c r="F171" s="62" t="e">
        <f>IF(AND(Data!#REF!&lt;&gt;"",Data!#REF!="Accept&amp;#233;"),Data!#REF!,"")</f>
        <v>#REF!</v>
      </c>
      <c r="G171" s="63" t="e">
        <f>IF(Data!#REF!='Delivery Plan'!E171,Data!#REF!,"")</f>
        <v>#REF!</v>
      </c>
      <c r="H171" s="51"/>
      <c r="I171" s="60" t="e">
        <f t="shared" si="5"/>
        <v>#REF!</v>
      </c>
      <c r="J171" s="42" t="e">
        <f>IF(AND(E171=Data!#REF!,Data!#REF!&lt;&gt;""),Data!#REF!,"")</f>
        <v>#REF!</v>
      </c>
      <c r="K171" s="64" t="e">
        <f>IF(AND(E171=Data!#REF!,Data!#REF!&lt;&gt;""),Data!#REF!,"")</f>
        <v>#REF!</v>
      </c>
      <c r="L171" s="65" t="e">
        <f>IF(E171=Data!#REF!,Data!#REF!,"")</f>
        <v>#REF!</v>
      </c>
      <c r="M171" s="65" t="e">
        <f>IF(E171=Data!#REF!,Data!#REF!,"")</f>
        <v>#REF!</v>
      </c>
      <c r="N171" s="66" t="e">
        <f>IF(AND(Data!#REF!&lt;&gt;"",Data!#REF!="Accept&amp;#233;"),Data!#REF!,"")</f>
        <v>#REF!</v>
      </c>
    </row>
    <row r="172" spans="1:14" ht="19.5" hidden="1" customHeight="1" x14ac:dyDescent="0.3">
      <c r="A172" s="59" t="e">
        <f>IF(AND(Data!#REF!&lt;&gt;"",Data!#REF!="Accept&amp;#233;"),Data!#REF!,"")</f>
        <v>#REF!</v>
      </c>
      <c r="B172" s="59" t="e">
        <f>IF(AND(Data!#REF!&lt;&gt;"",Data!#REF!="Accept&amp;#233;"),Data!#REF!,"")</f>
        <v>#REF!</v>
      </c>
      <c r="C172" s="60" t="e">
        <f t="shared" si="4"/>
        <v>#REF!</v>
      </c>
      <c r="D172" s="42" t="e">
        <f>IF(AND(Data!#REF!&lt;&gt;"",Data!#REF!="Accept&amp;#233;"),Data!#REF!,"")</f>
        <v>#REF!</v>
      </c>
      <c r="E172" s="61" t="e">
        <f>IF(AND(Data!#REF!&lt;&gt;"",Data!#REF!="Accept&amp;#233;"),Data!#REF!,"")</f>
        <v>#REF!</v>
      </c>
      <c r="F172" s="62" t="e">
        <f>IF(AND(Data!#REF!&lt;&gt;"",Data!#REF!="Accept&amp;#233;"),Data!#REF!,"")</f>
        <v>#REF!</v>
      </c>
      <c r="G172" s="63" t="e">
        <f>IF(Data!#REF!='Delivery Plan'!E172,Data!#REF!,"")</f>
        <v>#REF!</v>
      </c>
      <c r="H172" s="51"/>
      <c r="I172" s="60" t="e">
        <f t="shared" si="5"/>
        <v>#REF!</v>
      </c>
      <c r="J172" s="42" t="e">
        <f>IF(AND(E172=Data!#REF!,Data!#REF!&lt;&gt;""),Data!#REF!,"")</f>
        <v>#REF!</v>
      </c>
      <c r="K172" s="64" t="e">
        <f>IF(AND(E172=Data!#REF!,Data!#REF!&lt;&gt;""),Data!#REF!,"")</f>
        <v>#REF!</v>
      </c>
      <c r="L172" s="65" t="e">
        <f>IF(E172=Data!#REF!,Data!#REF!,"")</f>
        <v>#REF!</v>
      </c>
      <c r="M172" s="65" t="e">
        <f>IF(E172=Data!#REF!,Data!#REF!,"")</f>
        <v>#REF!</v>
      </c>
      <c r="N172" s="66" t="e">
        <f>IF(AND(Data!#REF!&lt;&gt;"",Data!#REF!="Accept&amp;#233;"),Data!#REF!,"")</f>
        <v>#REF!</v>
      </c>
    </row>
    <row r="173" spans="1:14" ht="19.5" hidden="1" customHeight="1" x14ac:dyDescent="0.3">
      <c r="A173" s="59" t="e">
        <f>IF(AND(Data!#REF!&lt;&gt;"",Data!#REF!="Accept&amp;#233;"),Data!#REF!,"")</f>
        <v>#REF!</v>
      </c>
      <c r="B173" s="59" t="e">
        <f>IF(AND(Data!#REF!&lt;&gt;"",Data!#REF!="Accept&amp;#233;"),Data!#REF!,"")</f>
        <v>#REF!</v>
      </c>
      <c r="C173" s="60" t="e">
        <f t="shared" si="4"/>
        <v>#REF!</v>
      </c>
      <c r="D173" s="42" t="e">
        <f>IF(AND(Data!#REF!&lt;&gt;"",Data!#REF!="Accept&amp;#233;"),Data!#REF!,"")</f>
        <v>#REF!</v>
      </c>
      <c r="E173" s="61" t="e">
        <f>IF(AND(Data!#REF!&lt;&gt;"",Data!#REF!="Accept&amp;#233;"),Data!#REF!,"")</f>
        <v>#REF!</v>
      </c>
      <c r="F173" s="62" t="e">
        <f>IF(AND(Data!#REF!&lt;&gt;"",Data!#REF!="Accept&amp;#233;"),Data!#REF!,"")</f>
        <v>#REF!</v>
      </c>
      <c r="G173" s="63" t="e">
        <f>IF(Data!#REF!='Delivery Plan'!E173,Data!#REF!,"")</f>
        <v>#REF!</v>
      </c>
      <c r="H173" s="51"/>
      <c r="I173" s="60" t="e">
        <f t="shared" si="5"/>
        <v>#REF!</v>
      </c>
      <c r="J173" s="42" t="e">
        <f>IF(AND(E173=Data!#REF!,Data!#REF!&lt;&gt;""),Data!#REF!,"")</f>
        <v>#REF!</v>
      </c>
      <c r="K173" s="64" t="e">
        <f>IF(AND(E173=Data!#REF!,Data!#REF!&lt;&gt;""),Data!#REF!,"")</f>
        <v>#REF!</v>
      </c>
      <c r="L173" s="65" t="e">
        <f>IF(E173=Data!#REF!,Data!#REF!,"")</f>
        <v>#REF!</v>
      </c>
      <c r="M173" s="65" t="e">
        <f>IF(E173=Data!#REF!,Data!#REF!,"")</f>
        <v>#REF!</v>
      </c>
      <c r="N173" s="66" t="e">
        <f>IF(AND(Data!#REF!&lt;&gt;"",Data!#REF!="Accept&amp;#233;"),Data!#REF!,"")</f>
        <v>#REF!</v>
      </c>
    </row>
    <row r="174" spans="1:14" ht="19.5" hidden="1" customHeight="1" x14ac:dyDescent="0.3">
      <c r="A174" s="59" t="e">
        <f>IF(AND(Data!#REF!&lt;&gt;"",Data!#REF!="Accept&amp;#233;"),Data!#REF!,"")</f>
        <v>#REF!</v>
      </c>
      <c r="B174" s="59" t="e">
        <f>IF(AND(Data!#REF!&lt;&gt;"",Data!#REF!="Accept&amp;#233;"),Data!#REF!,"")</f>
        <v>#REF!</v>
      </c>
      <c r="C174" s="60" t="e">
        <f t="shared" si="4"/>
        <v>#REF!</v>
      </c>
      <c r="D174" s="42" t="e">
        <f>IF(AND(Data!#REF!&lt;&gt;"",Data!#REF!="Accept&amp;#233;"),Data!#REF!,"")</f>
        <v>#REF!</v>
      </c>
      <c r="E174" s="61" t="e">
        <f>IF(AND(Data!#REF!&lt;&gt;"",Data!#REF!="Accept&amp;#233;"),Data!#REF!,"")</f>
        <v>#REF!</v>
      </c>
      <c r="F174" s="62" t="e">
        <f>IF(AND(Data!#REF!&lt;&gt;"",Data!#REF!="Accept&amp;#233;"),Data!#REF!,"")</f>
        <v>#REF!</v>
      </c>
      <c r="G174" s="63" t="e">
        <f>IF(Data!#REF!='Delivery Plan'!E174,Data!#REF!,"")</f>
        <v>#REF!</v>
      </c>
      <c r="H174" s="51"/>
      <c r="I174" s="60" t="e">
        <f t="shared" si="5"/>
        <v>#REF!</v>
      </c>
      <c r="J174" s="42" t="e">
        <f>IF(AND(E174=Data!#REF!,Data!#REF!&lt;&gt;""),Data!#REF!,"")</f>
        <v>#REF!</v>
      </c>
      <c r="K174" s="64" t="e">
        <f>IF(AND(E174=Data!#REF!,Data!#REF!&lt;&gt;""),Data!#REF!,"")</f>
        <v>#REF!</v>
      </c>
      <c r="L174" s="65" t="e">
        <f>IF(E174=Data!#REF!,Data!#REF!,"")</f>
        <v>#REF!</v>
      </c>
      <c r="M174" s="65" t="e">
        <f>IF(E174=Data!#REF!,Data!#REF!,"")</f>
        <v>#REF!</v>
      </c>
      <c r="N174" s="66" t="e">
        <f>IF(AND(Data!#REF!&lt;&gt;"",Data!#REF!="Accept&amp;#233;"),Data!#REF!,"")</f>
        <v>#REF!</v>
      </c>
    </row>
    <row r="175" spans="1:14" ht="19.5" hidden="1" customHeight="1" x14ac:dyDescent="0.3">
      <c r="A175" s="59" t="e">
        <f>IF(AND(Data!#REF!&lt;&gt;"",Data!#REF!="Accept&amp;#233;"),Data!#REF!,"")</f>
        <v>#REF!</v>
      </c>
      <c r="B175" s="59" t="e">
        <f>IF(AND(Data!#REF!&lt;&gt;"",Data!#REF!="Accept&amp;#233;"),Data!#REF!,"")</f>
        <v>#REF!</v>
      </c>
      <c r="C175" s="60" t="e">
        <f t="shared" si="4"/>
        <v>#REF!</v>
      </c>
      <c r="D175" s="42" t="e">
        <f>IF(AND(Data!#REF!&lt;&gt;"",Data!#REF!="Accept&amp;#233;"),Data!#REF!,"")</f>
        <v>#REF!</v>
      </c>
      <c r="E175" s="61" t="e">
        <f>IF(AND(Data!#REF!&lt;&gt;"",Data!#REF!="Accept&amp;#233;"),Data!#REF!,"")</f>
        <v>#REF!</v>
      </c>
      <c r="F175" s="62" t="e">
        <f>IF(AND(Data!#REF!&lt;&gt;"",Data!#REF!="Accept&amp;#233;"),Data!#REF!,"")</f>
        <v>#REF!</v>
      </c>
      <c r="G175" s="63" t="e">
        <f>IF(Data!#REF!='Delivery Plan'!E175,Data!#REF!,"")</f>
        <v>#REF!</v>
      </c>
      <c r="H175" s="51"/>
      <c r="I175" s="60" t="e">
        <f t="shared" si="5"/>
        <v>#REF!</v>
      </c>
      <c r="J175" s="42" t="e">
        <f>IF(AND(E175=Data!#REF!,Data!#REF!&lt;&gt;""),Data!#REF!,"")</f>
        <v>#REF!</v>
      </c>
      <c r="K175" s="64" t="e">
        <f>IF(AND(E175=Data!#REF!,Data!#REF!&lt;&gt;""),Data!#REF!,"")</f>
        <v>#REF!</v>
      </c>
      <c r="L175" s="65" t="e">
        <f>IF(E175=Data!#REF!,Data!#REF!,"")</f>
        <v>#REF!</v>
      </c>
      <c r="M175" s="65" t="e">
        <f>IF(E175=Data!#REF!,Data!#REF!,"")</f>
        <v>#REF!</v>
      </c>
      <c r="N175" s="66" t="e">
        <f>IF(AND(Data!#REF!&lt;&gt;"",Data!#REF!="Accept&amp;#233;"),Data!#REF!,"")</f>
        <v>#REF!</v>
      </c>
    </row>
    <row r="176" spans="1:14" ht="19.5" hidden="1" customHeight="1" x14ac:dyDescent="0.3">
      <c r="A176" s="59" t="e">
        <f>IF(AND(Data!#REF!&lt;&gt;"",Data!#REF!="Accept&amp;#233;"),Data!#REF!,"")</f>
        <v>#REF!</v>
      </c>
      <c r="B176" s="59" t="e">
        <f>IF(AND(Data!#REF!&lt;&gt;"",Data!#REF!="Accept&amp;#233;"),Data!#REF!,"")</f>
        <v>#REF!</v>
      </c>
      <c r="C176" s="60" t="e">
        <f t="shared" si="4"/>
        <v>#REF!</v>
      </c>
      <c r="D176" s="42" t="e">
        <f>IF(AND(Data!#REF!&lt;&gt;"",Data!#REF!="Accept&amp;#233;"),Data!#REF!,"")</f>
        <v>#REF!</v>
      </c>
      <c r="E176" s="61" t="e">
        <f>IF(AND(Data!#REF!&lt;&gt;"",Data!#REF!="Accept&amp;#233;"),Data!#REF!,"")</f>
        <v>#REF!</v>
      </c>
      <c r="F176" s="62" t="e">
        <f>IF(AND(Data!#REF!&lt;&gt;"",Data!#REF!="Accept&amp;#233;"),Data!#REF!,"")</f>
        <v>#REF!</v>
      </c>
      <c r="G176" s="63" t="e">
        <f>IF(Data!#REF!='Delivery Plan'!E176,Data!#REF!,"")</f>
        <v>#REF!</v>
      </c>
      <c r="H176" s="51"/>
      <c r="I176" s="60" t="e">
        <f t="shared" si="5"/>
        <v>#REF!</v>
      </c>
      <c r="J176" s="42" t="e">
        <f>IF(AND(E176=Data!#REF!,Data!#REF!&lt;&gt;""),Data!#REF!,"")</f>
        <v>#REF!</v>
      </c>
      <c r="K176" s="64" t="e">
        <f>IF(AND(E176=Data!#REF!,Data!#REF!&lt;&gt;""),Data!#REF!,"")</f>
        <v>#REF!</v>
      </c>
      <c r="L176" s="65" t="e">
        <f>IF(E176=Data!#REF!,Data!#REF!,"")</f>
        <v>#REF!</v>
      </c>
      <c r="M176" s="65" t="e">
        <f>IF(E176=Data!#REF!,Data!#REF!,"")</f>
        <v>#REF!</v>
      </c>
      <c r="N176" s="66" t="e">
        <f>IF(AND(Data!#REF!&lt;&gt;"",Data!#REF!="Accept&amp;#233;"),Data!#REF!,"")</f>
        <v>#REF!</v>
      </c>
    </row>
    <row r="177" spans="1:14" ht="19.5" hidden="1" customHeight="1" x14ac:dyDescent="0.3">
      <c r="A177" s="59" t="e">
        <f>IF(AND(Data!#REF!&lt;&gt;"",Data!#REF!="Accept&amp;#233;"),Data!#REF!,"")</f>
        <v>#REF!</v>
      </c>
      <c r="B177" s="59" t="e">
        <f>IF(AND(Data!#REF!&lt;&gt;"",Data!#REF!="Accept&amp;#233;"),Data!#REF!,"")</f>
        <v>#REF!</v>
      </c>
      <c r="C177" s="60" t="e">
        <f t="shared" si="4"/>
        <v>#REF!</v>
      </c>
      <c r="D177" s="42" t="e">
        <f>IF(AND(Data!#REF!&lt;&gt;"",Data!#REF!="Accept&amp;#233;"),Data!#REF!,"")</f>
        <v>#REF!</v>
      </c>
      <c r="E177" s="61" t="e">
        <f>IF(AND(Data!#REF!&lt;&gt;"",Data!#REF!="Accept&amp;#233;"),Data!#REF!,"")</f>
        <v>#REF!</v>
      </c>
      <c r="F177" s="62" t="e">
        <f>IF(AND(Data!#REF!&lt;&gt;"",Data!#REF!="Accept&amp;#233;"),Data!#REF!,"")</f>
        <v>#REF!</v>
      </c>
      <c r="G177" s="63" t="e">
        <f>IF(Data!#REF!='Delivery Plan'!E177,Data!#REF!,"")</f>
        <v>#REF!</v>
      </c>
      <c r="H177" s="51"/>
      <c r="I177" s="60" t="e">
        <f t="shared" si="5"/>
        <v>#REF!</v>
      </c>
      <c r="J177" s="42" t="e">
        <f>IF(AND(E177=Data!#REF!,Data!#REF!&lt;&gt;""),Data!#REF!,"")</f>
        <v>#REF!</v>
      </c>
      <c r="K177" s="64" t="e">
        <f>IF(AND(E177=Data!#REF!,Data!#REF!&lt;&gt;""),Data!#REF!,"")</f>
        <v>#REF!</v>
      </c>
      <c r="L177" s="65" t="e">
        <f>IF(E177=Data!#REF!,Data!#REF!,"")</f>
        <v>#REF!</v>
      </c>
      <c r="M177" s="65" t="e">
        <f>IF(E177=Data!#REF!,Data!#REF!,"")</f>
        <v>#REF!</v>
      </c>
      <c r="N177" s="66" t="e">
        <f>IF(AND(Data!#REF!&lt;&gt;"",Data!#REF!="Accept&amp;#233;"),Data!#REF!,"")</f>
        <v>#REF!</v>
      </c>
    </row>
    <row r="178" spans="1:14" ht="19.5" hidden="1" customHeight="1" x14ac:dyDescent="0.3">
      <c r="A178" s="59" t="e">
        <f>IF(AND(Data!#REF!&lt;&gt;"",Data!#REF!="Accept&amp;#233;"),Data!#REF!,"")</f>
        <v>#REF!</v>
      </c>
      <c r="B178" s="59" t="e">
        <f>IF(AND(Data!#REF!&lt;&gt;"",Data!#REF!="Accept&amp;#233;"),Data!#REF!,"")</f>
        <v>#REF!</v>
      </c>
      <c r="C178" s="60" t="e">
        <f t="shared" si="4"/>
        <v>#REF!</v>
      </c>
      <c r="D178" s="42" t="e">
        <f>IF(AND(Data!#REF!&lt;&gt;"",Data!#REF!="Accept&amp;#233;"),Data!#REF!,"")</f>
        <v>#REF!</v>
      </c>
      <c r="E178" s="61" t="e">
        <f>IF(AND(Data!#REF!&lt;&gt;"",Data!#REF!="Accept&amp;#233;"),Data!#REF!,"")</f>
        <v>#REF!</v>
      </c>
      <c r="F178" s="62" t="e">
        <f>IF(AND(Data!#REF!&lt;&gt;"",Data!#REF!="Accept&amp;#233;"),Data!#REF!,"")</f>
        <v>#REF!</v>
      </c>
      <c r="G178" s="63" t="e">
        <f>IF(Data!#REF!='Delivery Plan'!E178,Data!#REF!,"")</f>
        <v>#REF!</v>
      </c>
      <c r="H178" s="51"/>
      <c r="I178" s="60" t="e">
        <f t="shared" si="5"/>
        <v>#REF!</v>
      </c>
      <c r="J178" s="42" t="e">
        <f>IF(AND(E178=Data!#REF!,Data!#REF!&lt;&gt;""),Data!#REF!,"")</f>
        <v>#REF!</v>
      </c>
      <c r="K178" s="64" t="e">
        <f>IF(AND(E178=Data!#REF!,Data!#REF!&lt;&gt;""),Data!#REF!,"")</f>
        <v>#REF!</v>
      </c>
      <c r="L178" s="65" t="e">
        <f>IF(E178=Data!#REF!,Data!#REF!,"")</f>
        <v>#REF!</v>
      </c>
      <c r="M178" s="65" t="e">
        <f>IF(E178=Data!#REF!,Data!#REF!,"")</f>
        <v>#REF!</v>
      </c>
      <c r="N178" s="66" t="e">
        <f>IF(AND(Data!#REF!&lt;&gt;"",Data!#REF!="Accept&amp;#233;"),Data!#REF!,"")</f>
        <v>#REF!</v>
      </c>
    </row>
    <row r="179" spans="1:14" ht="19.5" hidden="1" customHeight="1" x14ac:dyDescent="0.3">
      <c r="A179" s="59" t="e">
        <f>IF(AND(Data!#REF!&lt;&gt;"",Data!#REF!="Accept&amp;#233;"),Data!#REF!,"")</f>
        <v>#REF!</v>
      </c>
      <c r="B179" s="59" t="e">
        <f>IF(AND(Data!#REF!&lt;&gt;"",Data!#REF!="Accept&amp;#233;"),Data!#REF!,"")</f>
        <v>#REF!</v>
      </c>
      <c r="C179" s="60" t="e">
        <f t="shared" si="4"/>
        <v>#REF!</v>
      </c>
      <c r="D179" s="42" t="e">
        <f>IF(AND(Data!#REF!&lt;&gt;"",Data!#REF!="Accept&amp;#233;"),Data!#REF!,"")</f>
        <v>#REF!</v>
      </c>
      <c r="E179" s="61" t="e">
        <f>IF(AND(Data!#REF!&lt;&gt;"",Data!#REF!="Accept&amp;#233;"),Data!#REF!,"")</f>
        <v>#REF!</v>
      </c>
      <c r="F179" s="62" t="e">
        <f>IF(AND(Data!#REF!&lt;&gt;"",Data!#REF!="Accept&amp;#233;"),Data!#REF!,"")</f>
        <v>#REF!</v>
      </c>
      <c r="G179" s="63" t="e">
        <f>IF(Data!#REF!='Delivery Plan'!E179,Data!#REF!,"")</f>
        <v>#REF!</v>
      </c>
      <c r="H179" s="51"/>
      <c r="I179" s="60" t="e">
        <f t="shared" si="5"/>
        <v>#REF!</v>
      </c>
      <c r="J179" s="42" t="e">
        <f>IF(AND(E179=Data!#REF!,Data!#REF!&lt;&gt;""),Data!#REF!,"")</f>
        <v>#REF!</v>
      </c>
      <c r="K179" s="64" t="e">
        <f>IF(AND(E179=Data!#REF!,Data!#REF!&lt;&gt;""),Data!#REF!,"")</f>
        <v>#REF!</v>
      </c>
      <c r="L179" s="65" t="e">
        <f>IF(E179=Data!#REF!,Data!#REF!,"")</f>
        <v>#REF!</v>
      </c>
      <c r="M179" s="65" t="e">
        <f>IF(E179=Data!#REF!,Data!#REF!,"")</f>
        <v>#REF!</v>
      </c>
      <c r="N179" s="66" t="e">
        <f>IF(AND(Data!#REF!&lt;&gt;"",Data!#REF!="Accept&amp;#233;"),Data!#REF!,"")</f>
        <v>#REF!</v>
      </c>
    </row>
    <row r="180" spans="1:14" ht="19.5" hidden="1" customHeight="1" x14ac:dyDescent="0.3">
      <c r="A180" s="59" t="e">
        <f>IF(AND(Data!#REF!&lt;&gt;"",Data!#REF!="Accept&amp;#233;"),Data!#REF!,"")</f>
        <v>#REF!</v>
      </c>
      <c r="B180" s="59" t="e">
        <f>IF(AND(Data!#REF!&lt;&gt;"",Data!#REF!="Accept&amp;#233;"),Data!#REF!,"")</f>
        <v>#REF!</v>
      </c>
      <c r="C180" s="60" t="e">
        <f t="shared" si="4"/>
        <v>#REF!</v>
      </c>
      <c r="D180" s="42" t="e">
        <f>IF(AND(Data!#REF!&lt;&gt;"",Data!#REF!="Accept&amp;#233;"),Data!#REF!,"")</f>
        <v>#REF!</v>
      </c>
      <c r="E180" s="61" t="e">
        <f>IF(AND(Data!#REF!&lt;&gt;"",Data!#REF!="Accept&amp;#233;"),Data!#REF!,"")</f>
        <v>#REF!</v>
      </c>
      <c r="F180" s="62" t="e">
        <f>IF(AND(Data!#REF!&lt;&gt;"",Data!#REF!="Accept&amp;#233;"),Data!#REF!,"")</f>
        <v>#REF!</v>
      </c>
      <c r="G180" s="63" t="e">
        <f>IF(Data!#REF!='Delivery Plan'!E180,Data!#REF!,"")</f>
        <v>#REF!</v>
      </c>
      <c r="H180" s="51"/>
      <c r="I180" s="60" t="e">
        <f t="shared" si="5"/>
        <v>#REF!</v>
      </c>
      <c r="J180" s="42" t="e">
        <f>IF(AND(E180=Data!#REF!,Data!#REF!&lt;&gt;""),Data!#REF!,"")</f>
        <v>#REF!</v>
      </c>
      <c r="K180" s="64" t="e">
        <f>IF(AND(E180=Data!#REF!,Data!#REF!&lt;&gt;""),Data!#REF!,"")</f>
        <v>#REF!</v>
      </c>
      <c r="L180" s="65" t="e">
        <f>IF(E180=Data!#REF!,Data!#REF!,"")</f>
        <v>#REF!</v>
      </c>
      <c r="M180" s="65" t="e">
        <f>IF(E180=Data!#REF!,Data!#REF!,"")</f>
        <v>#REF!</v>
      </c>
      <c r="N180" s="66" t="e">
        <f>IF(AND(Data!#REF!&lt;&gt;"",Data!#REF!="Accept&amp;#233;"),Data!#REF!,"")</f>
        <v>#REF!</v>
      </c>
    </row>
    <row r="181" spans="1:14" ht="19.5" hidden="1" customHeight="1" x14ac:dyDescent="0.3">
      <c r="A181" s="59" t="e">
        <f>IF(AND(Data!#REF!&lt;&gt;"",Data!#REF!="Accept&amp;#233;"),Data!#REF!,"")</f>
        <v>#REF!</v>
      </c>
      <c r="B181" s="59" t="e">
        <f>IF(AND(Data!#REF!&lt;&gt;"",Data!#REF!="Accept&amp;#233;"),Data!#REF!,"")</f>
        <v>#REF!</v>
      </c>
      <c r="C181" s="60" t="e">
        <f t="shared" si="4"/>
        <v>#REF!</v>
      </c>
      <c r="D181" s="42" t="e">
        <f>IF(AND(Data!#REF!&lt;&gt;"",Data!#REF!="Accept&amp;#233;"),Data!#REF!,"")</f>
        <v>#REF!</v>
      </c>
      <c r="E181" s="61" t="e">
        <f>IF(AND(Data!#REF!&lt;&gt;"",Data!#REF!="Accept&amp;#233;"),Data!#REF!,"")</f>
        <v>#REF!</v>
      </c>
      <c r="F181" s="62" t="e">
        <f>IF(AND(Data!#REF!&lt;&gt;"",Data!#REF!="Accept&amp;#233;"),Data!#REF!,"")</f>
        <v>#REF!</v>
      </c>
      <c r="G181" s="63" t="e">
        <f>IF(Data!#REF!='Delivery Plan'!E181,Data!#REF!,"")</f>
        <v>#REF!</v>
      </c>
      <c r="H181" s="51"/>
      <c r="I181" s="60" t="e">
        <f t="shared" si="5"/>
        <v>#REF!</v>
      </c>
      <c r="J181" s="42" t="e">
        <f>IF(AND(E181=Data!#REF!,Data!#REF!&lt;&gt;""),Data!#REF!,"")</f>
        <v>#REF!</v>
      </c>
      <c r="K181" s="64" t="e">
        <f>IF(AND(E181=Data!#REF!,Data!#REF!&lt;&gt;""),Data!#REF!,"")</f>
        <v>#REF!</v>
      </c>
      <c r="L181" s="65" t="e">
        <f>IF(E181=Data!#REF!,Data!#REF!,"")</f>
        <v>#REF!</v>
      </c>
      <c r="M181" s="65" t="e">
        <f>IF(E181=Data!#REF!,Data!#REF!,"")</f>
        <v>#REF!</v>
      </c>
      <c r="N181" s="66" t="e">
        <f>IF(AND(Data!#REF!&lt;&gt;"",Data!#REF!="Accept&amp;#233;"),Data!#REF!,"")</f>
        <v>#REF!</v>
      </c>
    </row>
    <row r="182" spans="1:14" ht="19.5" hidden="1" customHeight="1" x14ac:dyDescent="0.3">
      <c r="A182" s="59" t="e">
        <f>IF(AND(Data!#REF!&lt;&gt;"",Data!#REF!="Accept&amp;#233;"),Data!#REF!,"")</f>
        <v>#REF!</v>
      </c>
      <c r="B182" s="59" t="e">
        <f>IF(AND(Data!#REF!&lt;&gt;"",Data!#REF!="Accept&amp;#233;"),Data!#REF!,"")</f>
        <v>#REF!</v>
      </c>
      <c r="C182" s="60" t="e">
        <f t="shared" si="4"/>
        <v>#REF!</v>
      </c>
      <c r="D182" s="42" t="e">
        <f>IF(AND(Data!#REF!&lt;&gt;"",Data!#REF!="Accept&amp;#233;"),Data!#REF!,"")</f>
        <v>#REF!</v>
      </c>
      <c r="E182" s="61" t="e">
        <f>IF(AND(Data!#REF!&lt;&gt;"",Data!#REF!="Accept&amp;#233;"),Data!#REF!,"")</f>
        <v>#REF!</v>
      </c>
      <c r="F182" s="62" t="e">
        <f>IF(AND(Data!#REF!&lt;&gt;"",Data!#REF!="Accept&amp;#233;"),Data!#REF!,"")</f>
        <v>#REF!</v>
      </c>
      <c r="G182" s="63" t="e">
        <f>IF(Data!#REF!='Delivery Plan'!E182,Data!#REF!,"")</f>
        <v>#REF!</v>
      </c>
      <c r="H182" s="51"/>
      <c r="I182" s="60" t="e">
        <f t="shared" si="5"/>
        <v>#REF!</v>
      </c>
      <c r="J182" s="42" t="e">
        <f>IF(AND(E182=Data!#REF!,Data!#REF!&lt;&gt;""),Data!#REF!,"")</f>
        <v>#REF!</v>
      </c>
      <c r="K182" s="64" t="e">
        <f>IF(AND(E182=Data!#REF!,Data!#REF!&lt;&gt;""),Data!#REF!,"")</f>
        <v>#REF!</v>
      </c>
      <c r="L182" s="65" t="e">
        <f>IF(E182=Data!#REF!,Data!#REF!,"")</f>
        <v>#REF!</v>
      </c>
      <c r="M182" s="65" t="e">
        <f>IF(E182=Data!#REF!,Data!#REF!,"")</f>
        <v>#REF!</v>
      </c>
      <c r="N182" s="66" t="e">
        <f>IF(AND(Data!#REF!&lt;&gt;"",Data!#REF!="Accept&amp;#233;"),Data!#REF!,"")</f>
        <v>#REF!</v>
      </c>
    </row>
    <row r="183" spans="1:14" ht="19.5" hidden="1" customHeight="1" x14ac:dyDescent="0.3">
      <c r="A183" s="59" t="e">
        <f>IF(AND(Data!#REF!&lt;&gt;"",Data!#REF!="Accept&amp;#233;"),Data!#REF!,"")</f>
        <v>#REF!</v>
      </c>
      <c r="B183" s="59" t="e">
        <f>IF(AND(Data!#REF!&lt;&gt;"",Data!#REF!="Accept&amp;#233;"),Data!#REF!,"")</f>
        <v>#REF!</v>
      </c>
      <c r="C183" s="60" t="e">
        <f t="shared" si="4"/>
        <v>#REF!</v>
      </c>
      <c r="D183" s="42" t="e">
        <f>IF(AND(Data!#REF!&lt;&gt;"",Data!#REF!="Accept&amp;#233;"),Data!#REF!,"")</f>
        <v>#REF!</v>
      </c>
      <c r="E183" s="61" t="e">
        <f>IF(AND(Data!#REF!&lt;&gt;"",Data!#REF!="Accept&amp;#233;"),Data!#REF!,"")</f>
        <v>#REF!</v>
      </c>
      <c r="F183" s="62" t="e">
        <f>IF(AND(Data!#REF!&lt;&gt;"",Data!#REF!="Accept&amp;#233;"),Data!#REF!,"")</f>
        <v>#REF!</v>
      </c>
      <c r="G183" s="63" t="e">
        <f>IF(Data!#REF!='Delivery Plan'!E183,Data!#REF!,"")</f>
        <v>#REF!</v>
      </c>
      <c r="H183" s="51"/>
      <c r="I183" s="60" t="e">
        <f t="shared" si="5"/>
        <v>#REF!</v>
      </c>
      <c r="J183" s="42" t="e">
        <f>IF(AND(E183=Data!#REF!,Data!#REF!&lt;&gt;""),Data!#REF!,"")</f>
        <v>#REF!</v>
      </c>
      <c r="K183" s="64" t="e">
        <f>IF(AND(E183=Data!#REF!,Data!#REF!&lt;&gt;""),Data!#REF!,"")</f>
        <v>#REF!</v>
      </c>
      <c r="L183" s="65" t="e">
        <f>IF(E183=Data!#REF!,Data!#REF!,"")</f>
        <v>#REF!</v>
      </c>
      <c r="M183" s="65" t="e">
        <f>IF(E183=Data!#REF!,Data!#REF!,"")</f>
        <v>#REF!</v>
      </c>
      <c r="N183" s="66" t="e">
        <f>IF(AND(Data!#REF!&lt;&gt;"",Data!#REF!="Accept&amp;#233;"),Data!#REF!,"")</f>
        <v>#REF!</v>
      </c>
    </row>
    <row r="184" spans="1:14" ht="19.5" hidden="1" customHeight="1" x14ac:dyDescent="0.3">
      <c r="A184" s="59" t="e">
        <f>IF(AND(Data!#REF!&lt;&gt;"",Data!#REF!="Accept&amp;#233;"),Data!#REF!,"")</f>
        <v>#REF!</v>
      </c>
      <c r="B184" s="59" t="e">
        <f>IF(AND(Data!#REF!&lt;&gt;"",Data!#REF!="Accept&amp;#233;"),Data!#REF!,"")</f>
        <v>#REF!</v>
      </c>
      <c r="C184" s="60" t="e">
        <f t="shared" si="4"/>
        <v>#REF!</v>
      </c>
      <c r="D184" s="42" t="e">
        <f>IF(AND(Data!#REF!&lt;&gt;"",Data!#REF!="Accept&amp;#233;"),Data!#REF!,"")</f>
        <v>#REF!</v>
      </c>
      <c r="E184" s="61" t="e">
        <f>IF(AND(Data!#REF!&lt;&gt;"",Data!#REF!="Accept&amp;#233;"),Data!#REF!,"")</f>
        <v>#REF!</v>
      </c>
      <c r="F184" s="62" t="e">
        <f>IF(AND(Data!#REF!&lt;&gt;"",Data!#REF!="Accept&amp;#233;"),Data!#REF!,"")</f>
        <v>#REF!</v>
      </c>
      <c r="G184" s="63" t="e">
        <f>IF(Data!#REF!='Delivery Plan'!E184,Data!#REF!,"")</f>
        <v>#REF!</v>
      </c>
      <c r="H184" s="51"/>
      <c r="I184" s="60" t="e">
        <f t="shared" si="5"/>
        <v>#REF!</v>
      </c>
      <c r="J184" s="42" t="e">
        <f>IF(AND(E184=Data!#REF!,Data!#REF!&lt;&gt;""),Data!#REF!,"")</f>
        <v>#REF!</v>
      </c>
      <c r="K184" s="64" t="e">
        <f>IF(AND(E184=Data!#REF!,Data!#REF!&lt;&gt;""),Data!#REF!,"")</f>
        <v>#REF!</v>
      </c>
      <c r="L184" s="65" t="e">
        <f>IF(E184=Data!#REF!,Data!#REF!,"")</f>
        <v>#REF!</v>
      </c>
      <c r="M184" s="65" t="e">
        <f>IF(E184=Data!#REF!,Data!#REF!,"")</f>
        <v>#REF!</v>
      </c>
      <c r="N184" s="66" t="e">
        <f>IF(AND(Data!#REF!&lt;&gt;"",Data!#REF!="Accept&amp;#233;"),Data!#REF!,"")</f>
        <v>#REF!</v>
      </c>
    </row>
    <row r="185" spans="1:14" ht="19.5" hidden="1" customHeight="1" x14ac:dyDescent="0.3">
      <c r="A185" s="59" t="e">
        <f>IF(AND(Data!#REF!&lt;&gt;"",Data!#REF!="Accept&amp;#233;"),Data!#REF!,"")</f>
        <v>#REF!</v>
      </c>
      <c r="B185" s="59" t="e">
        <f>IF(AND(Data!#REF!&lt;&gt;"",Data!#REF!="Accept&amp;#233;"),Data!#REF!,"")</f>
        <v>#REF!</v>
      </c>
      <c r="C185" s="60" t="e">
        <f t="shared" si="4"/>
        <v>#REF!</v>
      </c>
      <c r="D185" s="42" t="e">
        <f>IF(AND(Data!#REF!&lt;&gt;"",Data!#REF!="Accept&amp;#233;"),Data!#REF!,"")</f>
        <v>#REF!</v>
      </c>
      <c r="E185" s="61" t="e">
        <f>IF(AND(Data!#REF!&lt;&gt;"",Data!#REF!="Accept&amp;#233;"),Data!#REF!,"")</f>
        <v>#REF!</v>
      </c>
      <c r="F185" s="62" t="e">
        <f>IF(AND(Data!#REF!&lt;&gt;"",Data!#REF!="Accept&amp;#233;"),Data!#REF!,"")</f>
        <v>#REF!</v>
      </c>
      <c r="G185" s="63" t="e">
        <f>IF(Data!#REF!='Delivery Plan'!E185,Data!#REF!,"")</f>
        <v>#REF!</v>
      </c>
      <c r="H185" s="51"/>
      <c r="I185" s="60" t="e">
        <f t="shared" si="5"/>
        <v>#REF!</v>
      </c>
      <c r="J185" s="42" t="e">
        <f>IF(AND(E185=Data!#REF!,Data!#REF!&lt;&gt;""),Data!#REF!,"")</f>
        <v>#REF!</v>
      </c>
      <c r="K185" s="64" t="e">
        <f>IF(AND(E185=Data!#REF!,Data!#REF!&lt;&gt;""),Data!#REF!,"")</f>
        <v>#REF!</v>
      </c>
      <c r="L185" s="65" t="e">
        <f>IF(E185=Data!#REF!,Data!#REF!,"")</f>
        <v>#REF!</v>
      </c>
      <c r="M185" s="65" t="e">
        <f>IF(E185=Data!#REF!,Data!#REF!,"")</f>
        <v>#REF!</v>
      </c>
      <c r="N185" s="66" t="e">
        <f>IF(AND(Data!#REF!&lt;&gt;"",Data!#REF!="Accept&amp;#233;"),Data!#REF!,"")</f>
        <v>#REF!</v>
      </c>
    </row>
    <row r="186" spans="1:14" ht="19.5" hidden="1" customHeight="1" x14ac:dyDescent="0.3">
      <c r="A186" s="59" t="e">
        <f>IF(AND(Data!#REF!&lt;&gt;"",Data!#REF!="Accept&amp;#233;"),Data!#REF!,"")</f>
        <v>#REF!</v>
      </c>
      <c r="B186" s="59" t="e">
        <f>IF(AND(Data!#REF!&lt;&gt;"",Data!#REF!="Accept&amp;#233;"),Data!#REF!,"")</f>
        <v>#REF!</v>
      </c>
      <c r="C186" s="60" t="e">
        <f t="shared" si="4"/>
        <v>#REF!</v>
      </c>
      <c r="D186" s="42" t="e">
        <f>IF(AND(Data!#REF!&lt;&gt;"",Data!#REF!="Accept&amp;#233;"),Data!#REF!,"")</f>
        <v>#REF!</v>
      </c>
      <c r="E186" s="61" t="e">
        <f>IF(AND(Data!#REF!&lt;&gt;"",Data!#REF!="Accept&amp;#233;"),Data!#REF!,"")</f>
        <v>#REF!</v>
      </c>
      <c r="F186" s="62" t="e">
        <f>IF(AND(Data!#REF!&lt;&gt;"",Data!#REF!="Accept&amp;#233;"),Data!#REF!,"")</f>
        <v>#REF!</v>
      </c>
      <c r="G186" s="63" t="e">
        <f>IF(Data!#REF!='Delivery Plan'!E186,Data!#REF!,"")</f>
        <v>#REF!</v>
      </c>
      <c r="H186" s="51"/>
      <c r="I186" s="60" t="e">
        <f t="shared" si="5"/>
        <v>#REF!</v>
      </c>
      <c r="J186" s="42" t="e">
        <f>IF(AND(E186=Data!#REF!,Data!#REF!&lt;&gt;""),Data!#REF!,"")</f>
        <v>#REF!</v>
      </c>
      <c r="K186" s="64" t="e">
        <f>IF(AND(E186=Data!#REF!,Data!#REF!&lt;&gt;""),Data!#REF!,"")</f>
        <v>#REF!</v>
      </c>
      <c r="L186" s="65" t="e">
        <f>IF(E186=Data!#REF!,Data!#REF!,"")</f>
        <v>#REF!</v>
      </c>
      <c r="M186" s="65" t="e">
        <f>IF(E186=Data!#REF!,Data!#REF!,"")</f>
        <v>#REF!</v>
      </c>
      <c r="N186" s="66" t="e">
        <f>IF(AND(Data!#REF!&lt;&gt;"",Data!#REF!="Accept&amp;#233;"),Data!#REF!,"")</f>
        <v>#REF!</v>
      </c>
    </row>
    <row r="187" spans="1:14" ht="19.5" hidden="1" customHeight="1" x14ac:dyDescent="0.3">
      <c r="A187" s="59" t="e">
        <f>IF(AND(Data!#REF!&lt;&gt;"",Data!#REF!="Accept&amp;#233;"),Data!#REF!,"")</f>
        <v>#REF!</v>
      </c>
      <c r="B187" s="59" t="e">
        <f>IF(AND(Data!#REF!&lt;&gt;"",Data!#REF!="Accept&amp;#233;"),Data!#REF!,"")</f>
        <v>#REF!</v>
      </c>
      <c r="C187" s="60" t="e">
        <f t="shared" si="4"/>
        <v>#REF!</v>
      </c>
      <c r="D187" s="42" t="e">
        <f>IF(AND(Data!#REF!&lt;&gt;"",Data!#REF!="Accept&amp;#233;"),Data!#REF!,"")</f>
        <v>#REF!</v>
      </c>
      <c r="E187" s="61" t="e">
        <f>IF(AND(Data!#REF!&lt;&gt;"",Data!#REF!="Accept&amp;#233;"),Data!#REF!,"")</f>
        <v>#REF!</v>
      </c>
      <c r="F187" s="62" t="e">
        <f>IF(AND(Data!#REF!&lt;&gt;"",Data!#REF!="Accept&amp;#233;"),Data!#REF!,"")</f>
        <v>#REF!</v>
      </c>
      <c r="G187" s="63" t="e">
        <f>IF(Data!#REF!='Delivery Plan'!E187,Data!#REF!,"")</f>
        <v>#REF!</v>
      </c>
      <c r="H187" s="51"/>
      <c r="I187" s="60" t="e">
        <f t="shared" si="5"/>
        <v>#REF!</v>
      </c>
      <c r="J187" s="42" t="e">
        <f>IF(AND(E187=Data!#REF!,Data!#REF!&lt;&gt;""),Data!#REF!,"")</f>
        <v>#REF!</v>
      </c>
      <c r="K187" s="64" t="e">
        <f>IF(AND(E187=Data!#REF!,Data!#REF!&lt;&gt;""),Data!#REF!,"")</f>
        <v>#REF!</v>
      </c>
      <c r="L187" s="65" t="e">
        <f>IF(E187=Data!#REF!,Data!#REF!,"")</f>
        <v>#REF!</v>
      </c>
      <c r="M187" s="65" t="e">
        <f>IF(E187=Data!#REF!,Data!#REF!,"")</f>
        <v>#REF!</v>
      </c>
      <c r="N187" s="66" t="e">
        <f>IF(AND(Data!#REF!&lt;&gt;"",Data!#REF!="Accept&amp;#233;"),Data!#REF!,"")</f>
        <v>#REF!</v>
      </c>
    </row>
    <row r="188" spans="1:14" ht="19.5" hidden="1" customHeight="1" x14ac:dyDescent="0.3">
      <c r="A188" s="59" t="e">
        <f>IF(AND(Data!#REF!&lt;&gt;"",Data!#REF!="Accept&amp;#233;"),Data!#REF!,"")</f>
        <v>#REF!</v>
      </c>
      <c r="B188" s="59" t="e">
        <f>IF(AND(Data!#REF!&lt;&gt;"",Data!#REF!="Accept&amp;#233;"),Data!#REF!,"")</f>
        <v>#REF!</v>
      </c>
      <c r="C188" s="60" t="e">
        <f t="shared" si="4"/>
        <v>#REF!</v>
      </c>
      <c r="D188" s="42" t="e">
        <f>IF(AND(Data!#REF!&lt;&gt;"",Data!#REF!="Accept&amp;#233;"),Data!#REF!,"")</f>
        <v>#REF!</v>
      </c>
      <c r="E188" s="61" t="e">
        <f>IF(AND(Data!#REF!&lt;&gt;"",Data!#REF!="Accept&amp;#233;"),Data!#REF!,"")</f>
        <v>#REF!</v>
      </c>
      <c r="F188" s="62" t="e">
        <f>IF(AND(Data!#REF!&lt;&gt;"",Data!#REF!="Accept&amp;#233;"),Data!#REF!,"")</f>
        <v>#REF!</v>
      </c>
      <c r="G188" s="63" t="e">
        <f>IF(Data!#REF!='Delivery Plan'!E188,Data!#REF!,"")</f>
        <v>#REF!</v>
      </c>
      <c r="H188" s="51"/>
      <c r="I188" s="60" t="e">
        <f t="shared" si="5"/>
        <v>#REF!</v>
      </c>
      <c r="J188" s="42" t="e">
        <f>IF(AND(E188=Data!#REF!,Data!#REF!&lt;&gt;""),Data!#REF!,"")</f>
        <v>#REF!</v>
      </c>
      <c r="K188" s="64" t="e">
        <f>IF(AND(E188=Data!#REF!,Data!#REF!&lt;&gt;""),Data!#REF!,"")</f>
        <v>#REF!</v>
      </c>
      <c r="L188" s="65" t="e">
        <f>IF(E188=Data!#REF!,Data!#REF!,"")</f>
        <v>#REF!</v>
      </c>
      <c r="M188" s="65" t="e">
        <f>IF(E188=Data!#REF!,Data!#REF!,"")</f>
        <v>#REF!</v>
      </c>
      <c r="N188" s="66" t="e">
        <f>IF(AND(Data!#REF!&lt;&gt;"",Data!#REF!="Accept&amp;#233;"),Data!#REF!,"")</f>
        <v>#REF!</v>
      </c>
    </row>
    <row r="189" spans="1:14" ht="19.5" hidden="1" customHeight="1" x14ac:dyDescent="0.3">
      <c r="A189" s="59" t="e">
        <f>IF(AND(Data!#REF!&lt;&gt;"",Data!#REF!="Accept&amp;#233;"),Data!#REF!,"")</f>
        <v>#REF!</v>
      </c>
      <c r="B189" s="59" t="e">
        <f>IF(AND(Data!#REF!&lt;&gt;"",Data!#REF!="Accept&amp;#233;"),Data!#REF!,"")</f>
        <v>#REF!</v>
      </c>
      <c r="C189" s="60" t="e">
        <f t="shared" si="4"/>
        <v>#REF!</v>
      </c>
      <c r="D189" s="42" t="e">
        <f>IF(AND(Data!#REF!&lt;&gt;"",Data!#REF!="Accept&amp;#233;"),Data!#REF!,"")</f>
        <v>#REF!</v>
      </c>
      <c r="E189" s="61" t="e">
        <f>IF(AND(Data!#REF!&lt;&gt;"",Data!#REF!="Accept&amp;#233;"),Data!#REF!,"")</f>
        <v>#REF!</v>
      </c>
      <c r="F189" s="62" t="e">
        <f>IF(AND(Data!#REF!&lt;&gt;"",Data!#REF!="Accept&amp;#233;"),Data!#REF!,"")</f>
        <v>#REF!</v>
      </c>
      <c r="G189" s="63" t="e">
        <f>IF(Data!#REF!='Delivery Plan'!E189,Data!#REF!,"")</f>
        <v>#REF!</v>
      </c>
      <c r="H189" s="51"/>
      <c r="I189" s="60" t="e">
        <f t="shared" si="5"/>
        <v>#REF!</v>
      </c>
      <c r="J189" s="42" t="e">
        <f>IF(AND(E189=Data!#REF!,Data!#REF!&lt;&gt;""),Data!#REF!,"")</f>
        <v>#REF!</v>
      </c>
      <c r="K189" s="64" t="e">
        <f>IF(AND(E189=Data!#REF!,Data!#REF!&lt;&gt;""),Data!#REF!,"")</f>
        <v>#REF!</v>
      </c>
      <c r="L189" s="65" t="e">
        <f>IF(E189=Data!#REF!,Data!#REF!,"")</f>
        <v>#REF!</v>
      </c>
      <c r="M189" s="65" t="e">
        <f>IF(E189=Data!#REF!,Data!#REF!,"")</f>
        <v>#REF!</v>
      </c>
      <c r="N189" s="66" t="e">
        <f>IF(AND(Data!#REF!&lt;&gt;"",Data!#REF!="Accept&amp;#233;"),Data!#REF!,"")</f>
        <v>#REF!</v>
      </c>
    </row>
    <row r="190" spans="1:14" ht="19.5" hidden="1" customHeight="1" x14ac:dyDescent="0.3">
      <c r="A190" s="59" t="e">
        <f>IF(AND(Data!#REF!&lt;&gt;"",Data!#REF!="Accept&amp;#233;"),Data!#REF!,"")</f>
        <v>#REF!</v>
      </c>
      <c r="B190" s="59" t="e">
        <f>IF(AND(Data!#REF!&lt;&gt;"",Data!#REF!="Accept&amp;#233;"),Data!#REF!,"")</f>
        <v>#REF!</v>
      </c>
      <c r="C190" s="60" t="e">
        <f t="shared" si="4"/>
        <v>#REF!</v>
      </c>
      <c r="D190" s="42" t="e">
        <f>IF(AND(Data!#REF!&lt;&gt;"",Data!#REF!="Accept&amp;#233;"),Data!#REF!,"")</f>
        <v>#REF!</v>
      </c>
      <c r="E190" s="61" t="e">
        <f>IF(AND(Data!#REF!&lt;&gt;"",Data!#REF!="Accept&amp;#233;"),Data!#REF!,"")</f>
        <v>#REF!</v>
      </c>
      <c r="F190" s="62" t="e">
        <f>IF(AND(Data!#REF!&lt;&gt;"",Data!#REF!="Accept&amp;#233;"),Data!#REF!,"")</f>
        <v>#REF!</v>
      </c>
      <c r="G190" s="63" t="e">
        <f>IF(Data!#REF!='Delivery Plan'!E190,Data!#REF!,"")</f>
        <v>#REF!</v>
      </c>
      <c r="H190" s="51"/>
      <c r="I190" s="60" t="e">
        <f t="shared" si="5"/>
        <v>#REF!</v>
      </c>
      <c r="J190" s="42" t="e">
        <f>IF(AND(E190=Data!#REF!,Data!#REF!&lt;&gt;""),Data!#REF!,"")</f>
        <v>#REF!</v>
      </c>
      <c r="K190" s="64" t="e">
        <f>IF(AND(E190=Data!#REF!,Data!#REF!&lt;&gt;""),Data!#REF!,"")</f>
        <v>#REF!</v>
      </c>
      <c r="L190" s="65" t="e">
        <f>IF(E190=Data!#REF!,Data!#REF!,"")</f>
        <v>#REF!</v>
      </c>
      <c r="M190" s="65" t="e">
        <f>IF(E190=Data!#REF!,Data!#REF!,"")</f>
        <v>#REF!</v>
      </c>
      <c r="N190" s="66" t="e">
        <f>IF(AND(Data!#REF!&lt;&gt;"",Data!#REF!="Accept&amp;#233;"),Data!#REF!,"")</f>
        <v>#REF!</v>
      </c>
    </row>
    <row r="191" spans="1:14" ht="19.5" hidden="1" customHeight="1" x14ac:dyDescent="0.3">
      <c r="A191" s="59" t="e">
        <f>IF(AND(Data!#REF!&lt;&gt;"",Data!#REF!="Accept&amp;#233;"),Data!#REF!,"")</f>
        <v>#REF!</v>
      </c>
      <c r="B191" s="59" t="e">
        <f>IF(AND(Data!#REF!&lt;&gt;"",Data!#REF!="Accept&amp;#233;"),Data!#REF!,"")</f>
        <v>#REF!</v>
      </c>
      <c r="C191" s="60" t="e">
        <f t="shared" si="4"/>
        <v>#REF!</v>
      </c>
      <c r="D191" s="42" t="e">
        <f>IF(AND(Data!#REF!&lt;&gt;"",Data!#REF!="Accept&amp;#233;"),Data!#REF!,"")</f>
        <v>#REF!</v>
      </c>
      <c r="E191" s="61" t="e">
        <f>IF(AND(Data!#REF!&lt;&gt;"",Data!#REF!="Accept&amp;#233;"),Data!#REF!,"")</f>
        <v>#REF!</v>
      </c>
      <c r="F191" s="62" t="e">
        <f>IF(AND(Data!#REF!&lt;&gt;"",Data!#REF!="Accept&amp;#233;"),Data!#REF!,"")</f>
        <v>#REF!</v>
      </c>
      <c r="G191" s="63" t="e">
        <f>IF(Data!#REF!='Delivery Plan'!E191,Data!#REF!,"")</f>
        <v>#REF!</v>
      </c>
      <c r="H191" s="51"/>
      <c r="I191" s="60" t="e">
        <f t="shared" si="5"/>
        <v>#REF!</v>
      </c>
      <c r="J191" s="42" t="e">
        <f>IF(AND(E191=Data!#REF!,Data!#REF!&lt;&gt;""),Data!#REF!,"")</f>
        <v>#REF!</v>
      </c>
      <c r="K191" s="64" t="e">
        <f>IF(AND(E191=Data!#REF!,Data!#REF!&lt;&gt;""),Data!#REF!,"")</f>
        <v>#REF!</v>
      </c>
      <c r="L191" s="65" t="e">
        <f>IF(E191=Data!#REF!,Data!#REF!,"")</f>
        <v>#REF!</v>
      </c>
      <c r="M191" s="65" t="e">
        <f>IF(E191=Data!#REF!,Data!#REF!,"")</f>
        <v>#REF!</v>
      </c>
      <c r="N191" s="66" t="e">
        <f>IF(AND(Data!#REF!&lt;&gt;"",Data!#REF!="Accept&amp;#233;"),Data!#REF!,"")</f>
        <v>#REF!</v>
      </c>
    </row>
    <row r="192" spans="1:14" ht="19.5" hidden="1" customHeight="1" x14ac:dyDescent="0.3">
      <c r="A192" s="59" t="e">
        <f>IF(AND(Data!#REF!&lt;&gt;"",Data!#REF!="Accept&amp;#233;"),Data!#REF!,"")</f>
        <v>#REF!</v>
      </c>
      <c r="B192" s="59" t="e">
        <f>IF(AND(Data!#REF!&lt;&gt;"",Data!#REF!="Accept&amp;#233;"),Data!#REF!,"")</f>
        <v>#REF!</v>
      </c>
      <c r="C192" s="60" t="e">
        <f t="shared" si="4"/>
        <v>#REF!</v>
      </c>
      <c r="D192" s="42" t="e">
        <f>IF(AND(Data!#REF!&lt;&gt;"",Data!#REF!="Accept&amp;#233;"),Data!#REF!,"")</f>
        <v>#REF!</v>
      </c>
      <c r="E192" s="61" t="e">
        <f>IF(AND(Data!#REF!&lt;&gt;"",Data!#REF!="Accept&amp;#233;"),Data!#REF!,"")</f>
        <v>#REF!</v>
      </c>
      <c r="F192" s="62" t="e">
        <f>IF(AND(Data!#REF!&lt;&gt;"",Data!#REF!="Accept&amp;#233;"),Data!#REF!,"")</f>
        <v>#REF!</v>
      </c>
      <c r="G192" s="63" t="e">
        <f>IF(Data!#REF!='Delivery Plan'!E192,Data!#REF!,"")</f>
        <v>#REF!</v>
      </c>
      <c r="H192" s="51"/>
      <c r="I192" s="60" t="e">
        <f t="shared" si="5"/>
        <v>#REF!</v>
      </c>
      <c r="J192" s="42" t="e">
        <f>IF(AND(E192=Data!#REF!,Data!#REF!&lt;&gt;""),Data!#REF!,"")</f>
        <v>#REF!</v>
      </c>
      <c r="K192" s="64" t="e">
        <f>IF(AND(E192=Data!#REF!,Data!#REF!&lt;&gt;""),Data!#REF!,"")</f>
        <v>#REF!</v>
      </c>
      <c r="L192" s="65" t="e">
        <f>IF(E192=Data!#REF!,Data!#REF!,"")</f>
        <v>#REF!</v>
      </c>
      <c r="M192" s="65" t="e">
        <f>IF(E192=Data!#REF!,Data!#REF!,"")</f>
        <v>#REF!</v>
      </c>
      <c r="N192" s="66" t="e">
        <f>IF(AND(Data!#REF!&lt;&gt;"",Data!#REF!="Accept&amp;#233;"),Data!#REF!,"")</f>
        <v>#REF!</v>
      </c>
    </row>
    <row r="193" spans="1:14" ht="19.5" hidden="1" customHeight="1" x14ac:dyDescent="0.3">
      <c r="A193" s="59" t="e">
        <f>IF(AND(Data!#REF!&lt;&gt;"",Data!#REF!="Accept&amp;#233;"),Data!#REF!,"")</f>
        <v>#REF!</v>
      </c>
      <c r="B193" s="59" t="e">
        <f>IF(AND(Data!#REF!&lt;&gt;"",Data!#REF!="Accept&amp;#233;"),Data!#REF!,"")</f>
        <v>#REF!</v>
      </c>
      <c r="C193" s="60" t="e">
        <f t="shared" si="4"/>
        <v>#REF!</v>
      </c>
      <c r="D193" s="42" t="e">
        <f>IF(AND(Data!#REF!&lt;&gt;"",Data!#REF!="Accept&amp;#233;"),Data!#REF!,"")</f>
        <v>#REF!</v>
      </c>
      <c r="E193" s="61" t="e">
        <f>IF(AND(Data!#REF!&lt;&gt;"",Data!#REF!="Accept&amp;#233;"),Data!#REF!,"")</f>
        <v>#REF!</v>
      </c>
      <c r="F193" s="62" t="e">
        <f>IF(AND(Data!#REF!&lt;&gt;"",Data!#REF!="Accept&amp;#233;"),Data!#REF!,"")</f>
        <v>#REF!</v>
      </c>
      <c r="G193" s="63" t="e">
        <f>IF(Data!#REF!='Delivery Plan'!E193,Data!#REF!,"")</f>
        <v>#REF!</v>
      </c>
      <c r="H193" s="51"/>
      <c r="I193" s="60" t="e">
        <f t="shared" si="5"/>
        <v>#REF!</v>
      </c>
      <c r="J193" s="42" t="e">
        <f>IF(AND(E193=Data!#REF!,Data!#REF!&lt;&gt;""),Data!#REF!,"")</f>
        <v>#REF!</v>
      </c>
      <c r="K193" s="64" t="e">
        <f>IF(AND(E193=Data!#REF!,Data!#REF!&lt;&gt;""),Data!#REF!,"")</f>
        <v>#REF!</v>
      </c>
      <c r="L193" s="65" t="e">
        <f>IF(E193=Data!#REF!,Data!#REF!,"")</f>
        <v>#REF!</v>
      </c>
      <c r="M193" s="65" t="e">
        <f>IF(E193=Data!#REF!,Data!#REF!,"")</f>
        <v>#REF!</v>
      </c>
      <c r="N193" s="66" t="e">
        <f>IF(AND(Data!#REF!&lt;&gt;"",Data!#REF!="Accept&amp;#233;"),Data!#REF!,"")</f>
        <v>#REF!</v>
      </c>
    </row>
    <row r="194" spans="1:14" ht="19.5" hidden="1" customHeight="1" x14ac:dyDescent="0.3">
      <c r="A194" s="59" t="e">
        <f>IF(AND(Data!#REF!&lt;&gt;"",Data!#REF!="Accept&amp;#233;"),Data!#REF!,"")</f>
        <v>#REF!</v>
      </c>
      <c r="B194" s="59" t="e">
        <f>IF(AND(Data!#REF!&lt;&gt;"",Data!#REF!="Accept&amp;#233;"),Data!#REF!,"")</f>
        <v>#REF!</v>
      </c>
      <c r="C194" s="60" t="e">
        <f t="shared" si="4"/>
        <v>#REF!</v>
      </c>
      <c r="D194" s="42" t="e">
        <f>IF(AND(Data!#REF!&lt;&gt;"",Data!#REF!="Accept&amp;#233;"),Data!#REF!,"")</f>
        <v>#REF!</v>
      </c>
      <c r="E194" s="61" t="e">
        <f>IF(AND(Data!#REF!&lt;&gt;"",Data!#REF!="Accept&amp;#233;"),Data!#REF!,"")</f>
        <v>#REF!</v>
      </c>
      <c r="F194" s="62" t="e">
        <f>IF(AND(Data!#REF!&lt;&gt;"",Data!#REF!="Accept&amp;#233;"),Data!#REF!,"")</f>
        <v>#REF!</v>
      </c>
      <c r="G194" s="63" t="e">
        <f>IF(Data!#REF!='Delivery Plan'!E194,Data!#REF!,"")</f>
        <v>#REF!</v>
      </c>
      <c r="H194" s="51"/>
      <c r="I194" s="60" t="e">
        <f t="shared" si="5"/>
        <v>#REF!</v>
      </c>
      <c r="J194" s="42" t="e">
        <f>IF(AND(E194=Data!#REF!,Data!#REF!&lt;&gt;""),Data!#REF!,"")</f>
        <v>#REF!</v>
      </c>
      <c r="K194" s="64" t="e">
        <f>IF(AND(E194=Data!#REF!,Data!#REF!&lt;&gt;""),Data!#REF!,"")</f>
        <v>#REF!</v>
      </c>
      <c r="L194" s="65" t="e">
        <f>IF(E194=Data!#REF!,Data!#REF!,"")</f>
        <v>#REF!</v>
      </c>
      <c r="M194" s="65" t="e">
        <f>IF(E194=Data!#REF!,Data!#REF!,"")</f>
        <v>#REF!</v>
      </c>
      <c r="N194" s="66" t="e">
        <f>IF(AND(Data!#REF!&lt;&gt;"",Data!#REF!="Accept&amp;#233;"),Data!#REF!,"")</f>
        <v>#REF!</v>
      </c>
    </row>
    <row r="195" spans="1:14" ht="19.5" hidden="1" customHeight="1" x14ac:dyDescent="0.3">
      <c r="A195" s="59" t="e">
        <f>IF(AND(Data!#REF!&lt;&gt;"",Data!#REF!="Accept&amp;#233;"),Data!#REF!,"")</f>
        <v>#REF!</v>
      </c>
      <c r="B195" s="59" t="e">
        <f>IF(AND(Data!#REF!&lt;&gt;"",Data!#REF!="Accept&amp;#233;"),Data!#REF!,"")</f>
        <v>#REF!</v>
      </c>
      <c r="C195" s="60" t="e">
        <f t="shared" si="4"/>
        <v>#REF!</v>
      </c>
      <c r="D195" s="42" t="e">
        <f>IF(AND(Data!#REF!&lt;&gt;"",Data!#REF!="Accept&amp;#233;"),Data!#REF!,"")</f>
        <v>#REF!</v>
      </c>
      <c r="E195" s="61" t="e">
        <f>IF(AND(Data!#REF!&lt;&gt;"",Data!#REF!="Accept&amp;#233;"),Data!#REF!,"")</f>
        <v>#REF!</v>
      </c>
      <c r="F195" s="62" t="e">
        <f>IF(AND(Data!#REF!&lt;&gt;"",Data!#REF!="Accept&amp;#233;"),Data!#REF!,"")</f>
        <v>#REF!</v>
      </c>
      <c r="G195" s="63" t="e">
        <f>IF(Data!#REF!='Delivery Plan'!E195,Data!#REF!,"")</f>
        <v>#REF!</v>
      </c>
      <c r="H195" s="51"/>
      <c r="I195" s="60" t="e">
        <f t="shared" si="5"/>
        <v>#REF!</v>
      </c>
      <c r="J195" s="42" t="e">
        <f>IF(AND(E195=Data!#REF!,Data!#REF!&lt;&gt;""),Data!#REF!,"")</f>
        <v>#REF!</v>
      </c>
      <c r="K195" s="64" t="e">
        <f>IF(AND(E195=Data!#REF!,Data!#REF!&lt;&gt;""),Data!#REF!,"")</f>
        <v>#REF!</v>
      </c>
      <c r="L195" s="65" t="e">
        <f>IF(E195=Data!#REF!,Data!#REF!,"")</f>
        <v>#REF!</v>
      </c>
      <c r="M195" s="65" t="e">
        <f>IF(E195=Data!#REF!,Data!#REF!,"")</f>
        <v>#REF!</v>
      </c>
      <c r="N195" s="66" t="e">
        <f>IF(AND(Data!#REF!&lt;&gt;"",Data!#REF!="Accept&amp;#233;"),Data!#REF!,"")</f>
        <v>#REF!</v>
      </c>
    </row>
    <row r="196" spans="1:14" ht="19.5" hidden="1" customHeight="1" x14ac:dyDescent="0.3">
      <c r="A196" s="59" t="e">
        <f>IF(AND(Data!#REF!&lt;&gt;"",Data!#REF!="Accept&amp;#233;"),Data!#REF!,"")</f>
        <v>#REF!</v>
      </c>
      <c r="B196" s="59" t="e">
        <f>IF(AND(Data!#REF!&lt;&gt;"",Data!#REF!="Accept&amp;#233;"),Data!#REF!,"")</f>
        <v>#REF!</v>
      </c>
      <c r="C196" s="60" t="e">
        <f t="shared" ref="C196:C259" si="6">IF(D196&lt;&gt;"","S"&amp;TEXT(WEEKNUM(D196),"00"),"")</f>
        <v>#REF!</v>
      </c>
      <c r="D196" s="42" t="e">
        <f>IF(AND(Data!#REF!&lt;&gt;"",Data!#REF!="Accept&amp;#233;"),Data!#REF!,"")</f>
        <v>#REF!</v>
      </c>
      <c r="E196" s="61" t="e">
        <f>IF(AND(Data!#REF!&lt;&gt;"",Data!#REF!="Accept&amp;#233;"),Data!#REF!,"")</f>
        <v>#REF!</v>
      </c>
      <c r="F196" s="62" t="e">
        <f>IF(AND(Data!#REF!&lt;&gt;"",Data!#REF!="Accept&amp;#233;"),Data!#REF!,"")</f>
        <v>#REF!</v>
      </c>
      <c r="G196" s="63" t="e">
        <f>IF(Data!#REF!='Delivery Plan'!E196,Data!#REF!,"")</f>
        <v>#REF!</v>
      </c>
      <c r="H196" s="51"/>
      <c r="I196" s="60" t="e">
        <f t="shared" ref="I196:I259" si="7">IF(J196&lt;&gt;"","S"&amp;TEXT(WEEKNUM(J196),"00"),"")</f>
        <v>#REF!</v>
      </c>
      <c r="J196" s="42" t="e">
        <f>IF(AND(E196=Data!#REF!,Data!#REF!&lt;&gt;""),Data!#REF!,"")</f>
        <v>#REF!</v>
      </c>
      <c r="K196" s="64" t="e">
        <f>IF(AND(E196=Data!#REF!,Data!#REF!&lt;&gt;""),Data!#REF!,"")</f>
        <v>#REF!</v>
      </c>
      <c r="L196" s="65" t="e">
        <f>IF(E196=Data!#REF!,Data!#REF!,"")</f>
        <v>#REF!</v>
      </c>
      <c r="M196" s="65" t="e">
        <f>IF(E196=Data!#REF!,Data!#REF!,"")</f>
        <v>#REF!</v>
      </c>
      <c r="N196" s="66" t="e">
        <f>IF(AND(Data!#REF!&lt;&gt;"",Data!#REF!="Accept&amp;#233;"),Data!#REF!,"")</f>
        <v>#REF!</v>
      </c>
    </row>
    <row r="197" spans="1:14" ht="19.5" hidden="1" customHeight="1" x14ac:dyDescent="0.3">
      <c r="A197" s="59" t="e">
        <f>IF(AND(Data!#REF!&lt;&gt;"",Data!#REF!="Accept&amp;#233;"),Data!#REF!,"")</f>
        <v>#REF!</v>
      </c>
      <c r="B197" s="59" t="e">
        <f>IF(AND(Data!#REF!&lt;&gt;"",Data!#REF!="Accept&amp;#233;"),Data!#REF!,"")</f>
        <v>#REF!</v>
      </c>
      <c r="C197" s="60" t="e">
        <f t="shared" si="6"/>
        <v>#REF!</v>
      </c>
      <c r="D197" s="42" t="e">
        <f>IF(AND(Data!#REF!&lt;&gt;"",Data!#REF!="Accept&amp;#233;"),Data!#REF!,"")</f>
        <v>#REF!</v>
      </c>
      <c r="E197" s="61" t="e">
        <f>IF(AND(Data!#REF!&lt;&gt;"",Data!#REF!="Accept&amp;#233;"),Data!#REF!,"")</f>
        <v>#REF!</v>
      </c>
      <c r="F197" s="62" t="e">
        <f>IF(AND(Data!#REF!&lt;&gt;"",Data!#REF!="Accept&amp;#233;"),Data!#REF!,"")</f>
        <v>#REF!</v>
      </c>
      <c r="G197" s="63" t="e">
        <f>IF(Data!#REF!='Delivery Plan'!E197,Data!#REF!,"")</f>
        <v>#REF!</v>
      </c>
      <c r="H197" s="51"/>
      <c r="I197" s="60" t="e">
        <f t="shared" si="7"/>
        <v>#REF!</v>
      </c>
      <c r="J197" s="42" t="e">
        <f>IF(AND(E197=Data!#REF!,Data!#REF!&lt;&gt;""),Data!#REF!,"")</f>
        <v>#REF!</v>
      </c>
      <c r="K197" s="64" t="e">
        <f>IF(AND(E197=Data!#REF!,Data!#REF!&lt;&gt;""),Data!#REF!,"")</f>
        <v>#REF!</v>
      </c>
      <c r="L197" s="65" t="e">
        <f>IF(E197=Data!#REF!,Data!#REF!,"")</f>
        <v>#REF!</v>
      </c>
      <c r="M197" s="65" t="e">
        <f>IF(E197=Data!#REF!,Data!#REF!,"")</f>
        <v>#REF!</v>
      </c>
      <c r="N197" s="66" t="e">
        <f>IF(AND(Data!#REF!&lt;&gt;"",Data!#REF!="Accept&amp;#233;"),Data!#REF!,"")</f>
        <v>#REF!</v>
      </c>
    </row>
    <row r="198" spans="1:14" ht="19.5" hidden="1" customHeight="1" x14ac:dyDescent="0.3">
      <c r="A198" s="59" t="e">
        <f>IF(AND(Data!#REF!&lt;&gt;"",Data!#REF!="Accept&amp;#233;"),Data!#REF!,"")</f>
        <v>#REF!</v>
      </c>
      <c r="B198" s="59" t="e">
        <f>IF(AND(Data!#REF!&lt;&gt;"",Data!#REF!="Accept&amp;#233;"),Data!#REF!,"")</f>
        <v>#REF!</v>
      </c>
      <c r="C198" s="60" t="e">
        <f t="shared" si="6"/>
        <v>#REF!</v>
      </c>
      <c r="D198" s="42" t="e">
        <f>IF(AND(Data!#REF!&lt;&gt;"",Data!#REF!="Accept&amp;#233;"),Data!#REF!,"")</f>
        <v>#REF!</v>
      </c>
      <c r="E198" s="61" t="e">
        <f>IF(AND(Data!#REF!&lt;&gt;"",Data!#REF!="Accept&amp;#233;"),Data!#REF!,"")</f>
        <v>#REF!</v>
      </c>
      <c r="F198" s="62" t="e">
        <f>IF(AND(Data!#REF!&lt;&gt;"",Data!#REF!="Accept&amp;#233;"),Data!#REF!,"")</f>
        <v>#REF!</v>
      </c>
      <c r="G198" s="63" t="e">
        <f>IF(Data!#REF!='Delivery Plan'!E198,Data!#REF!,"")</f>
        <v>#REF!</v>
      </c>
      <c r="H198" s="51"/>
      <c r="I198" s="60" t="e">
        <f t="shared" si="7"/>
        <v>#REF!</v>
      </c>
      <c r="J198" s="42" t="e">
        <f>IF(AND(E198=Data!#REF!,Data!#REF!&lt;&gt;""),Data!#REF!,"")</f>
        <v>#REF!</v>
      </c>
      <c r="K198" s="64" t="e">
        <f>IF(AND(E198=Data!#REF!,Data!#REF!&lt;&gt;""),Data!#REF!,"")</f>
        <v>#REF!</v>
      </c>
      <c r="L198" s="65" t="e">
        <f>IF(E198=Data!#REF!,Data!#REF!,"")</f>
        <v>#REF!</v>
      </c>
      <c r="M198" s="65" t="e">
        <f>IF(E198=Data!#REF!,Data!#REF!,"")</f>
        <v>#REF!</v>
      </c>
      <c r="N198" s="66" t="e">
        <f>IF(AND(Data!#REF!&lt;&gt;"",Data!#REF!="Accept&amp;#233;"),Data!#REF!,"")</f>
        <v>#REF!</v>
      </c>
    </row>
    <row r="199" spans="1:14" ht="19.5" hidden="1" customHeight="1" x14ac:dyDescent="0.3">
      <c r="A199" s="59" t="e">
        <f>IF(AND(Data!#REF!&lt;&gt;"",Data!#REF!="Accept&amp;#233;"),Data!#REF!,"")</f>
        <v>#REF!</v>
      </c>
      <c r="B199" s="59" t="e">
        <f>IF(AND(Data!#REF!&lt;&gt;"",Data!#REF!="Accept&amp;#233;"),Data!#REF!,"")</f>
        <v>#REF!</v>
      </c>
      <c r="C199" s="60" t="e">
        <f t="shared" si="6"/>
        <v>#REF!</v>
      </c>
      <c r="D199" s="42" t="e">
        <f>IF(AND(Data!#REF!&lt;&gt;"",Data!#REF!="Accept&amp;#233;"),Data!#REF!,"")</f>
        <v>#REF!</v>
      </c>
      <c r="E199" s="61" t="e">
        <f>IF(AND(Data!#REF!&lt;&gt;"",Data!#REF!="Accept&amp;#233;"),Data!#REF!,"")</f>
        <v>#REF!</v>
      </c>
      <c r="F199" s="62" t="e">
        <f>IF(AND(Data!#REF!&lt;&gt;"",Data!#REF!="Accept&amp;#233;"),Data!#REF!,"")</f>
        <v>#REF!</v>
      </c>
      <c r="G199" s="63" t="e">
        <f>IF(Data!#REF!='Delivery Plan'!E199,Data!#REF!,"")</f>
        <v>#REF!</v>
      </c>
      <c r="H199" s="51"/>
      <c r="I199" s="60" t="e">
        <f t="shared" si="7"/>
        <v>#REF!</v>
      </c>
      <c r="J199" s="42" t="e">
        <f>IF(AND(E199=Data!#REF!,Data!#REF!&lt;&gt;""),Data!#REF!,"")</f>
        <v>#REF!</v>
      </c>
      <c r="K199" s="64" t="e">
        <f>IF(AND(E199=Data!#REF!,Data!#REF!&lt;&gt;""),Data!#REF!,"")</f>
        <v>#REF!</v>
      </c>
      <c r="L199" s="65" t="e">
        <f>IF(E199=Data!#REF!,Data!#REF!,"")</f>
        <v>#REF!</v>
      </c>
      <c r="M199" s="65" t="e">
        <f>IF(E199=Data!#REF!,Data!#REF!,"")</f>
        <v>#REF!</v>
      </c>
      <c r="N199" s="66" t="e">
        <f>IF(AND(Data!#REF!&lt;&gt;"",Data!#REF!="Accept&amp;#233;"),Data!#REF!,"")</f>
        <v>#REF!</v>
      </c>
    </row>
    <row r="200" spans="1:14" ht="19.5" hidden="1" customHeight="1" x14ac:dyDescent="0.3">
      <c r="A200" s="59" t="e">
        <f>IF(AND(Data!#REF!&lt;&gt;"",Data!#REF!="Accept&amp;#233;"),Data!#REF!,"")</f>
        <v>#REF!</v>
      </c>
      <c r="B200" s="59" t="e">
        <f>IF(AND(Data!#REF!&lt;&gt;"",Data!#REF!="Accept&amp;#233;"),Data!#REF!,"")</f>
        <v>#REF!</v>
      </c>
      <c r="C200" s="60" t="e">
        <f t="shared" si="6"/>
        <v>#REF!</v>
      </c>
      <c r="D200" s="42" t="e">
        <f>IF(AND(Data!#REF!&lt;&gt;"",Data!#REF!="Accept&amp;#233;"),Data!#REF!,"")</f>
        <v>#REF!</v>
      </c>
      <c r="E200" s="61" t="e">
        <f>IF(AND(Data!#REF!&lt;&gt;"",Data!#REF!="Accept&amp;#233;"),Data!#REF!,"")</f>
        <v>#REF!</v>
      </c>
      <c r="F200" s="62" t="e">
        <f>IF(AND(Data!#REF!&lt;&gt;"",Data!#REF!="Accept&amp;#233;"),Data!#REF!,"")</f>
        <v>#REF!</v>
      </c>
      <c r="G200" s="63" t="e">
        <f>IF(Data!#REF!='Delivery Plan'!E200,Data!#REF!,"")</f>
        <v>#REF!</v>
      </c>
      <c r="H200" s="51"/>
      <c r="I200" s="60" t="e">
        <f t="shared" si="7"/>
        <v>#REF!</v>
      </c>
      <c r="J200" s="42" t="e">
        <f>IF(AND(E200=Data!#REF!,Data!#REF!&lt;&gt;""),Data!#REF!,"")</f>
        <v>#REF!</v>
      </c>
      <c r="K200" s="64" t="e">
        <f>IF(AND(E200=Data!#REF!,Data!#REF!&lt;&gt;""),Data!#REF!,"")</f>
        <v>#REF!</v>
      </c>
      <c r="L200" s="65" t="e">
        <f>IF(E200=Data!#REF!,Data!#REF!,"")</f>
        <v>#REF!</v>
      </c>
      <c r="M200" s="65" t="e">
        <f>IF(E200=Data!#REF!,Data!#REF!,"")</f>
        <v>#REF!</v>
      </c>
      <c r="N200" s="66" t="e">
        <f>IF(AND(Data!#REF!&lt;&gt;"",Data!#REF!="Accept&amp;#233;"),Data!#REF!,"")</f>
        <v>#REF!</v>
      </c>
    </row>
    <row r="201" spans="1:14" ht="19.5" hidden="1" customHeight="1" x14ac:dyDescent="0.3">
      <c r="A201" s="59" t="e">
        <f>IF(AND(Data!#REF!&lt;&gt;"",Data!#REF!="Accept&amp;#233;"),Data!#REF!,"")</f>
        <v>#REF!</v>
      </c>
      <c r="B201" s="59" t="e">
        <f>IF(AND(Data!#REF!&lt;&gt;"",Data!#REF!="Accept&amp;#233;"),Data!#REF!,"")</f>
        <v>#REF!</v>
      </c>
      <c r="C201" s="60" t="e">
        <f t="shared" si="6"/>
        <v>#REF!</v>
      </c>
      <c r="D201" s="42" t="e">
        <f>IF(AND(Data!#REF!&lt;&gt;"",Data!#REF!="Accept&amp;#233;"),Data!#REF!,"")</f>
        <v>#REF!</v>
      </c>
      <c r="E201" s="61" t="e">
        <f>IF(AND(Data!#REF!&lt;&gt;"",Data!#REF!="Accept&amp;#233;"),Data!#REF!,"")</f>
        <v>#REF!</v>
      </c>
      <c r="F201" s="62" t="e">
        <f>IF(AND(Data!#REF!&lt;&gt;"",Data!#REF!="Accept&amp;#233;"),Data!#REF!,"")</f>
        <v>#REF!</v>
      </c>
      <c r="G201" s="63" t="e">
        <f>IF(Data!#REF!='Delivery Plan'!E201,Data!#REF!,"")</f>
        <v>#REF!</v>
      </c>
      <c r="H201" s="51"/>
      <c r="I201" s="60" t="e">
        <f t="shared" si="7"/>
        <v>#REF!</v>
      </c>
      <c r="J201" s="42" t="e">
        <f>IF(AND(E201=Data!#REF!,Data!#REF!&lt;&gt;""),Data!#REF!,"")</f>
        <v>#REF!</v>
      </c>
      <c r="K201" s="64" t="e">
        <f>IF(AND(E201=Data!#REF!,Data!#REF!&lt;&gt;""),Data!#REF!,"")</f>
        <v>#REF!</v>
      </c>
      <c r="L201" s="65" t="e">
        <f>IF(E201=Data!#REF!,Data!#REF!,"")</f>
        <v>#REF!</v>
      </c>
      <c r="M201" s="65" t="e">
        <f>IF(E201=Data!#REF!,Data!#REF!,"")</f>
        <v>#REF!</v>
      </c>
      <c r="N201" s="66" t="e">
        <f>IF(AND(Data!#REF!&lt;&gt;"",Data!#REF!="Accept&amp;#233;"),Data!#REF!,"")</f>
        <v>#REF!</v>
      </c>
    </row>
    <row r="202" spans="1:14" ht="19.5" hidden="1" customHeight="1" x14ac:dyDescent="0.3">
      <c r="A202" s="59" t="e">
        <f>IF(AND(Data!#REF!&lt;&gt;"",Data!#REF!="Accept&amp;#233;"),Data!#REF!,"")</f>
        <v>#REF!</v>
      </c>
      <c r="B202" s="59" t="e">
        <f>IF(AND(Data!#REF!&lt;&gt;"",Data!#REF!="Accept&amp;#233;"),Data!#REF!,"")</f>
        <v>#REF!</v>
      </c>
      <c r="C202" s="60" t="e">
        <f t="shared" si="6"/>
        <v>#REF!</v>
      </c>
      <c r="D202" s="42" t="e">
        <f>IF(AND(Data!#REF!&lt;&gt;"",Data!#REF!="Accept&amp;#233;"),Data!#REF!,"")</f>
        <v>#REF!</v>
      </c>
      <c r="E202" s="61" t="e">
        <f>IF(AND(Data!#REF!&lt;&gt;"",Data!#REF!="Accept&amp;#233;"),Data!#REF!,"")</f>
        <v>#REF!</v>
      </c>
      <c r="F202" s="62" t="e">
        <f>IF(AND(Data!#REF!&lt;&gt;"",Data!#REF!="Accept&amp;#233;"),Data!#REF!,"")</f>
        <v>#REF!</v>
      </c>
      <c r="G202" s="63" t="e">
        <f>IF(Data!#REF!='Delivery Plan'!E202,Data!#REF!,"")</f>
        <v>#REF!</v>
      </c>
      <c r="H202" s="51"/>
      <c r="I202" s="60" t="e">
        <f t="shared" si="7"/>
        <v>#REF!</v>
      </c>
      <c r="J202" s="42" t="e">
        <f>IF(AND(E202=Data!#REF!,Data!#REF!&lt;&gt;""),Data!#REF!,"")</f>
        <v>#REF!</v>
      </c>
      <c r="K202" s="64" t="e">
        <f>IF(AND(E202=Data!#REF!,Data!#REF!&lt;&gt;""),Data!#REF!,"")</f>
        <v>#REF!</v>
      </c>
      <c r="L202" s="65" t="e">
        <f>IF(E202=Data!#REF!,Data!#REF!,"")</f>
        <v>#REF!</v>
      </c>
      <c r="M202" s="65" t="e">
        <f>IF(E202=Data!#REF!,Data!#REF!,"")</f>
        <v>#REF!</v>
      </c>
      <c r="N202" s="66" t="e">
        <f>IF(AND(Data!#REF!&lt;&gt;"",Data!#REF!="Accept&amp;#233;"),Data!#REF!,"")</f>
        <v>#REF!</v>
      </c>
    </row>
    <row r="203" spans="1:14" ht="19.5" hidden="1" customHeight="1" x14ac:dyDescent="0.3">
      <c r="A203" s="59" t="e">
        <f>IF(AND(Data!#REF!&lt;&gt;"",Data!#REF!="Accept&amp;#233;"),Data!#REF!,"")</f>
        <v>#REF!</v>
      </c>
      <c r="B203" s="59" t="e">
        <f>IF(AND(Data!#REF!&lt;&gt;"",Data!#REF!="Accept&amp;#233;"),Data!#REF!,"")</f>
        <v>#REF!</v>
      </c>
      <c r="C203" s="60" t="e">
        <f t="shared" si="6"/>
        <v>#REF!</v>
      </c>
      <c r="D203" s="42" t="e">
        <f>IF(AND(Data!#REF!&lt;&gt;"",Data!#REF!="Accept&amp;#233;"),Data!#REF!,"")</f>
        <v>#REF!</v>
      </c>
      <c r="E203" s="61" t="e">
        <f>IF(AND(Data!#REF!&lt;&gt;"",Data!#REF!="Accept&amp;#233;"),Data!#REF!,"")</f>
        <v>#REF!</v>
      </c>
      <c r="F203" s="62" t="e">
        <f>IF(AND(Data!#REF!&lt;&gt;"",Data!#REF!="Accept&amp;#233;"),Data!#REF!,"")</f>
        <v>#REF!</v>
      </c>
      <c r="G203" s="63" t="e">
        <f>IF(Data!#REF!='Delivery Plan'!E203,Data!#REF!,"")</f>
        <v>#REF!</v>
      </c>
      <c r="H203" s="51"/>
      <c r="I203" s="60" t="e">
        <f t="shared" si="7"/>
        <v>#REF!</v>
      </c>
      <c r="J203" s="42" t="e">
        <f>IF(AND(E203=Data!#REF!,Data!#REF!&lt;&gt;""),Data!#REF!,"")</f>
        <v>#REF!</v>
      </c>
      <c r="K203" s="64" t="e">
        <f>IF(AND(E203=Data!#REF!,Data!#REF!&lt;&gt;""),Data!#REF!,"")</f>
        <v>#REF!</v>
      </c>
      <c r="L203" s="65" t="e">
        <f>IF(E203=Data!#REF!,Data!#REF!,"")</f>
        <v>#REF!</v>
      </c>
      <c r="M203" s="65" t="e">
        <f>IF(E203=Data!#REF!,Data!#REF!,"")</f>
        <v>#REF!</v>
      </c>
      <c r="N203" s="66" t="e">
        <f>IF(AND(Data!#REF!&lt;&gt;"",Data!#REF!="Accept&amp;#233;"),Data!#REF!,"")</f>
        <v>#REF!</v>
      </c>
    </row>
    <row r="204" spans="1:14" ht="19.5" hidden="1" customHeight="1" x14ac:dyDescent="0.3">
      <c r="A204" s="59" t="e">
        <f>IF(AND(Data!#REF!&lt;&gt;"",Data!#REF!="Accept&amp;#233;"),Data!#REF!,"")</f>
        <v>#REF!</v>
      </c>
      <c r="B204" s="59" t="e">
        <f>IF(AND(Data!#REF!&lt;&gt;"",Data!#REF!="Accept&amp;#233;"),Data!#REF!,"")</f>
        <v>#REF!</v>
      </c>
      <c r="C204" s="60" t="e">
        <f t="shared" si="6"/>
        <v>#REF!</v>
      </c>
      <c r="D204" s="42" t="e">
        <f>IF(AND(Data!#REF!&lt;&gt;"",Data!#REF!="Accept&amp;#233;"),Data!#REF!,"")</f>
        <v>#REF!</v>
      </c>
      <c r="E204" s="61" t="e">
        <f>IF(AND(Data!#REF!&lt;&gt;"",Data!#REF!="Accept&amp;#233;"),Data!#REF!,"")</f>
        <v>#REF!</v>
      </c>
      <c r="F204" s="62" t="e">
        <f>IF(AND(Data!#REF!&lt;&gt;"",Data!#REF!="Accept&amp;#233;"),Data!#REF!,"")</f>
        <v>#REF!</v>
      </c>
      <c r="G204" s="63" t="e">
        <f>IF(Data!#REF!='Delivery Plan'!E204,Data!#REF!,"")</f>
        <v>#REF!</v>
      </c>
      <c r="H204" s="51"/>
      <c r="I204" s="60" t="e">
        <f t="shared" si="7"/>
        <v>#REF!</v>
      </c>
      <c r="J204" s="42" t="e">
        <f>IF(AND(E204=Data!#REF!,Data!#REF!&lt;&gt;""),Data!#REF!,"")</f>
        <v>#REF!</v>
      </c>
      <c r="K204" s="64" t="e">
        <f>IF(AND(E204=Data!#REF!,Data!#REF!&lt;&gt;""),Data!#REF!,"")</f>
        <v>#REF!</v>
      </c>
      <c r="L204" s="65" t="e">
        <f>IF(E204=Data!#REF!,Data!#REF!,"")</f>
        <v>#REF!</v>
      </c>
      <c r="M204" s="65" t="e">
        <f>IF(E204=Data!#REF!,Data!#REF!,"")</f>
        <v>#REF!</v>
      </c>
      <c r="N204" s="66" t="e">
        <f>IF(AND(Data!#REF!&lt;&gt;"",Data!#REF!="Accept&amp;#233;"),Data!#REF!,"")</f>
        <v>#REF!</v>
      </c>
    </row>
    <row r="205" spans="1:14" ht="19.5" hidden="1" customHeight="1" x14ac:dyDescent="0.3">
      <c r="A205" s="59" t="e">
        <f>IF(AND(Data!#REF!&lt;&gt;"",Data!#REF!="Accept&amp;#233;"),Data!#REF!,"")</f>
        <v>#REF!</v>
      </c>
      <c r="B205" s="59" t="e">
        <f>IF(AND(Data!#REF!&lt;&gt;"",Data!#REF!="Accept&amp;#233;"),Data!#REF!,"")</f>
        <v>#REF!</v>
      </c>
      <c r="C205" s="60" t="e">
        <f t="shared" si="6"/>
        <v>#REF!</v>
      </c>
      <c r="D205" s="42" t="e">
        <f>IF(AND(Data!#REF!&lt;&gt;"",Data!#REF!="Accept&amp;#233;"),Data!#REF!,"")</f>
        <v>#REF!</v>
      </c>
      <c r="E205" s="61" t="e">
        <f>IF(AND(Data!#REF!&lt;&gt;"",Data!#REF!="Accept&amp;#233;"),Data!#REF!,"")</f>
        <v>#REF!</v>
      </c>
      <c r="F205" s="62" t="e">
        <f>IF(AND(Data!#REF!&lt;&gt;"",Data!#REF!="Accept&amp;#233;"),Data!#REF!,"")</f>
        <v>#REF!</v>
      </c>
      <c r="G205" s="63" t="e">
        <f>IF(Data!#REF!='Delivery Plan'!E205,Data!#REF!,"")</f>
        <v>#REF!</v>
      </c>
      <c r="H205" s="51"/>
      <c r="I205" s="60" t="e">
        <f t="shared" si="7"/>
        <v>#REF!</v>
      </c>
      <c r="J205" s="42" t="e">
        <f>IF(AND(E205=Data!#REF!,Data!#REF!&lt;&gt;""),Data!#REF!,"")</f>
        <v>#REF!</v>
      </c>
      <c r="K205" s="64" t="e">
        <f>IF(AND(E205=Data!#REF!,Data!#REF!&lt;&gt;""),Data!#REF!,"")</f>
        <v>#REF!</v>
      </c>
      <c r="L205" s="65" t="e">
        <f>IF(E205=Data!#REF!,Data!#REF!,"")</f>
        <v>#REF!</v>
      </c>
      <c r="M205" s="65" t="e">
        <f>IF(E205=Data!#REF!,Data!#REF!,"")</f>
        <v>#REF!</v>
      </c>
      <c r="N205" s="66" t="e">
        <f>IF(AND(Data!#REF!&lt;&gt;"",Data!#REF!="Accept&amp;#233;"),Data!#REF!,"")</f>
        <v>#REF!</v>
      </c>
    </row>
    <row r="206" spans="1:14" ht="19.5" hidden="1" customHeight="1" x14ac:dyDescent="0.3">
      <c r="A206" s="59" t="e">
        <f>IF(AND(Data!#REF!&lt;&gt;"",Data!#REF!="Accept&amp;#233;"),Data!#REF!,"")</f>
        <v>#REF!</v>
      </c>
      <c r="B206" s="59" t="e">
        <f>IF(AND(Data!#REF!&lt;&gt;"",Data!#REF!="Accept&amp;#233;"),Data!#REF!,"")</f>
        <v>#REF!</v>
      </c>
      <c r="C206" s="60" t="e">
        <f t="shared" si="6"/>
        <v>#REF!</v>
      </c>
      <c r="D206" s="42" t="e">
        <f>IF(AND(Data!#REF!&lt;&gt;"",Data!#REF!="Accept&amp;#233;"),Data!#REF!,"")</f>
        <v>#REF!</v>
      </c>
      <c r="E206" s="61" t="e">
        <f>IF(AND(Data!#REF!&lt;&gt;"",Data!#REF!="Accept&amp;#233;"),Data!#REF!,"")</f>
        <v>#REF!</v>
      </c>
      <c r="F206" s="62" t="e">
        <f>IF(AND(Data!#REF!&lt;&gt;"",Data!#REF!="Accept&amp;#233;"),Data!#REF!,"")</f>
        <v>#REF!</v>
      </c>
      <c r="G206" s="63" t="e">
        <f>IF(Data!#REF!='Delivery Plan'!E206,Data!#REF!,"")</f>
        <v>#REF!</v>
      </c>
      <c r="H206" s="51"/>
      <c r="I206" s="60" t="e">
        <f t="shared" si="7"/>
        <v>#REF!</v>
      </c>
      <c r="J206" s="42" t="e">
        <f>IF(AND(E206=Data!#REF!,Data!#REF!&lt;&gt;""),Data!#REF!,"")</f>
        <v>#REF!</v>
      </c>
      <c r="K206" s="64" t="e">
        <f>IF(AND(E206=Data!#REF!,Data!#REF!&lt;&gt;""),Data!#REF!,"")</f>
        <v>#REF!</v>
      </c>
      <c r="L206" s="65" t="e">
        <f>IF(E206=Data!#REF!,Data!#REF!,"")</f>
        <v>#REF!</v>
      </c>
      <c r="M206" s="65" t="e">
        <f>IF(E206=Data!#REF!,Data!#REF!,"")</f>
        <v>#REF!</v>
      </c>
      <c r="N206" s="66" t="e">
        <f>IF(AND(Data!#REF!&lt;&gt;"",Data!#REF!="Accept&amp;#233;"),Data!#REF!,"")</f>
        <v>#REF!</v>
      </c>
    </row>
    <row r="207" spans="1:14" ht="19.5" hidden="1" customHeight="1" x14ac:dyDescent="0.3">
      <c r="A207" s="59" t="e">
        <f>IF(AND(Data!#REF!&lt;&gt;"",Data!#REF!="Accept&amp;#233;"),Data!#REF!,"")</f>
        <v>#REF!</v>
      </c>
      <c r="B207" s="59" t="e">
        <f>IF(AND(Data!#REF!&lt;&gt;"",Data!#REF!="Accept&amp;#233;"),Data!#REF!,"")</f>
        <v>#REF!</v>
      </c>
      <c r="C207" s="60" t="e">
        <f t="shared" si="6"/>
        <v>#REF!</v>
      </c>
      <c r="D207" s="42" t="e">
        <f>IF(AND(Data!#REF!&lt;&gt;"",Data!#REF!="Accept&amp;#233;"),Data!#REF!,"")</f>
        <v>#REF!</v>
      </c>
      <c r="E207" s="61" t="e">
        <f>IF(AND(Data!#REF!&lt;&gt;"",Data!#REF!="Accept&amp;#233;"),Data!#REF!,"")</f>
        <v>#REF!</v>
      </c>
      <c r="F207" s="62" t="e">
        <f>IF(AND(Data!#REF!&lt;&gt;"",Data!#REF!="Accept&amp;#233;"),Data!#REF!,"")</f>
        <v>#REF!</v>
      </c>
      <c r="G207" s="63" t="e">
        <f>IF(Data!#REF!='Delivery Plan'!E207,Data!#REF!,"")</f>
        <v>#REF!</v>
      </c>
      <c r="H207" s="51"/>
      <c r="I207" s="60" t="e">
        <f t="shared" si="7"/>
        <v>#REF!</v>
      </c>
      <c r="J207" s="42" t="e">
        <f>IF(AND(E207=Data!#REF!,Data!#REF!&lt;&gt;""),Data!#REF!,"")</f>
        <v>#REF!</v>
      </c>
      <c r="K207" s="64" t="e">
        <f>IF(AND(E207=Data!#REF!,Data!#REF!&lt;&gt;""),Data!#REF!,"")</f>
        <v>#REF!</v>
      </c>
      <c r="L207" s="65" t="e">
        <f>IF(E207=Data!#REF!,Data!#REF!,"")</f>
        <v>#REF!</v>
      </c>
      <c r="M207" s="65" t="e">
        <f>IF(E207=Data!#REF!,Data!#REF!,"")</f>
        <v>#REF!</v>
      </c>
      <c r="N207" s="66" t="e">
        <f>IF(AND(Data!#REF!&lt;&gt;"",Data!#REF!="Accept&amp;#233;"),Data!#REF!,"")</f>
        <v>#REF!</v>
      </c>
    </row>
    <row r="208" spans="1:14" ht="19.5" hidden="1" customHeight="1" x14ac:dyDescent="0.3">
      <c r="A208" s="59" t="e">
        <f>IF(AND(Data!#REF!&lt;&gt;"",Data!#REF!="Accept&amp;#233;"),Data!#REF!,"")</f>
        <v>#REF!</v>
      </c>
      <c r="B208" s="59" t="e">
        <f>IF(AND(Data!#REF!&lt;&gt;"",Data!#REF!="Accept&amp;#233;"),Data!#REF!,"")</f>
        <v>#REF!</v>
      </c>
      <c r="C208" s="60" t="e">
        <f t="shared" si="6"/>
        <v>#REF!</v>
      </c>
      <c r="D208" s="42" t="e">
        <f>IF(AND(Data!#REF!&lt;&gt;"",Data!#REF!="Accept&amp;#233;"),Data!#REF!,"")</f>
        <v>#REF!</v>
      </c>
      <c r="E208" s="61" t="e">
        <f>IF(AND(Data!#REF!&lt;&gt;"",Data!#REF!="Accept&amp;#233;"),Data!#REF!,"")</f>
        <v>#REF!</v>
      </c>
      <c r="F208" s="62" t="e">
        <f>IF(AND(Data!#REF!&lt;&gt;"",Data!#REF!="Accept&amp;#233;"),Data!#REF!,"")</f>
        <v>#REF!</v>
      </c>
      <c r="G208" s="63" t="e">
        <f>IF(Data!#REF!='Delivery Plan'!E208,Data!#REF!,"")</f>
        <v>#REF!</v>
      </c>
      <c r="H208" s="51"/>
      <c r="I208" s="60" t="e">
        <f t="shared" si="7"/>
        <v>#REF!</v>
      </c>
      <c r="J208" s="42" t="e">
        <f>IF(AND(E208=Data!#REF!,Data!#REF!&lt;&gt;""),Data!#REF!,"")</f>
        <v>#REF!</v>
      </c>
      <c r="K208" s="64" t="e">
        <f>IF(AND(E208=Data!#REF!,Data!#REF!&lt;&gt;""),Data!#REF!,"")</f>
        <v>#REF!</v>
      </c>
      <c r="L208" s="65" t="e">
        <f>IF(E208=Data!#REF!,Data!#REF!,"")</f>
        <v>#REF!</v>
      </c>
      <c r="M208" s="65" t="e">
        <f>IF(E208=Data!#REF!,Data!#REF!,"")</f>
        <v>#REF!</v>
      </c>
      <c r="N208" s="66" t="e">
        <f>IF(AND(Data!#REF!&lt;&gt;"",Data!#REF!="Accept&amp;#233;"),Data!#REF!,"")</f>
        <v>#REF!</v>
      </c>
    </row>
    <row r="209" spans="1:14" ht="19.5" hidden="1" customHeight="1" x14ac:dyDescent="0.3">
      <c r="A209" s="59" t="e">
        <f>IF(AND(Data!#REF!&lt;&gt;"",Data!#REF!="Accept&amp;#233;"),Data!#REF!,"")</f>
        <v>#REF!</v>
      </c>
      <c r="B209" s="59" t="e">
        <f>IF(AND(Data!#REF!&lt;&gt;"",Data!#REF!="Accept&amp;#233;"),Data!#REF!,"")</f>
        <v>#REF!</v>
      </c>
      <c r="C209" s="60" t="e">
        <f t="shared" si="6"/>
        <v>#REF!</v>
      </c>
      <c r="D209" s="42" t="e">
        <f>IF(AND(Data!#REF!&lt;&gt;"",Data!#REF!="Accept&amp;#233;"),Data!#REF!,"")</f>
        <v>#REF!</v>
      </c>
      <c r="E209" s="61" t="e">
        <f>IF(AND(Data!#REF!&lt;&gt;"",Data!#REF!="Accept&amp;#233;"),Data!#REF!,"")</f>
        <v>#REF!</v>
      </c>
      <c r="F209" s="62" t="e">
        <f>IF(AND(Data!#REF!&lt;&gt;"",Data!#REF!="Accept&amp;#233;"),Data!#REF!,"")</f>
        <v>#REF!</v>
      </c>
      <c r="G209" s="63" t="e">
        <f>IF(Data!#REF!='Delivery Plan'!E209,Data!#REF!,"")</f>
        <v>#REF!</v>
      </c>
      <c r="H209" s="51"/>
      <c r="I209" s="60" t="e">
        <f t="shared" si="7"/>
        <v>#REF!</v>
      </c>
      <c r="J209" s="42" t="e">
        <f>IF(AND(E209=Data!#REF!,Data!#REF!&lt;&gt;""),Data!#REF!,"")</f>
        <v>#REF!</v>
      </c>
      <c r="K209" s="64" t="e">
        <f>IF(AND(E209=Data!#REF!,Data!#REF!&lt;&gt;""),Data!#REF!,"")</f>
        <v>#REF!</v>
      </c>
      <c r="L209" s="65" t="e">
        <f>IF(E209=Data!#REF!,Data!#REF!,"")</f>
        <v>#REF!</v>
      </c>
      <c r="M209" s="65" t="e">
        <f>IF(E209=Data!#REF!,Data!#REF!,"")</f>
        <v>#REF!</v>
      </c>
      <c r="N209" s="66" t="e">
        <f>IF(AND(Data!#REF!&lt;&gt;"",Data!#REF!="Accept&amp;#233;"),Data!#REF!,"")</f>
        <v>#REF!</v>
      </c>
    </row>
    <row r="210" spans="1:14" ht="19.5" hidden="1" customHeight="1" x14ac:dyDescent="0.3">
      <c r="A210" s="59" t="e">
        <f>IF(AND(Data!#REF!&lt;&gt;"",Data!#REF!="Accept&amp;#233;"),Data!#REF!,"")</f>
        <v>#REF!</v>
      </c>
      <c r="B210" s="59" t="e">
        <f>IF(AND(Data!#REF!&lt;&gt;"",Data!#REF!="Accept&amp;#233;"),Data!#REF!,"")</f>
        <v>#REF!</v>
      </c>
      <c r="C210" s="60" t="e">
        <f t="shared" si="6"/>
        <v>#REF!</v>
      </c>
      <c r="D210" s="42" t="e">
        <f>IF(AND(Data!#REF!&lt;&gt;"",Data!#REF!="Accept&amp;#233;"),Data!#REF!,"")</f>
        <v>#REF!</v>
      </c>
      <c r="E210" s="61" t="e">
        <f>IF(AND(Data!#REF!&lt;&gt;"",Data!#REF!="Accept&amp;#233;"),Data!#REF!,"")</f>
        <v>#REF!</v>
      </c>
      <c r="F210" s="62" t="e">
        <f>IF(AND(Data!#REF!&lt;&gt;"",Data!#REF!="Accept&amp;#233;"),Data!#REF!,"")</f>
        <v>#REF!</v>
      </c>
      <c r="G210" s="63" t="e">
        <f>IF(Data!#REF!='Delivery Plan'!E210,Data!#REF!,"")</f>
        <v>#REF!</v>
      </c>
      <c r="H210" s="51"/>
      <c r="I210" s="60" t="e">
        <f t="shared" si="7"/>
        <v>#REF!</v>
      </c>
      <c r="J210" s="42" t="e">
        <f>IF(AND(E210=Data!#REF!,Data!#REF!&lt;&gt;""),Data!#REF!,"")</f>
        <v>#REF!</v>
      </c>
      <c r="K210" s="64" t="e">
        <f>IF(AND(E210=Data!#REF!,Data!#REF!&lt;&gt;""),Data!#REF!,"")</f>
        <v>#REF!</v>
      </c>
      <c r="L210" s="65" t="e">
        <f>IF(E210=Data!#REF!,Data!#REF!,"")</f>
        <v>#REF!</v>
      </c>
      <c r="M210" s="65" t="e">
        <f>IF(E210=Data!#REF!,Data!#REF!,"")</f>
        <v>#REF!</v>
      </c>
      <c r="N210" s="66" t="e">
        <f>IF(AND(Data!#REF!&lt;&gt;"",Data!#REF!="Accept&amp;#233;"),Data!#REF!,"")</f>
        <v>#REF!</v>
      </c>
    </row>
    <row r="211" spans="1:14" ht="19.5" hidden="1" customHeight="1" x14ac:dyDescent="0.3">
      <c r="A211" s="59" t="e">
        <f>IF(AND(Data!#REF!&lt;&gt;"",Data!#REF!="Accept&amp;#233;"),Data!#REF!,"")</f>
        <v>#REF!</v>
      </c>
      <c r="B211" s="59" t="e">
        <f>IF(AND(Data!#REF!&lt;&gt;"",Data!#REF!="Accept&amp;#233;"),Data!#REF!,"")</f>
        <v>#REF!</v>
      </c>
      <c r="C211" s="60" t="e">
        <f t="shared" si="6"/>
        <v>#REF!</v>
      </c>
      <c r="D211" s="42" t="e">
        <f>IF(AND(Data!#REF!&lt;&gt;"",Data!#REF!="Accept&amp;#233;"),Data!#REF!,"")</f>
        <v>#REF!</v>
      </c>
      <c r="E211" s="61" t="e">
        <f>IF(AND(Data!#REF!&lt;&gt;"",Data!#REF!="Accept&amp;#233;"),Data!#REF!,"")</f>
        <v>#REF!</v>
      </c>
      <c r="F211" s="62" t="e">
        <f>IF(AND(Data!#REF!&lt;&gt;"",Data!#REF!="Accept&amp;#233;"),Data!#REF!,"")</f>
        <v>#REF!</v>
      </c>
      <c r="G211" s="63" t="e">
        <f>IF(Data!#REF!='Delivery Plan'!E211,Data!#REF!,"")</f>
        <v>#REF!</v>
      </c>
      <c r="H211" s="51"/>
      <c r="I211" s="60" t="e">
        <f t="shared" si="7"/>
        <v>#REF!</v>
      </c>
      <c r="J211" s="42" t="e">
        <f>IF(AND(E211=Data!#REF!,Data!#REF!&lt;&gt;""),Data!#REF!,"")</f>
        <v>#REF!</v>
      </c>
      <c r="K211" s="64" t="e">
        <f>IF(AND(E211=Data!#REF!,Data!#REF!&lt;&gt;""),Data!#REF!,"")</f>
        <v>#REF!</v>
      </c>
      <c r="L211" s="65" t="e">
        <f>IF(E211=Data!#REF!,Data!#REF!,"")</f>
        <v>#REF!</v>
      </c>
      <c r="M211" s="65" t="e">
        <f>IF(E211=Data!#REF!,Data!#REF!,"")</f>
        <v>#REF!</v>
      </c>
      <c r="N211" s="66" t="e">
        <f>IF(AND(Data!#REF!&lt;&gt;"",Data!#REF!="Accept&amp;#233;"),Data!#REF!,"")</f>
        <v>#REF!</v>
      </c>
    </row>
    <row r="212" spans="1:14" ht="19.5" hidden="1" customHeight="1" x14ac:dyDescent="0.3">
      <c r="A212" s="59" t="e">
        <f>IF(AND(Data!#REF!&lt;&gt;"",Data!#REF!="Accept&amp;#233;"),Data!#REF!,"")</f>
        <v>#REF!</v>
      </c>
      <c r="B212" s="59" t="e">
        <f>IF(AND(Data!#REF!&lt;&gt;"",Data!#REF!="Accept&amp;#233;"),Data!#REF!,"")</f>
        <v>#REF!</v>
      </c>
      <c r="C212" s="60" t="e">
        <f t="shared" si="6"/>
        <v>#REF!</v>
      </c>
      <c r="D212" s="42" t="e">
        <f>IF(AND(Data!#REF!&lt;&gt;"",Data!#REF!="Accept&amp;#233;"),Data!#REF!,"")</f>
        <v>#REF!</v>
      </c>
      <c r="E212" s="61" t="e">
        <f>IF(AND(Data!#REF!&lt;&gt;"",Data!#REF!="Accept&amp;#233;"),Data!#REF!,"")</f>
        <v>#REF!</v>
      </c>
      <c r="F212" s="62" t="e">
        <f>IF(AND(Data!#REF!&lt;&gt;"",Data!#REF!="Accept&amp;#233;"),Data!#REF!,"")</f>
        <v>#REF!</v>
      </c>
      <c r="G212" s="63" t="e">
        <f>IF(Data!#REF!='Delivery Plan'!E212,Data!#REF!,"")</f>
        <v>#REF!</v>
      </c>
      <c r="H212" s="51"/>
      <c r="I212" s="60" t="e">
        <f t="shared" si="7"/>
        <v>#REF!</v>
      </c>
      <c r="J212" s="42" t="e">
        <f>IF(AND(E212=Data!#REF!,Data!#REF!&lt;&gt;""),Data!#REF!,"")</f>
        <v>#REF!</v>
      </c>
      <c r="K212" s="64" t="e">
        <f>IF(AND(E212=Data!#REF!,Data!#REF!&lt;&gt;""),Data!#REF!,"")</f>
        <v>#REF!</v>
      </c>
      <c r="L212" s="65" t="e">
        <f>IF(E212=Data!#REF!,Data!#REF!,"")</f>
        <v>#REF!</v>
      </c>
      <c r="M212" s="65" t="e">
        <f>IF(E212=Data!#REF!,Data!#REF!,"")</f>
        <v>#REF!</v>
      </c>
      <c r="N212" s="66" t="e">
        <f>IF(AND(Data!#REF!&lt;&gt;"",Data!#REF!="Accept&amp;#233;"),Data!#REF!,"")</f>
        <v>#REF!</v>
      </c>
    </row>
    <row r="213" spans="1:14" ht="19.5" hidden="1" customHeight="1" x14ac:dyDescent="0.3">
      <c r="A213" s="59" t="e">
        <f>IF(AND(Data!#REF!&lt;&gt;"",Data!#REF!="Accept&amp;#233;"),Data!#REF!,"")</f>
        <v>#REF!</v>
      </c>
      <c r="B213" s="59" t="e">
        <f>IF(AND(Data!#REF!&lt;&gt;"",Data!#REF!="Accept&amp;#233;"),Data!#REF!,"")</f>
        <v>#REF!</v>
      </c>
      <c r="C213" s="60" t="e">
        <f t="shared" si="6"/>
        <v>#REF!</v>
      </c>
      <c r="D213" s="42" t="e">
        <f>IF(AND(Data!#REF!&lt;&gt;"",Data!#REF!="Accept&amp;#233;"),Data!#REF!,"")</f>
        <v>#REF!</v>
      </c>
      <c r="E213" s="61" t="e">
        <f>IF(AND(Data!#REF!&lt;&gt;"",Data!#REF!="Accept&amp;#233;"),Data!#REF!,"")</f>
        <v>#REF!</v>
      </c>
      <c r="F213" s="62" t="e">
        <f>IF(AND(Data!#REF!&lt;&gt;"",Data!#REF!="Accept&amp;#233;"),Data!#REF!,"")</f>
        <v>#REF!</v>
      </c>
      <c r="G213" s="63" t="e">
        <f>IF(Data!#REF!='Delivery Plan'!E213,Data!#REF!,"")</f>
        <v>#REF!</v>
      </c>
      <c r="H213" s="51"/>
      <c r="I213" s="60" t="e">
        <f t="shared" si="7"/>
        <v>#REF!</v>
      </c>
      <c r="J213" s="42" t="e">
        <f>IF(AND(E213=Data!#REF!,Data!#REF!&lt;&gt;""),Data!#REF!,"")</f>
        <v>#REF!</v>
      </c>
      <c r="K213" s="64" t="e">
        <f>IF(AND(E213=Data!#REF!,Data!#REF!&lt;&gt;""),Data!#REF!,"")</f>
        <v>#REF!</v>
      </c>
      <c r="L213" s="65" t="e">
        <f>IF(E213=Data!#REF!,Data!#REF!,"")</f>
        <v>#REF!</v>
      </c>
      <c r="M213" s="65" t="e">
        <f>IF(E213=Data!#REF!,Data!#REF!,"")</f>
        <v>#REF!</v>
      </c>
      <c r="N213" s="66" t="e">
        <f>IF(AND(Data!#REF!&lt;&gt;"",Data!#REF!="Accept&amp;#233;"),Data!#REF!,"")</f>
        <v>#REF!</v>
      </c>
    </row>
    <row r="214" spans="1:14" ht="19.5" hidden="1" customHeight="1" x14ac:dyDescent="0.3">
      <c r="A214" s="59" t="e">
        <f>IF(AND(Data!#REF!&lt;&gt;"",Data!#REF!="Accept&amp;#233;"),Data!#REF!,"")</f>
        <v>#REF!</v>
      </c>
      <c r="B214" s="59" t="e">
        <f>IF(AND(Data!#REF!&lt;&gt;"",Data!#REF!="Accept&amp;#233;"),Data!#REF!,"")</f>
        <v>#REF!</v>
      </c>
      <c r="C214" s="60" t="e">
        <f t="shared" si="6"/>
        <v>#REF!</v>
      </c>
      <c r="D214" s="42" t="e">
        <f>IF(AND(Data!#REF!&lt;&gt;"",Data!#REF!="Accept&amp;#233;"),Data!#REF!,"")</f>
        <v>#REF!</v>
      </c>
      <c r="E214" s="61" t="e">
        <f>IF(AND(Data!#REF!&lt;&gt;"",Data!#REF!="Accept&amp;#233;"),Data!#REF!,"")</f>
        <v>#REF!</v>
      </c>
      <c r="F214" s="62" t="e">
        <f>IF(AND(Data!#REF!&lt;&gt;"",Data!#REF!="Accept&amp;#233;"),Data!#REF!,"")</f>
        <v>#REF!</v>
      </c>
      <c r="G214" s="63" t="e">
        <f>IF(Data!#REF!='Delivery Plan'!E214,Data!#REF!,"")</f>
        <v>#REF!</v>
      </c>
      <c r="H214" s="51"/>
      <c r="I214" s="60" t="e">
        <f t="shared" si="7"/>
        <v>#REF!</v>
      </c>
      <c r="J214" s="42" t="e">
        <f>IF(AND(E214=Data!#REF!,Data!#REF!&lt;&gt;""),Data!#REF!,"")</f>
        <v>#REF!</v>
      </c>
      <c r="K214" s="64" t="e">
        <f>IF(AND(E214=Data!#REF!,Data!#REF!&lt;&gt;""),Data!#REF!,"")</f>
        <v>#REF!</v>
      </c>
      <c r="L214" s="65" t="e">
        <f>IF(E214=Data!#REF!,Data!#REF!,"")</f>
        <v>#REF!</v>
      </c>
      <c r="M214" s="65" t="e">
        <f>IF(E214=Data!#REF!,Data!#REF!,"")</f>
        <v>#REF!</v>
      </c>
      <c r="N214" s="66" t="e">
        <f>IF(AND(Data!#REF!&lt;&gt;"",Data!#REF!="Accept&amp;#233;"),Data!#REF!,"")</f>
        <v>#REF!</v>
      </c>
    </row>
    <row r="215" spans="1:14" ht="19.5" hidden="1" customHeight="1" x14ac:dyDescent="0.3">
      <c r="A215" s="59" t="e">
        <f>IF(AND(Data!#REF!&lt;&gt;"",Data!#REF!="Accept&amp;#233;"),Data!#REF!,"")</f>
        <v>#REF!</v>
      </c>
      <c r="B215" s="59" t="e">
        <f>IF(AND(Data!#REF!&lt;&gt;"",Data!#REF!="Accept&amp;#233;"),Data!#REF!,"")</f>
        <v>#REF!</v>
      </c>
      <c r="C215" s="60" t="e">
        <f t="shared" si="6"/>
        <v>#REF!</v>
      </c>
      <c r="D215" s="42" t="e">
        <f>IF(AND(Data!#REF!&lt;&gt;"",Data!#REF!="Accept&amp;#233;"),Data!#REF!,"")</f>
        <v>#REF!</v>
      </c>
      <c r="E215" s="61" t="e">
        <f>IF(AND(Data!#REF!&lt;&gt;"",Data!#REF!="Accept&amp;#233;"),Data!#REF!,"")</f>
        <v>#REF!</v>
      </c>
      <c r="F215" s="62" t="e">
        <f>IF(AND(Data!#REF!&lt;&gt;"",Data!#REF!="Accept&amp;#233;"),Data!#REF!,"")</f>
        <v>#REF!</v>
      </c>
      <c r="G215" s="63" t="e">
        <f>IF(Data!#REF!='Delivery Plan'!E215,Data!#REF!,"")</f>
        <v>#REF!</v>
      </c>
      <c r="H215" s="51"/>
      <c r="I215" s="60" t="e">
        <f t="shared" si="7"/>
        <v>#REF!</v>
      </c>
      <c r="J215" s="42" t="e">
        <f>IF(AND(E215=Data!#REF!,Data!#REF!&lt;&gt;""),Data!#REF!,"")</f>
        <v>#REF!</v>
      </c>
      <c r="K215" s="64" t="e">
        <f>IF(AND(E215=Data!#REF!,Data!#REF!&lt;&gt;""),Data!#REF!,"")</f>
        <v>#REF!</v>
      </c>
      <c r="L215" s="65" t="e">
        <f>IF(E215=Data!#REF!,Data!#REF!,"")</f>
        <v>#REF!</v>
      </c>
      <c r="M215" s="65" t="e">
        <f>IF(E215=Data!#REF!,Data!#REF!,"")</f>
        <v>#REF!</v>
      </c>
      <c r="N215" s="66" t="e">
        <f>IF(AND(Data!#REF!&lt;&gt;"",Data!#REF!="Accept&amp;#233;"),Data!#REF!,"")</f>
        <v>#REF!</v>
      </c>
    </row>
    <row r="216" spans="1:14" ht="19.5" hidden="1" customHeight="1" x14ac:dyDescent="0.3">
      <c r="A216" s="59" t="e">
        <f>IF(AND(Data!#REF!&lt;&gt;"",Data!#REF!="Accept&amp;#233;"),Data!#REF!,"")</f>
        <v>#REF!</v>
      </c>
      <c r="B216" s="59" t="e">
        <f>IF(AND(Data!#REF!&lt;&gt;"",Data!#REF!="Accept&amp;#233;"),Data!#REF!,"")</f>
        <v>#REF!</v>
      </c>
      <c r="C216" s="60" t="e">
        <f t="shared" si="6"/>
        <v>#REF!</v>
      </c>
      <c r="D216" s="42" t="e">
        <f>IF(AND(Data!#REF!&lt;&gt;"",Data!#REF!="Accept&amp;#233;"),Data!#REF!,"")</f>
        <v>#REF!</v>
      </c>
      <c r="E216" s="61" t="e">
        <f>IF(AND(Data!#REF!&lt;&gt;"",Data!#REF!="Accept&amp;#233;"),Data!#REF!,"")</f>
        <v>#REF!</v>
      </c>
      <c r="F216" s="62" t="e">
        <f>IF(AND(Data!#REF!&lt;&gt;"",Data!#REF!="Accept&amp;#233;"),Data!#REF!,"")</f>
        <v>#REF!</v>
      </c>
      <c r="G216" s="63" t="e">
        <f>IF(Data!#REF!='Delivery Plan'!E216,Data!#REF!,"")</f>
        <v>#REF!</v>
      </c>
      <c r="H216" s="51"/>
      <c r="I216" s="60" t="e">
        <f t="shared" si="7"/>
        <v>#REF!</v>
      </c>
      <c r="J216" s="42" t="e">
        <f>IF(AND(E216=Data!#REF!,Data!#REF!&lt;&gt;""),Data!#REF!,"")</f>
        <v>#REF!</v>
      </c>
      <c r="K216" s="64" t="e">
        <f>IF(AND(E216=Data!#REF!,Data!#REF!&lt;&gt;""),Data!#REF!,"")</f>
        <v>#REF!</v>
      </c>
      <c r="L216" s="65" t="e">
        <f>IF(E216=Data!#REF!,Data!#REF!,"")</f>
        <v>#REF!</v>
      </c>
      <c r="M216" s="65" t="e">
        <f>IF(E216=Data!#REF!,Data!#REF!,"")</f>
        <v>#REF!</v>
      </c>
      <c r="N216" s="66" t="e">
        <f>IF(AND(Data!#REF!&lt;&gt;"",Data!#REF!="Accept&amp;#233;"),Data!#REF!,"")</f>
        <v>#REF!</v>
      </c>
    </row>
    <row r="217" spans="1:14" ht="19.5" hidden="1" customHeight="1" x14ac:dyDescent="0.3">
      <c r="A217" s="59" t="e">
        <f>IF(AND(Data!#REF!&lt;&gt;"",Data!#REF!="Accept&amp;#233;"),Data!#REF!,"")</f>
        <v>#REF!</v>
      </c>
      <c r="B217" s="59" t="e">
        <f>IF(AND(Data!#REF!&lt;&gt;"",Data!#REF!="Accept&amp;#233;"),Data!#REF!,"")</f>
        <v>#REF!</v>
      </c>
      <c r="C217" s="60" t="e">
        <f t="shared" si="6"/>
        <v>#REF!</v>
      </c>
      <c r="D217" s="42" t="e">
        <f>IF(AND(Data!#REF!&lt;&gt;"",Data!#REF!="Accept&amp;#233;"),Data!#REF!,"")</f>
        <v>#REF!</v>
      </c>
      <c r="E217" s="61" t="e">
        <f>IF(AND(Data!#REF!&lt;&gt;"",Data!#REF!="Accept&amp;#233;"),Data!#REF!,"")</f>
        <v>#REF!</v>
      </c>
      <c r="F217" s="62" t="e">
        <f>IF(AND(Data!#REF!&lt;&gt;"",Data!#REF!="Accept&amp;#233;"),Data!#REF!,"")</f>
        <v>#REF!</v>
      </c>
      <c r="G217" s="63" t="e">
        <f>IF(Data!#REF!='Delivery Plan'!E217,Data!#REF!,"")</f>
        <v>#REF!</v>
      </c>
      <c r="H217" s="51"/>
      <c r="I217" s="60" t="e">
        <f t="shared" si="7"/>
        <v>#REF!</v>
      </c>
      <c r="J217" s="42" t="e">
        <f>IF(AND(E217=Data!#REF!,Data!#REF!&lt;&gt;""),Data!#REF!,"")</f>
        <v>#REF!</v>
      </c>
      <c r="K217" s="64" t="e">
        <f>IF(AND(E217=Data!#REF!,Data!#REF!&lt;&gt;""),Data!#REF!,"")</f>
        <v>#REF!</v>
      </c>
      <c r="L217" s="65" t="e">
        <f>IF(E217=Data!#REF!,Data!#REF!,"")</f>
        <v>#REF!</v>
      </c>
      <c r="M217" s="65" t="e">
        <f>IF(E217=Data!#REF!,Data!#REF!,"")</f>
        <v>#REF!</v>
      </c>
      <c r="N217" s="66" t="e">
        <f>IF(AND(Data!#REF!&lt;&gt;"",Data!#REF!="Accept&amp;#233;"),Data!#REF!,"")</f>
        <v>#REF!</v>
      </c>
    </row>
    <row r="218" spans="1:14" ht="19.5" hidden="1" customHeight="1" x14ac:dyDescent="0.3">
      <c r="A218" s="59" t="e">
        <f>IF(AND(Data!#REF!&lt;&gt;"",Data!#REF!="Accept&amp;#233;"),Data!#REF!,"")</f>
        <v>#REF!</v>
      </c>
      <c r="B218" s="59" t="e">
        <f>IF(AND(Data!#REF!&lt;&gt;"",Data!#REF!="Accept&amp;#233;"),Data!#REF!,"")</f>
        <v>#REF!</v>
      </c>
      <c r="C218" s="60" t="e">
        <f t="shared" si="6"/>
        <v>#REF!</v>
      </c>
      <c r="D218" s="42" t="e">
        <f>IF(AND(Data!#REF!&lt;&gt;"",Data!#REF!="Accept&amp;#233;"),Data!#REF!,"")</f>
        <v>#REF!</v>
      </c>
      <c r="E218" s="61" t="e">
        <f>IF(AND(Data!#REF!&lt;&gt;"",Data!#REF!="Accept&amp;#233;"),Data!#REF!,"")</f>
        <v>#REF!</v>
      </c>
      <c r="F218" s="62" t="e">
        <f>IF(AND(Data!#REF!&lt;&gt;"",Data!#REF!="Accept&amp;#233;"),Data!#REF!,"")</f>
        <v>#REF!</v>
      </c>
      <c r="G218" s="63" t="e">
        <f>IF(Data!#REF!='Delivery Plan'!E218,Data!#REF!,"")</f>
        <v>#REF!</v>
      </c>
      <c r="H218" s="51"/>
      <c r="I218" s="60" t="e">
        <f t="shared" si="7"/>
        <v>#REF!</v>
      </c>
      <c r="J218" s="42" t="e">
        <f>IF(AND(E218=Data!#REF!,Data!#REF!&lt;&gt;""),Data!#REF!,"")</f>
        <v>#REF!</v>
      </c>
      <c r="K218" s="64" t="e">
        <f>IF(AND(E218=Data!#REF!,Data!#REF!&lt;&gt;""),Data!#REF!,"")</f>
        <v>#REF!</v>
      </c>
      <c r="L218" s="65" t="e">
        <f>IF(E218=Data!#REF!,Data!#REF!,"")</f>
        <v>#REF!</v>
      </c>
      <c r="M218" s="65" t="e">
        <f>IF(E218=Data!#REF!,Data!#REF!,"")</f>
        <v>#REF!</v>
      </c>
      <c r="N218" s="66" t="e">
        <f>IF(AND(Data!#REF!&lt;&gt;"",Data!#REF!="Accept&amp;#233;"),Data!#REF!,"")</f>
        <v>#REF!</v>
      </c>
    </row>
    <row r="219" spans="1:14" ht="19.5" hidden="1" customHeight="1" x14ac:dyDescent="0.3">
      <c r="A219" s="59" t="e">
        <f>IF(AND(Data!#REF!&lt;&gt;"",Data!#REF!="Accept&amp;#233;"),Data!#REF!,"")</f>
        <v>#REF!</v>
      </c>
      <c r="B219" s="59" t="e">
        <f>IF(AND(Data!#REF!&lt;&gt;"",Data!#REF!="Accept&amp;#233;"),Data!#REF!,"")</f>
        <v>#REF!</v>
      </c>
      <c r="C219" s="60" t="e">
        <f t="shared" si="6"/>
        <v>#REF!</v>
      </c>
      <c r="D219" s="42" t="e">
        <f>IF(AND(Data!#REF!&lt;&gt;"",Data!#REF!="Accept&amp;#233;"),Data!#REF!,"")</f>
        <v>#REF!</v>
      </c>
      <c r="E219" s="61" t="e">
        <f>IF(AND(Data!#REF!&lt;&gt;"",Data!#REF!="Accept&amp;#233;"),Data!#REF!,"")</f>
        <v>#REF!</v>
      </c>
      <c r="F219" s="62" t="e">
        <f>IF(AND(Data!#REF!&lt;&gt;"",Data!#REF!="Accept&amp;#233;"),Data!#REF!,"")</f>
        <v>#REF!</v>
      </c>
      <c r="G219" s="63" t="e">
        <f>IF(Data!#REF!='Delivery Plan'!E219,Data!#REF!,"")</f>
        <v>#REF!</v>
      </c>
      <c r="H219" s="51"/>
      <c r="I219" s="60" t="e">
        <f t="shared" si="7"/>
        <v>#REF!</v>
      </c>
      <c r="J219" s="42" t="e">
        <f>IF(AND(E219=Data!#REF!,Data!#REF!&lt;&gt;""),Data!#REF!,"")</f>
        <v>#REF!</v>
      </c>
      <c r="K219" s="64" t="e">
        <f>IF(AND(E219=Data!#REF!,Data!#REF!&lt;&gt;""),Data!#REF!,"")</f>
        <v>#REF!</v>
      </c>
      <c r="L219" s="65" t="e">
        <f>IF(E219=Data!#REF!,Data!#REF!,"")</f>
        <v>#REF!</v>
      </c>
      <c r="M219" s="65" t="e">
        <f>IF(E219=Data!#REF!,Data!#REF!,"")</f>
        <v>#REF!</v>
      </c>
      <c r="N219" s="66" t="e">
        <f>IF(AND(Data!#REF!&lt;&gt;"",Data!#REF!="Accept&amp;#233;"),Data!#REF!,"")</f>
        <v>#REF!</v>
      </c>
    </row>
    <row r="220" spans="1:14" ht="19.5" hidden="1" customHeight="1" x14ac:dyDescent="0.3">
      <c r="A220" s="59" t="e">
        <f>IF(AND(Data!#REF!&lt;&gt;"",Data!#REF!="Accept&amp;#233;"),Data!#REF!,"")</f>
        <v>#REF!</v>
      </c>
      <c r="B220" s="59" t="e">
        <f>IF(AND(Data!#REF!&lt;&gt;"",Data!#REF!="Accept&amp;#233;"),Data!#REF!,"")</f>
        <v>#REF!</v>
      </c>
      <c r="C220" s="60" t="e">
        <f t="shared" si="6"/>
        <v>#REF!</v>
      </c>
      <c r="D220" s="42" t="e">
        <f>IF(AND(Data!#REF!&lt;&gt;"",Data!#REF!="Accept&amp;#233;"),Data!#REF!,"")</f>
        <v>#REF!</v>
      </c>
      <c r="E220" s="61" t="e">
        <f>IF(AND(Data!#REF!&lt;&gt;"",Data!#REF!="Accept&amp;#233;"),Data!#REF!,"")</f>
        <v>#REF!</v>
      </c>
      <c r="F220" s="62" t="e">
        <f>IF(AND(Data!#REF!&lt;&gt;"",Data!#REF!="Accept&amp;#233;"),Data!#REF!,"")</f>
        <v>#REF!</v>
      </c>
      <c r="G220" s="63" t="e">
        <f>IF(Data!#REF!='Delivery Plan'!E220,Data!#REF!,"")</f>
        <v>#REF!</v>
      </c>
      <c r="H220" s="51"/>
      <c r="I220" s="60" t="e">
        <f t="shared" si="7"/>
        <v>#REF!</v>
      </c>
      <c r="J220" s="42" t="e">
        <f>IF(AND(E220=Data!#REF!,Data!#REF!&lt;&gt;""),Data!#REF!,"")</f>
        <v>#REF!</v>
      </c>
      <c r="K220" s="64" t="e">
        <f>IF(AND(E220=Data!#REF!,Data!#REF!&lt;&gt;""),Data!#REF!,"")</f>
        <v>#REF!</v>
      </c>
      <c r="L220" s="65" t="e">
        <f>IF(E220=Data!#REF!,Data!#REF!,"")</f>
        <v>#REF!</v>
      </c>
      <c r="M220" s="65" t="e">
        <f>IF(E220=Data!#REF!,Data!#REF!,"")</f>
        <v>#REF!</v>
      </c>
      <c r="N220" s="66" t="e">
        <f>IF(AND(Data!#REF!&lt;&gt;"",Data!#REF!="Accept&amp;#233;"),Data!#REF!,"")</f>
        <v>#REF!</v>
      </c>
    </row>
    <row r="221" spans="1:14" ht="19.5" hidden="1" customHeight="1" x14ac:dyDescent="0.3">
      <c r="A221" s="59" t="e">
        <f>IF(AND(Data!#REF!&lt;&gt;"",Data!#REF!="Accept&amp;#233;"),Data!#REF!,"")</f>
        <v>#REF!</v>
      </c>
      <c r="B221" s="59" t="e">
        <f>IF(AND(Data!#REF!&lt;&gt;"",Data!#REF!="Accept&amp;#233;"),Data!#REF!,"")</f>
        <v>#REF!</v>
      </c>
      <c r="C221" s="60" t="e">
        <f t="shared" si="6"/>
        <v>#REF!</v>
      </c>
      <c r="D221" s="42" t="e">
        <f>IF(AND(Data!#REF!&lt;&gt;"",Data!#REF!="Accept&amp;#233;"),Data!#REF!,"")</f>
        <v>#REF!</v>
      </c>
      <c r="E221" s="61" t="e">
        <f>IF(AND(Data!#REF!&lt;&gt;"",Data!#REF!="Accept&amp;#233;"),Data!#REF!,"")</f>
        <v>#REF!</v>
      </c>
      <c r="F221" s="62" t="e">
        <f>IF(AND(Data!#REF!&lt;&gt;"",Data!#REF!="Accept&amp;#233;"),Data!#REF!,"")</f>
        <v>#REF!</v>
      </c>
      <c r="G221" s="63" t="e">
        <f>IF(Data!#REF!='Delivery Plan'!E221,Data!#REF!,"")</f>
        <v>#REF!</v>
      </c>
      <c r="H221" s="51"/>
      <c r="I221" s="60" t="e">
        <f t="shared" si="7"/>
        <v>#REF!</v>
      </c>
      <c r="J221" s="42" t="e">
        <f>IF(AND(E221=Data!#REF!,Data!#REF!&lt;&gt;""),Data!#REF!,"")</f>
        <v>#REF!</v>
      </c>
      <c r="K221" s="64" t="e">
        <f>IF(AND(E221=Data!#REF!,Data!#REF!&lt;&gt;""),Data!#REF!,"")</f>
        <v>#REF!</v>
      </c>
      <c r="L221" s="65" t="e">
        <f>IF(E221=Data!#REF!,Data!#REF!,"")</f>
        <v>#REF!</v>
      </c>
      <c r="M221" s="65" t="e">
        <f>IF(E221=Data!#REF!,Data!#REF!,"")</f>
        <v>#REF!</v>
      </c>
      <c r="N221" s="66" t="e">
        <f>IF(AND(Data!#REF!&lt;&gt;"",Data!#REF!="Accept&amp;#233;"),Data!#REF!,"")</f>
        <v>#REF!</v>
      </c>
    </row>
    <row r="222" spans="1:14" ht="19.5" hidden="1" customHeight="1" x14ac:dyDescent="0.3">
      <c r="A222" s="59" t="e">
        <f>IF(AND(Data!#REF!&lt;&gt;"",Data!#REF!="Accept&amp;#233;"),Data!#REF!,"")</f>
        <v>#REF!</v>
      </c>
      <c r="B222" s="59" t="e">
        <f>IF(AND(Data!#REF!&lt;&gt;"",Data!#REF!="Accept&amp;#233;"),Data!#REF!,"")</f>
        <v>#REF!</v>
      </c>
      <c r="C222" s="60" t="e">
        <f t="shared" si="6"/>
        <v>#REF!</v>
      </c>
      <c r="D222" s="42" t="e">
        <f>IF(AND(Data!#REF!&lt;&gt;"",Data!#REF!="Accept&amp;#233;"),Data!#REF!,"")</f>
        <v>#REF!</v>
      </c>
      <c r="E222" s="61" t="e">
        <f>IF(AND(Data!#REF!&lt;&gt;"",Data!#REF!="Accept&amp;#233;"),Data!#REF!,"")</f>
        <v>#REF!</v>
      </c>
      <c r="F222" s="62" t="e">
        <f>IF(AND(Data!#REF!&lt;&gt;"",Data!#REF!="Accept&amp;#233;"),Data!#REF!,"")</f>
        <v>#REF!</v>
      </c>
      <c r="G222" s="63" t="e">
        <f>IF(Data!#REF!='Delivery Plan'!E222,Data!#REF!,"")</f>
        <v>#REF!</v>
      </c>
      <c r="H222" s="51"/>
      <c r="I222" s="60" t="e">
        <f t="shared" si="7"/>
        <v>#REF!</v>
      </c>
      <c r="J222" s="42" t="e">
        <f>IF(AND(E222=Data!#REF!,Data!#REF!&lt;&gt;""),Data!#REF!,"")</f>
        <v>#REF!</v>
      </c>
      <c r="K222" s="64" t="e">
        <f>IF(AND(E222=Data!#REF!,Data!#REF!&lt;&gt;""),Data!#REF!,"")</f>
        <v>#REF!</v>
      </c>
      <c r="L222" s="65" t="e">
        <f>IF(E222=Data!#REF!,Data!#REF!,"")</f>
        <v>#REF!</v>
      </c>
      <c r="M222" s="65" t="e">
        <f>IF(E222=Data!#REF!,Data!#REF!,"")</f>
        <v>#REF!</v>
      </c>
      <c r="N222" s="66" t="e">
        <f>IF(AND(Data!#REF!&lt;&gt;"",Data!#REF!="Accept&amp;#233;"),Data!#REF!,"")</f>
        <v>#REF!</v>
      </c>
    </row>
    <row r="223" spans="1:14" ht="19.5" hidden="1" customHeight="1" x14ac:dyDescent="0.3">
      <c r="A223" s="59" t="e">
        <f>IF(AND(Data!#REF!&lt;&gt;"",Data!#REF!="Accept&amp;#233;"),Data!#REF!,"")</f>
        <v>#REF!</v>
      </c>
      <c r="B223" s="59" t="e">
        <f>IF(AND(Data!#REF!&lt;&gt;"",Data!#REF!="Accept&amp;#233;"),Data!#REF!,"")</f>
        <v>#REF!</v>
      </c>
      <c r="C223" s="60" t="e">
        <f t="shared" si="6"/>
        <v>#REF!</v>
      </c>
      <c r="D223" s="42" t="e">
        <f>IF(AND(Data!#REF!&lt;&gt;"",Data!#REF!="Accept&amp;#233;"),Data!#REF!,"")</f>
        <v>#REF!</v>
      </c>
      <c r="E223" s="61" t="e">
        <f>IF(AND(Data!#REF!&lt;&gt;"",Data!#REF!="Accept&amp;#233;"),Data!#REF!,"")</f>
        <v>#REF!</v>
      </c>
      <c r="F223" s="62" t="e">
        <f>IF(AND(Data!#REF!&lt;&gt;"",Data!#REF!="Accept&amp;#233;"),Data!#REF!,"")</f>
        <v>#REF!</v>
      </c>
      <c r="G223" s="63" t="e">
        <f>IF(Data!#REF!='Delivery Plan'!E223,Data!#REF!,"")</f>
        <v>#REF!</v>
      </c>
      <c r="H223" s="51"/>
      <c r="I223" s="60" t="e">
        <f t="shared" si="7"/>
        <v>#REF!</v>
      </c>
      <c r="J223" s="42" t="e">
        <f>IF(AND(E223=Data!#REF!,Data!#REF!&lt;&gt;""),Data!#REF!,"")</f>
        <v>#REF!</v>
      </c>
      <c r="K223" s="64" t="e">
        <f>IF(AND(E223=Data!#REF!,Data!#REF!&lt;&gt;""),Data!#REF!,"")</f>
        <v>#REF!</v>
      </c>
      <c r="L223" s="65" t="e">
        <f>IF(E223=Data!#REF!,Data!#REF!,"")</f>
        <v>#REF!</v>
      </c>
      <c r="M223" s="65" t="e">
        <f>IF(E223=Data!#REF!,Data!#REF!,"")</f>
        <v>#REF!</v>
      </c>
      <c r="N223" s="66" t="e">
        <f>IF(AND(Data!#REF!&lt;&gt;"",Data!#REF!="Accept&amp;#233;"),Data!#REF!,"")</f>
        <v>#REF!</v>
      </c>
    </row>
    <row r="224" spans="1:14" ht="19.5" hidden="1" customHeight="1" x14ac:dyDescent="0.3">
      <c r="A224" s="59" t="e">
        <f>IF(AND(Data!#REF!&lt;&gt;"",Data!#REF!="Accept&amp;#233;"),Data!#REF!,"")</f>
        <v>#REF!</v>
      </c>
      <c r="B224" s="59" t="e">
        <f>IF(AND(Data!#REF!&lt;&gt;"",Data!#REF!="Accept&amp;#233;"),Data!#REF!,"")</f>
        <v>#REF!</v>
      </c>
      <c r="C224" s="60" t="e">
        <f t="shared" si="6"/>
        <v>#REF!</v>
      </c>
      <c r="D224" s="42" t="e">
        <f>IF(AND(Data!#REF!&lt;&gt;"",Data!#REF!="Accept&amp;#233;"),Data!#REF!,"")</f>
        <v>#REF!</v>
      </c>
      <c r="E224" s="61" t="e">
        <f>IF(AND(Data!#REF!&lt;&gt;"",Data!#REF!="Accept&amp;#233;"),Data!#REF!,"")</f>
        <v>#REF!</v>
      </c>
      <c r="F224" s="62" t="e">
        <f>IF(AND(Data!#REF!&lt;&gt;"",Data!#REF!="Accept&amp;#233;"),Data!#REF!,"")</f>
        <v>#REF!</v>
      </c>
      <c r="G224" s="63" t="e">
        <f>IF(Data!#REF!='Delivery Plan'!E224,Data!#REF!,"")</f>
        <v>#REF!</v>
      </c>
      <c r="H224" s="51"/>
      <c r="I224" s="60" t="e">
        <f t="shared" si="7"/>
        <v>#REF!</v>
      </c>
      <c r="J224" s="42" t="e">
        <f>IF(AND(E224=Data!#REF!,Data!#REF!&lt;&gt;""),Data!#REF!,"")</f>
        <v>#REF!</v>
      </c>
      <c r="K224" s="64" t="e">
        <f>IF(AND(E224=Data!#REF!,Data!#REF!&lt;&gt;""),Data!#REF!,"")</f>
        <v>#REF!</v>
      </c>
      <c r="L224" s="65" t="e">
        <f>IF(E224=Data!#REF!,Data!#REF!,"")</f>
        <v>#REF!</v>
      </c>
      <c r="M224" s="65" t="e">
        <f>IF(E224=Data!#REF!,Data!#REF!,"")</f>
        <v>#REF!</v>
      </c>
      <c r="N224" s="66" t="e">
        <f>IF(AND(Data!#REF!&lt;&gt;"",Data!#REF!="Accept&amp;#233;"),Data!#REF!,"")</f>
        <v>#REF!</v>
      </c>
    </row>
    <row r="225" spans="1:14" ht="19.5" hidden="1" customHeight="1" x14ac:dyDescent="0.3">
      <c r="A225" s="59" t="e">
        <f>IF(AND(Data!#REF!&lt;&gt;"",Data!#REF!="Accept&amp;#233;"),Data!#REF!,"")</f>
        <v>#REF!</v>
      </c>
      <c r="B225" s="59" t="e">
        <f>IF(AND(Data!#REF!&lt;&gt;"",Data!#REF!="Accept&amp;#233;"),Data!#REF!,"")</f>
        <v>#REF!</v>
      </c>
      <c r="C225" s="60" t="e">
        <f t="shared" si="6"/>
        <v>#REF!</v>
      </c>
      <c r="D225" s="42" t="e">
        <f>IF(AND(Data!#REF!&lt;&gt;"",Data!#REF!="Accept&amp;#233;"),Data!#REF!,"")</f>
        <v>#REF!</v>
      </c>
      <c r="E225" s="61" t="e">
        <f>IF(AND(Data!#REF!&lt;&gt;"",Data!#REF!="Accept&amp;#233;"),Data!#REF!,"")</f>
        <v>#REF!</v>
      </c>
      <c r="F225" s="62" t="e">
        <f>IF(AND(Data!#REF!&lt;&gt;"",Data!#REF!="Accept&amp;#233;"),Data!#REF!,"")</f>
        <v>#REF!</v>
      </c>
      <c r="G225" s="63" t="e">
        <f>IF(Data!#REF!='Delivery Plan'!E225,Data!#REF!,"")</f>
        <v>#REF!</v>
      </c>
      <c r="H225" s="51"/>
      <c r="I225" s="60" t="e">
        <f t="shared" si="7"/>
        <v>#REF!</v>
      </c>
      <c r="J225" s="42" t="e">
        <f>IF(AND(E225=Data!#REF!,Data!#REF!&lt;&gt;""),Data!#REF!,"")</f>
        <v>#REF!</v>
      </c>
      <c r="K225" s="64" t="e">
        <f>IF(AND(E225=Data!#REF!,Data!#REF!&lt;&gt;""),Data!#REF!,"")</f>
        <v>#REF!</v>
      </c>
      <c r="L225" s="65" t="e">
        <f>IF(E225=Data!#REF!,Data!#REF!,"")</f>
        <v>#REF!</v>
      </c>
      <c r="M225" s="65" t="e">
        <f>IF(E225=Data!#REF!,Data!#REF!,"")</f>
        <v>#REF!</v>
      </c>
      <c r="N225" s="66" t="e">
        <f>IF(AND(Data!#REF!&lt;&gt;"",Data!#REF!="Accept&amp;#233;"),Data!#REF!,"")</f>
        <v>#REF!</v>
      </c>
    </row>
    <row r="226" spans="1:14" ht="19.5" hidden="1" customHeight="1" x14ac:dyDescent="0.3">
      <c r="A226" s="59" t="e">
        <f>IF(AND(Data!#REF!&lt;&gt;"",Data!#REF!="Accept&amp;#233;"),Data!#REF!,"")</f>
        <v>#REF!</v>
      </c>
      <c r="B226" s="59" t="e">
        <f>IF(AND(Data!#REF!&lt;&gt;"",Data!#REF!="Accept&amp;#233;"),Data!#REF!,"")</f>
        <v>#REF!</v>
      </c>
      <c r="C226" s="60" t="e">
        <f t="shared" si="6"/>
        <v>#REF!</v>
      </c>
      <c r="D226" s="42" t="e">
        <f>IF(AND(Data!#REF!&lt;&gt;"",Data!#REF!="Accept&amp;#233;"),Data!#REF!,"")</f>
        <v>#REF!</v>
      </c>
      <c r="E226" s="61" t="e">
        <f>IF(AND(Data!#REF!&lt;&gt;"",Data!#REF!="Accept&amp;#233;"),Data!#REF!,"")</f>
        <v>#REF!</v>
      </c>
      <c r="F226" s="62" t="e">
        <f>IF(AND(Data!#REF!&lt;&gt;"",Data!#REF!="Accept&amp;#233;"),Data!#REF!,"")</f>
        <v>#REF!</v>
      </c>
      <c r="G226" s="63" t="e">
        <f>IF(Data!#REF!='Delivery Plan'!E226,Data!#REF!,"")</f>
        <v>#REF!</v>
      </c>
      <c r="H226" s="51"/>
      <c r="I226" s="60" t="e">
        <f t="shared" si="7"/>
        <v>#REF!</v>
      </c>
      <c r="J226" s="42" t="e">
        <f>IF(AND(E226=Data!#REF!,Data!#REF!&lt;&gt;""),Data!#REF!,"")</f>
        <v>#REF!</v>
      </c>
      <c r="K226" s="64" t="e">
        <f>IF(AND(E226=Data!#REF!,Data!#REF!&lt;&gt;""),Data!#REF!,"")</f>
        <v>#REF!</v>
      </c>
      <c r="L226" s="65" t="e">
        <f>IF(E226=Data!#REF!,Data!#REF!,"")</f>
        <v>#REF!</v>
      </c>
      <c r="M226" s="65" t="e">
        <f>IF(E226=Data!#REF!,Data!#REF!,"")</f>
        <v>#REF!</v>
      </c>
      <c r="N226" s="66" t="e">
        <f>IF(AND(Data!#REF!&lt;&gt;"",Data!#REF!="Accept&amp;#233;"),Data!#REF!,"")</f>
        <v>#REF!</v>
      </c>
    </row>
    <row r="227" spans="1:14" ht="19.5" hidden="1" customHeight="1" x14ac:dyDescent="0.3">
      <c r="A227" s="59" t="e">
        <f>IF(AND(Data!#REF!&lt;&gt;"",Data!#REF!="Accept&amp;#233;"),Data!#REF!,"")</f>
        <v>#REF!</v>
      </c>
      <c r="B227" s="59" t="e">
        <f>IF(AND(Data!#REF!&lt;&gt;"",Data!#REF!="Accept&amp;#233;"),Data!#REF!,"")</f>
        <v>#REF!</v>
      </c>
      <c r="C227" s="60" t="e">
        <f t="shared" si="6"/>
        <v>#REF!</v>
      </c>
      <c r="D227" s="42" t="e">
        <f>IF(AND(Data!#REF!&lt;&gt;"",Data!#REF!="Accept&amp;#233;"),Data!#REF!,"")</f>
        <v>#REF!</v>
      </c>
      <c r="E227" s="61" t="e">
        <f>IF(AND(Data!#REF!&lt;&gt;"",Data!#REF!="Accept&amp;#233;"),Data!#REF!,"")</f>
        <v>#REF!</v>
      </c>
      <c r="F227" s="62" t="e">
        <f>IF(AND(Data!#REF!&lt;&gt;"",Data!#REF!="Accept&amp;#233;"),Data!#REF!,"")</f>
        <v>#REF!</v>
      </c>
      <c r="G227" s="63" t="e">
        <f>IF(Data!#REF!='Delivery Plan'!E227,Data!#REF!,"")</f>
        <v>#REF!</v>
      </c>
      <c r="H227" s="51"/>
      <c r="I227" s="60" t="e">
        <f t="shared" si="7"/>
        <v>#REF!</v>
      </c>
      <c r="J227" s="42" t="e">
        <f>IF(AND(E227=Data!#REF!,Data!#REF!&lt;&gt;""),Data!#REF!,"")</f>
        <v>#REF!</v>
      </c>
      <c r="K227" s="64" t="e">
        <f>IF(AND(E227=Data!#REF!,Data!#REF!&lt;&gt;""),Data!#REF!,"")</f>
        <v>#REF!</v>
      </c>
      <c r="L227" s="65" t="e">
        <f>IF(E227=Data!#REF!,Data!#REF!,"")</f>
        <v>#REF!</v>
      </c>
      <c r="M227" s="65" t="e">
        <f>IF(E227=Data!#REF!,Data!#REF!,"")</f>
        <v>#REF!</v>
      </c>
      <c r="N227" s="66" t="e">
        <f>IF(AND(Data!#REF!&lt;&gt;"",Data!#REF!="Accept&amp;#233;"),Data!#REF!,"")</f>
        <v>#REF!</v>
      </c>
    </row>
    <row r="228" spans="1:14" ht="19.5" hidden="1" customHeight="1" x14ac:dyDescent="0.3">
      <c r="A228" s="59" t="e">
        <f>IF(AND(Data!#REF!&lt;&gt;"",Data!#REF!="Accept&amp;#233;"),Data!#REF!,"")</f>
        <v>#REF!</v>
      </c>
      <c r="B228" s="59" t="e">
        <f>IF(AND(Data!#REF!&lt;&gt;"",Data!#REF!="Accept&amp;#233;"),Data!#REF!,"")</f>
        <v>#REF!</v>
      </c>
      <c r="C228" s="60" t="e">
        <f t="shared" si="6"/>
        <v>#REF!</v>
      </c>
      <c r="D228" s="42" t="e">
        <f>IF(AND(Data!#REF!&lt;&gt;"",Data!#REF!="Accept&amp;#233;"),Data!#REF!,"")</f>
        <v>#REF!</v>
      </c>
      <c r="E228" s="61" t="e">
        <f>IF(AND(Data!#REF!&lt;&gt;"",Data!#REF!="Accept&amp;#233;"),Data!#REF!,"")</f>
        <v>#REF!</v>
      </c>
      <c r="F228" s="62" t="e">
        <f>IF(AND(Data!#REF!&lt;&gt;"",Data!#REF!="Accept&amp;#233;"),Data!#REF!,"")</f>
        <v>#REF!</v>
      </c>
      <c r="G228" s="63" t="e">
        <f>IF(Data!#REF!='Delivery Plan'!E228,Data!#REF!,"")</f>
        <v>#REF!</v>
      </c>
      <c r="H228" s="51"/>
      <c r="I228" s="60" t="e">
        <f t="shared" si="7"/>
        <v>#REF!</v>
      </c>
      <c r="J228" s="42" t="e">
        <f>IF(AND(E228=Data!#REF!,Data!#REF!&lt;&gt;""),Data!#REF!,"")</f>
        <v>#REF!</v>
      </c>
      <c r="K228" s="64" t="e">
        <f>IF(AND(E228=Data!#REF!,Data!#REF!&lt;&gt;""),Data!#REF!,"")</f>
        <v>#REF!</v>
      </c>
      <c r="L228" s="65" t="e">
        <f>IF(E228=Data!#REF!,Data!#REF!,"")</f>
        <v>#REF!</v>
      </c>
      <c r="M228" s="65" t="e">
        <f>IF(E228=Data!#REF!,Data!#REF!,"")</f>
        <v>#REF!</v>
      </c>
      <c r="N228" s="66" t="e">
        <f>IF(AND(Data!#REF!&lt;&gt;"",Data!#REF!="Accept&amp;#233;"),Data!#REF!,"")</f>
        <v>#REF!</v>
      </c>
    </row>
    <row r="229" spans="1:14" ht="19.5" hidden="1" customHeight="1" x14ac:dyDescent="0.3">
      <c r="A229" s="59" t="e">
        <f>IF(AND(Data!#REF!&lt;&gt;"",Data!#REF!="Accept&amp;#233;"),Data!#REF!,"")</f>
        <v>#REF!</v>
      </c>
      <c r="B229" s="59" t="e">
        <f>IF(AND(Data!#REF!&lt;&gt;"",Data!#REF!="Accept&amp;#233;"),Data!#REF!,"")</f>
        <v>#REF!</v>
      </c>
      <c r="C229" s="60" t="e">
        <f t="shared" si="6"/>
        <v>#REF!</v>
      </c>
      <c r="D229" s="42" t="e">
        <f>IF(AND(Data!#REF!&lt;&gt;"",Data!#REF!="Accept&amp;#233;"),Data!#REF!,"")</f>
        <v>#REF!</v>
      </c>
      <c r="E229" s="61" t="e">
        <f>IF(AND(Data!#REF!&lt;&gt;"",Data!#REF!="Accept&amp;#233;"),Data!#REF!,"")</f>
        <v>#REF!</v>
      </c>
      <c r="F229" s="62" t="e">
        <f>IF(AND(Data!#REF!&lt;&gt;"",Data!#REF!="Accept&amp;#233;"),Data!#REF!,"")</f>
        <v>#REF!</v>
      </c>
      <c r="G229" s="63" t="e">
        <f>IF(Data!#REF!='Delivery Plan'!E229,Data!#REF!,"")</f>
        <v>#REF!</v>
      </c>
      <c r="H229" s="51"/>
      <c r="I229" s="60" t="e">
        <f t="shared" si="7"/>
        <v>#REF!</v>
      </c>
      <c r="J229" s="42" t="e">
        <f>IF(AND(E229=Data!#REF!,Data!#REF!&lt;&gt;""),Data!#REF!,"")</f>
        <v>#REF!</v>
      </c>
      <c r="K229" s="64" t="e">
        <f>IF(AND(E229=Data!#REF!,Data!#REF!&lt;&gt;""),Data!#REF!,"")</f>
        <v>#REF!</v>
      </c>
      <c r="L229" s="65" t="e">
        <f>IF(E229=Data!#REF!,Data!#REF!,"")</f>
        <v>#REF!</v>
      </c>
      <c r="M229" s="65" t="e">
        <f>IF(E229=Data!#REF!,Data!#REF!,"")</f>
        <v>#REF!</v>
      </c>
      <c r="N229" s="66" t="e">
        <f>IF(AND(Data!#REF!&lt;&gt;"",Data!#REF!="Accept&amp;#233;"),Data!#REF!,"")</f>
        <v>#REF!</v>
      </c>
    </row>
    <row r="230" spans="1:14" ht="19.5" hidden="1" customHeight="1" x14ac:dyDescent="0.3">
      <c r="A230" s="59" t="e">
        <f>IF(AND(Data!#REF!&lt;&gt;"",Data!#REF!="Accept&amp;#233;"),Data!#REF!,"")</f>
        <v>#REF!</v>
      </c>
      <c r="B230" s="59" t="e">
        <f>IF(AND(Data!#REF!&lt;&gt;"",Data!#REF!="Accept&amp;#233;"),Data!#REF!,"")</f>
        <v>#REF!</v>
      </c>
      <c r="C230" s="60" t="e">
        <f t="shared" si="6"/>
        <v>#REF!</v>
      </c>
      <c r="D230" s="42" t="e">
        <f>IF(AND(Data!#REF!&lt;&gt;"",Data!#REF!="Accept&amp;#233;"),Data!#REF!,"")</f>
        <v>#REF!</v>
      </c>
      <c r="E230" s="61" t="e">
        <f>IF(AND(Data!#REF!&lt;&gt;"",Data!#REF!="Accept&amp;#233;"),Data!#REF!,"")</f>
        <v>#REF!</v>
      </c>
      <c r="F230" s="62" t="e">
        <f>IF(AND(Data!#REF!&lt;&gt;"",Data!#REF!="Accept&amp;#233;"),Data!#REF!,"")</f>
        <v>#REF!</v>
      </c>
      <c r="G230" s="63" t="e">
        <f>IF(Data!#REF!='Delivery Plan'!E230,Data!#REF!,"")</f>
        <v>#REF!</v>
      </c>
      <c r="H230" s="51"/>
      <c r="I230" s="60" t="e">
        <f t="shared" si="7"/>
        <v>#REF!</v>
      </c>
      <c r="J230" s="42" t="e">
        <f>IF(AND(E230=Data!#REF!,Data!#REF!&lt;&gt;""),Data!#REF!,"")</f>
        <v>#REF!</v>
      </c>
      <c r="K230" s="64" t="e">
        <f>IF(AND(E230=Data!#REF!,Data!#REF!&lt;&gt;""),Data!#REF!,"")</f>
        <v>#REF!</v>
      </c>
      <c r="L230" s="65" t="e">
        <f>IF(E230=Data!#REF!,Data!#REF!,"")</f>
        <v>#REF!</v>
      </c>
      <c r="M230" s="65" t="e">
        <f>IF(E230=Data!#REF!,Data!#REF!,"")</f>
        <v>#REF!</v>
      </c>
      <c r="N230" s="66" t="e">
        <f>IF(AND(Data!#REF!&lt;&gt;"",Data!#REF!="Accept&amp;#233;"),Data!#REF!,"")</f>
        <v>#REF!</v>
      </c>
    </row>
    <row r="231" spans="1:14" ht="19.5" hidden="1" customHeight="1" x14ac:dyDescent="0.3">
      <c r="A231" s="59" t="e">
        <f>IF(AND(Data!#REF!&lt;&gt;"",Data!#REF!="Accept&amp;#233;"),Data!#REF!,"")</f>
        <v>#REF!</v>
      </c>
      <c r="B231" s="59" t="e">
        <f>IF(AND(Data!#REF!&lt;&gt;"",Data!#REF!="Accept&amp;#233;"),Data!#REF!,"")</f>
        <v>#REF!</v>
      </c>
      <c r="C231" s="60" t="e">
        <f t="shared" si="6"/>
        <v>#REF!</v>
      </c>
      <c r="D231" s="42" t="e">
        <f>IF(AND(Data!#REF!&lt;&gt;"",Data!#REF!="Accept&amp;#233;"),Data!#REF!,"")</f>
        <v>#REF!</v>
      </c>
      <c r="E231" s="61" t="e">
        <f>IF(AND(Data!#REF!&lt;&gt;"",Data!#REF!="Accept&amp;#233;"),Data!#REF!,"")</f>
        <v>#REF!</v>
      </c>
      <c r="F231" s="62" t="e">
        <f>IF(AND(Data!#REF!&lt;&gt;"",Data!#REF!="Accept&amp;#233;"),Data!#REF!,"")</f>
        <v>#REF!</v>
      </c>
      <c r="G231" s="63" t="e">
        <f>IF(Data!#REF!='Delivery Plan'!E231,Data!#REF!,"")</f>
        <v>#REF!</v>
      </c>
      <c r="H231" s="51"/>
      <c r="I231" s="60" t="e">
        <f t="shared" si="7"/>
        <v>#REF!</v>
      </c>
      <c r="J231" s="42" t="e">
        <f>IF(AND(E231=Data!#REF!,Data!#REF!&lt;&gt;""),Data!#REF!,"")</f>
        <v>#REF!</v>
      </c>
      <c r="K231" s="64" t="e">
        <f>IF(AND(E231=Data!#REF!,Data!#REF!&lt;&gt;""),Data!#REF!,"")</f>
        <v>#REF!</v>
      </c>
      <c r="L231" s="65" t="e">
        <f>IF(E231=Data!#REF!,Data!#REF!,"")</f>
        <v>#REF!</v>
      </c>
      <c r="M231" s="65" t="e">
        <f>IF(E231=Data!#REF!,Data!#REF!,"")</f>
        <v>#REF!</v>
      </c>
      <c r="N231" s="66" t="e">
        <f>IF(AND(Data!#REF!&lt;&gt;"",Data!#REF!="Accept&amp;#233;"),Data!#REF!,"")</f>
        <v>#REF!</v>
      </c>
    </row>
    <row r="232" spans="1:14" ht="19.5" hidden="1" customHeight="1" x14ac:dyDescent="0.3">
      <c r="A232" s="59" t="e">
        <f>IF(AND(Data!#REF!&lt;&gt;"",Data!#REF!="Accept&amp;#233;"),Data!#REF!,"")</f>
        <v>#REF!</v>
      </c>
      <c r="B232" s="59" t="e">
        <f>IF(AND(Data!#REF!&lt;&gt;"",Data!#REF!="Accept&amp;#233;"),Data!#REF!,"")</f>
        <v>#REF!</v>
      </c>
      <c r="C232" s="60" t="e">
        <f t="shared" si="6"/>
        <v>#REF!</v>
      </c>
      <c r="D232" s="42" t="e">
        <f>IF(AND(Data!#REF!&lt;&gt;"",Data!#REF!="Accept&amp;#233;"),Data!#REF!,"")</f>
        <v>#REF!</v>
      </c>
      <c r="E232" s="61" t="e">
        <f>IF(AND(Data!#REF!&lt;&gt;"",Data!#REF!="Accept&amp;#233;"),Data!#REF!,"")</f>
        <v>#REF!</v>
      </c>
      <c r="F232" s="62" t="e">
        <f>IF(AND(Data!#REF!&lt;&gt;"",Data!#REF!="Accept&amp;#233;"),Data!#REF!,"")</f>
        <v>#REF!</v>
      </c>
      <c r="G232" s="63" t="e">
        <f>IF(Data!#REF!='Delivery Plan'!E232,Data!#REF!,"")</f>
        <v>#REF!</v>
      </c>
      <c r="H232" s="51"/>
      <c r="I232" s="60" t="e">
        <f t="shared" si="7"/>
        <v>#REF!</v>
      </c>
      <c r="J232" s="42" t="e">
        <f>IF(AND(E232=Data!#REF!,Data!#REF!&lt;&gt;""),Data!#REF!,"")</f>
        <v>#REF!</v>
      </c>
      <c r="K232" s="64" t="e">
        <f>IF(AND(E232=Data!#REF!,Data!#REF!&lt;&gt;""),Data!#REF!,"")</f>
        <v>#REF!</v>
      </c>
      <c r="L232" s="65" t="e">
        <f>IF(E232=Data!#REF!,Data!#REF!,"")</f>
        <v>#REF!</v>
      </c>
      <c r="M232" s="65" t="e">
        <f>IF(E232=Data!#REF!,Data!#REF!,"")</f>
        <v>#REF!</v>
      </c>
      <c r="N232" s="66" t="e">
        <f>IF(AND(Data!#REF!&lt;&gt;"",Data!#REF!="Accept&amp;#233;"),Data!#REF!,"")</f>
        <v>#REF!</v>
      </c>
    </row>
    <row r="233" spans="1:14" ht="19.5" hidden="1" customHeight="1" x14ac:dyDescent="0.3">
      <c r="A233" s="59" t="e">
        <f>IF(AND(Data!#REF!&lt;&gt;"",Data!#REF!="Accept&amp;#233;"),Data!#REF!,"")</f>
        <v>#REF!</v>
      </c>
      <c r="B233" s="59" t="e">
        <f>IF(AND(Data!#REF!&lt;&gt;"",Data!#REF!="Accept&amp;#233;"),Data!#REF!,"")</f>
        <v>#REF!</v>
      </c>
      <c r="C233" s="60" t="e">
        <f t="shared" si="6"/>
        <v>#REF!</v>
      </c>
      <c r="D233" s="42" t="e">
        <f>IF(AND(Data!#REF!&lt;&gt;"",Data!#REF!="Accept&amp;#233;"),Data!#REF!,"")</f>
        <v>#REF!</v>
      </c>
      <c r="E233" s="61" t="e">
        <f>IF(AND(Data!#REF!&lt;&gt;"",Data!#REF!="Accept&amp;#233;"),Data!#REF!,"")</f>
        <v>#REF!</v>
      </c>
      <c r="F233" s="62" t="e">
        <f>IF(AND(Data!#REF!&lt;&gt;"",Data!#REF!="Accept&amp;#233;"),Data!#REF!,"")</f>
        <v>#REF!</v>
      </c>
      <c r="G233" s="63" t="e">
        <f>IF(Data!#REF!='Delivery Plan'!E233,Data!#REF!,"")</f>
        <v>#REF!</v>
      </c>
      <c r="H233" s="51"/>
      <c r="I233" s="60" t="e">
        <f t="shared" si="7"/>
        <v>#REF!</v>
      </c>
      <c r="J233" s="42" t="e">
        <f>IF(AND(E233=Data!#REF!,Data!#REF!&lt;&gt;""),Data!#REF!,"")</f>
        <v>#REF!</v>
      </c>
      <c r="K233" s="64" t="e">
        <f>IF(AND(E233=Data!#REF!,Data!#REF!&lt;&gt;""),Data!#REF!,"")</f>
        <v>#REF!</v>
      </c>
      <c r="L233" s="65" t="e">
        <f>IF(E233=Data!#REF!,Data!#REF!,"")</f>
        <v>#REF!</v>
      </c>
      <c r="M233" s="65" t="e">
        <f>IF(E233=Data!#REF!,Data!#REF!,"")</f>
        <v>#REF!</v>
      </c>
      <c r="N233" s="66" t="e">
        <f>IF(AND(Data!#REF!&lt;&gt;"",Data!#REF!="Accept&amp;#233;"),Data!#REF!,"")</f>
        <v>#REF!</v>
      </c>
    </row>
    <row r="234" spans="1:14" ht="19.5" hidden="1" customHeight="1" x14ac:dyDescent="0.3">
      <c r="A234" s="59" t="e">
        <f>IF(AND(Data!#REF!&lt;&gt;"",Data!#REF!="Accept&amp;#233;"),Data!#REF!,"")</f>
        <v>#REF!</v>
      </c>
      <c r="B234" s="59" t="e">
        <f>IF(AND(Data!#REF!&lt;&gt;"",Data!#REF!="Accept&amp;#233;"),Data!#REF!,"")</f>
        <v>#REF!</v>
      </c>
      <c r="C234" s="60" t="e">
        <f t="shared" si="6"/>
        <v>#REF!</v>
      </c>
      <c r="D234" s="42" t="e">
        <f>IF(AND(Data!#REF!&lt;&gt;"",Data!#REF!="Accept&amp;#233;"),Data!#REF!,"")</f>
        <v>#REF!</v>
      </c>
      <c r="E234" s="61" t="e">
        <f>IF(AND(Data!#REF!&lt;&gt;"",Data!#REF!="Accept&amp;#233;"),Data!#REF!,"")</f>
        <v>#REF!</v>
      </c>
      <c r="F234" s="62" t="e">
        <f>IF(AND(Data!#REF!&lt;&gt;"",Data!#REF!="Accept&amp;#233;"),Data!#REF!,"")</f>
        <v>#REF!</v>
      </c>
      <c r="G234" s="63" t="e">
        <f>IF(Data!#REF!='Delivery Plan'!E234,Data!#REF!,"")</f>
        <v>#REF!</v>
      </c>
      <c r="H234" s="51"/>
      <c r="I234" s="60" t="e">
        <f t="shared" si="7"/>
        <v>#REF!</v>
      </c>
      <c r="J234" s="42" t="e">
        <f>IF(AND(E234=Data!#REF!,Data!#REF!&lt;&gt;""),Data!#REF!,"")</f>
        <v>#REF!</v>
      </c>
      <c r="K234" s="64" t="e">
        <f>IF(AND(E234=Data!#REF!,Data!#REF!&lt;&gt;""),Data!#REF!,"")</f>
        <v>#REF!</v>
      </c>
      <c r="L234" s="65" t="e">
        <f>IF(E234=Data!#REF!,Data!#REF!,"")</f>
        <v>#REF!</v>
      </c>
      <c r="M234" s="65" t="e">
        <f>IF(E234=Data!#REF!,Data!#REF!,"")</f>
        <v>#REF!</v>
      </c>
      <c r="N234" s="66" t="e">
        <f>IF(AND(Data!#REF!&lt;&gt;"",Data!#REF!="Accept&amp;#233;"),Data!#REF!,"")</f>
        <v>#REF!</v>
      </c>
    </row>
    <row r="235" spans="1:14" ht="19.5" hidden="1" customHeight="1" x14ac:dyDescent="0.3">
      <c r="A235" s="59" t="e">
        <f>IF(AND(Data!#REF!&lt;&gt;"",Data!#REF!="Accept&amp;#233;"),Data!#REF!,"")</f>
        <v>#REF!</v>
      </c>
      <c r="B235" s="59" t="e">
        <f>IF(AND(Data!#REF!&lt;&gt;"",Data!#REF!="Accept&amp;#233;"),Data!#REF!,"")</f>
        <v>#REF!</v>
      </c>
      <c r="C235" s="60" t="e">
        <f t="shared" si="6"/>
        <v>#REF!</v>
      </c>
      <c r="D235" s="42" t="e">
        <f>IF(AND(Data!#REF!&lt;&gt;"",Data!#REF!="Accept&amp;#233;"),Data!#REF!,"")</f>
        <v>#REF!</v>
      </c>
      <c r="E235" s="61" t="e">
        <f>IF(AND(Data!#REF!&lt;&gt;"",Data!#REF!="Accept&amp;#233;"),Data!#REF!,"")</f>
        <v>#REF!</v>
      </c>
      <c r="F235" s="62" t="e">
        <f>IF(AND(Data!#REF!&lt;&gt;"",Data!#REF!="Accept&amp;#233;"),Data!#REF!,"")</f>
        <v>#REF!</v>
      </c>
      <c r="G235" s="63" t="e">
        <f>IF(Data!#REF!='Delivery Plan'!E235,Data!#REF!,"")</f>
        <v>#REF!</v>
      </c>
      <c r="H235" s="51"/>
      <c r="I235" s="60" t="e">
        <f t="shared" si="7"/>
        <v>#REF!</v>
      </c>
      <c r="J235" s="42" t="e">
        <f>IF(AND(E235=Data!#REF!,Data!#REF!&lt;&gt;""),Data!#REF!,"")</f>
        <v>#REF!</v>
      </c>
      <c r="K235" s="64" t="e">
        <f>IF(AND(E235=Data!#REF!,Data!#REF!&lt;&gt;""),Data!#REF!,"")</f>
        <v>#REF!</v>
      </c>
      <c r="L235" s="65" t="e">
        <f>IF(E235=Data!#REF!,Data!#REF!,"")</f>
        <v>#REF!</v>
      </c>
      <c r="M235" s="65" t="e">
        <f>IF(E235=Data!#REF!,Data!#REF!,"")</f>
        <v>#REF!</v>
      </c>
      <c r="N235" s="66" t="e">
        <f>IF(AND(Data!#REF!&lt;&gt;"",Data!#REF!="Accept&amp;#233;"),Data!#REF!,"")</f>
        <v>#REF!</v>
      </c>
    </row>
    <row r="236" spans="1:14" ht="19.5" hidden="1" customHeight="1" x14ac:dyDescent="0.3">
      <c r="A236" s="59" t="e">
        <f>IF(AND(Data!#REF!&lt;&gt;"",Data!#REF!="Accept&amp;#233;"),Data!#REF!,"")</f>
        <v>#REF!</v>
      </c>
      <c r="B236" s="59" t="e">
        <f>IF(AND(Data!#REF!&lt;&gt;"",Data!#REF!="Accept&amp;#233;"),Data!#REF!,"")</f>
        <v>#REF!</v>
      </c>
      <c r="C236" s="60" t="e">
        <f t="shared" si="6"/>
        <v>#REF!</v>
      </c>
      <c r="D236" s="42" t="e">
        <f>IF(AND(Data!#REF!&lt;&gt;"",Data!#REF!="Accept&amp;#233;"),Data!#REF!,"")</f>
        <v>#REF!</v>
      </c>
      <c r="E236" s="61" t="e">
        <f>IF(AND(Data!#REF!&lt;&gt;"",Data!#REF!="Accept&amp;#233;"),Data!#REF!,"")</f>
        <v>#REF!</v>
      </c>
      <c r="F236" s="62" t="e">
        <f>IF(AND(Data!#REF!&lt;&gt;"",Data!#REF!="Accept&amp;#233;"),Data!#REF!,"")</f>
        <v>#REF!</v>
      </c>
      <c r="G236" s="63" t="e">
        <f>IF(Data!#REF!='Delivery Plan'!E236,Data!#REF!,"")</f>
        <v>#REF!</v>
      </c>
      <c r="H236" s="51"/>
      <c r="I236" s="60" t="e">
        <f t="shared" si="7"/>
        <v>#REF!</v>
      </c>
      <c r="J236" s="42" t="e">
        <f>IF(AND(E236=Data!#REF!,Data!#REF!&lt;&gt;""),Data!#REF!,"")</f>
        <v>#REF!</v>
      </c>
      <c r="K236" s="64" t="e">
        <f>IF(AND(E236=Data!#REF!,Data!#REF!&lt;&gt;""),Data!#REF!,"")</f>
        <v>#REF!</v>
      </c>
      <c r="L236" s="65" t="e">
        <f>IF(E236=Data!#REF!,Data!#REF!,"")</f>
        <v>#REF!</v>
      </c>
      <c r="M236" s="65" t="e">
        <f>IF(E236=Data!#REF!,Data!#REF!,"")</f>
        <v>#REF!</v>
      </c>
      <c r="N236" s="66" t="e">
        <f>IF(AND(Data!#REF!&lt;&gt;"",Data!#REF!="Accept&amp;#233;"),Data!#REF!,"")</f>
        <v>#REF!</v>
      </c>
    </row>
    <row r="237" spans="1:14" ht="19.5" hidden="1" customHeight="1" x14ac:dyDescent="0.3">
      <c r="A237" s="59" t="e">
        <f>IF(AND(Data!#REF!&lt;&gt;"",Data!#REF!="Accept&amp;#233;"),Data!#REF!,"")</f>
        <v>#REF!</v>
      </c>
      <c r="B237" s="59" t="e">
        <f>IF(AND(Data!#REF!&lt;&gt;"",Data!#REF!="Accept&amp;#233;"),Data!#REF!,"")</f>
        <v>#REF!</v>
      </c>
      <c r="C237" s="60" t="e">
        <f t="shared" si="6"/>
        <v>#REF!</v>
      </c>
      <c r="D237" s="42" t="e">
        <f>IF(AND(Data!#REF!&lt;&gt;"",Data!#REF!="Accept&amp;#233;"),Data!#REF!,"")</f>
        <v>#REF!</v>
      </c>
      <c r="E237" s="61" t="e">
        <f>IF(AND(Data!#REF!&lt;&gt;"",Data!#REF!="Accept&amp;#233;"),Data!#REF!,"")</f>
        <v>#REF!</v>
      </c>
      <c r="F237" s="62" t="e">
        <f>IF(AND(Data!#REF!&lt;&gt;"",Data!#REF!="Accept&amp;#233;"),Data!#REF!,"")</f>
        <v>#REF!</v>
      </c>
      <c r="G237" s="63" t="e">
        <f>IF(Data!#REF!='Delivery Plan'!E237,Data!#REF!,"")</f>
        <v>#REF!</v>
      </c>
      <c r="H237" s="51"/>
      <c r="I237" s="60" t="e">
        <f t="shared" si="7"/>
        <v>#REF!</v>
      </c>
      <c r="J237" s="42" t="e">
        <f>IF(AND(E237=Data!#REF!,Data!#REF!&lt;&gt;""),Data!#REF!,"")</f>
        <v>#REF!</v>
      </c>
      <c r="K237" s="64" t="e">
        <f>IF(AND(E237=Data!#REF!,Data!#REF!&lt;&gt;""),Data!#REF!,"")</f>
        <v>#REF!</v>
      </c>
      <c r="L237" s="65" t="e">
        <f>IF(E237=Data!#REF!,Data!#REF!,"")</f>
        <v>#REF!</v>
      </c>
      <c r="M237" s="65" t="e">
        <f>IF(E237=Data!#REF!,Data!#REF!,"")</f>
        <v>#REF!</v>
      </c>
      <c r="N237" s="66" t="e">
        <f>IF(AND(Data!#REF!&lt;&gt;"",Data!#REF!="Accept&amp;#233;"),Data!#REF!,"")</f>
        <v>#REF!</v>
      </c>
    </row>
    <row r="238" spans="1:14" ht="19.5" hidden="1" customHeight="1" x14ac:dyDescent="0.3">
      <c r="A238" s="59" t="e">
        <f>IF(AND(Data!#REF!&lt;&gt;"",Data!#REF!="Accept&amp;#233;"),Data!#REF!,"")</f>
        <v>#REF!</v>
      </c>
      <c r="B238" s="59" t="e">
        <f>IF(AND(Data!#REF!&lt;&gt;"",Data!#REF!="Accept&amp;#233;"),Data!#REF!,"")</f>
        <v>#REF!</v>
      </c>
      <c r="C238" s="60" t="e">
        <f t="shared" si="6"/>
        <v>#REF!</v>
      </c>
      <c r="D238" s="42" t="e">
        <f>IF(AND(Data!#REF!&lt;&gt;"",Data!#REF!="Accept&amp;#233;"),Data!#REF!,"")</f>
        <v>#REF!</v>
      </c>
      <c r="E238" s="61" t="e">
        <f>IF(AND(Data!#REF!&lt;&gt;"",Data!#REF!="Accept&amp;#233;"),Data!#REF!,"")</f>
        <v>#REF!</v>
      </c>
      <c r="F238" s="62" t="e">
        <f>IF(AND(Data!#REF!&lt;&gt;"",Data!#REF!="Accept&amp;#233;"),Data!#REF!,"")</f>
        <v>#REF!</v>
      </c>
      <c r="G238" s="63" t="e">
        <f>IF(Data!#REF!='Delivery Plan'!E238,Data!#REF!,"")</f>
        <v>#REF!</v>
      </c>
      <c r="H238" s="51"/>
      <c r="I238" s="60" t="e">
        <f t="shared" si="7"/>
        <v>#REF!</v>
      </c>
      <c r="J238" s="42" t="e">
        <f>IF(AND(E238=Data!#REF!,Data!#REF!&lt;&gt;""),Data!#REF!,"")</f>
        <v>#REF!</v>
      </c>
      <c r="K238" s="64" t="e">
        <f>IF(AND(E238=Data!#REF!,Data!#REF!&lt;&gt;""),Data!#REF!,"")</f>
        <v>#REF!</v>
      </c>
      <c r="L238" s="65" t="e">
        <f>IF(E238=Data!#REF!,Data!#REF!,"")</f>
        <v>#REF!</v>
      </c>
      <c r="M238" s="65" t="e">
        <f>IF(E238=Data!#REF!,Data!#REF!,"")</f>
        <v>#REF!</v>
      </c>
      <c r="N238" s="66" t="e">
        <f>IF(AND(Data!#REF!&lt;&gt;"",Data!#REF!="Accept&amp;#233;"),Data!#REF!,"")</f>
        <v>#REF!</v>
      </c>
    </row>
    <row r="239" spans="1:14" ht="19.5" hidden="1" customHeight="1" x14ac:dyDescent="0.3">
      <c r="A239" s="59" t="e">
        <f>IF(AND(Data!#REF!&lt;&gt;"",Data!#REF!="Accept&amp;#233;"),Data!#REF!,"")</f>
        <v>#REF!</v>
      </c>
      <c r="B239" s="59" t="e">
        <f>IF(AND(Data!#REF!&lt;&gt;"",Data!#REF!="Accept&amp;#233;"),Data!#REF!,"")</f>
        <v>#REF!</v>
      </c>
      <c r="C239" s="60" t="e">
        <f t="shared" si="6"/>
        <v>#REF!</v>
      </c>
      <c r="D239" s="42" t="e">
        <f>IF(AND(Data!#REF!&lt;&gt;"",Data!#REF!="Accept&amp;#233;"),Data!#REF!,"")</f>
        <v>#REF!</v>
      </c>
      <c r="E239" s="61" t="e">
        <f>IF(AND(Data!#REF!&lt;&gt;"",Data!#REF!="Accept&amp;#233;"),Data!#REF!,"")</f>
        <v>#REF!</v>
      </c>
      <c r="F239" s="62" t="e">
        <f>IF(AND(Data!#REF!&lt;&gt;"",Data!#REF!="Accept&amp;#233;"),Data!#REF!,"")</f>
        <v>#REF!</v>
      </c>
      <c r="G239" s="63" t="e">
        <f>IF(Data!#REF!='Delivery Plan'!E239,Data!#REF!,"")</f>
        <v>#REF!</v>
      </c>
      <c r="H239" s="51"/>
      <c r="I239" s="60" t="e">
        <f t="shared" si="7"/>
        <v>#REF!</v>
      </c>
      <c r="J239" s="42" t="e">
        <f>IF(AND(E239=Data!#REF!,Data!#REF!&lt;&gt;""),Data!#REF!,"")</f>
        <v>#REF!</v>
      </c>
      <c r="K239" s="64" t="e">
        <f>IF(AND(E239=Data!#REF!,Data!#REF!&lt;&gt;""),Data!#REF!,"")</f>
        <v>#REF!</v>
      </c>
      <c r="L239" s="65" t="e">
        <f>IF(E239=Data!#REF!,Data!#REF!,"")</f>
        <v>#REF!</v>
      </c>
      <c r="M239" s="65" t="e">
        <f>IF(E239=Data!#REF!,Data!#REF!,"")</f>
        <v>#REF!</v>
      </c>
      <c r="N239" s="66" t="e">
        <f>IF(AND(Data!#REF!&lt;&gt;"",Data!#REF!="Accept&amp;#233;"),Data!#REF!,"")</f>
        <v>#REF!</v>
      </c>
    </row>
    <row r="240" spans="1:14" ht="19.5" hidden="1" customHeight="1" x14ac:dyDescent="0.3">
      <c r="A240" s="59" t="e">
        <f>IF(AND(Data!#REF!&lt;&gt;"",Data!#REF!="Accept&amp;#233;"),Data!#REF!,"")</f>
        <v>#REF!</v>
      </c>
      <c r="B240" s="59" t="e">
        <f>IF(AND(Data!#REF!&lt;&gt;"",Data!#REF!="Accept&amp;#233;"),Data!#REF!,"")</f>
        <v>#REF!</v>
      </c>
      <c r="C240" s="60" t="e">
        <f t="shared" si="6"/>
        <v>#REF!</v>
      </c>
      <c r="D240" s="42" t="e">
        <f>IF(AND(Data!#REF!&lt;&gt;"",Data!#REF!="Accept&amp;#233;"),Data!#REF!,"")</f>
        <v>#REF!</v>
      </c>
      <c r="E240" s="61" t="e">
        <f>IF(AND(Data!#REF!&lt;&gt;"",Data!#REF!="Accept&amp;#233;"),Data!#REF!,"")</f>
        <v>#REF!</v>
      </c>
      <c r="F240" s="62" t="e">
        <f>IF(AND(Data!#REF!&lt;&gt;"",Data!#REF!="Accept&amp;#233;"),Data!#REF!,"")</f>
        <v>#REF!</v>
      </c>
      <c r="G240" s="63" t="e">
        <f>IF(Data!#REF!='Delivery Plan'!E240,Data!#REF!,"")</f>
        <v>#REF!</v>
      </c>
      <c r="H240" s="51"/>
      <c r="I240" s="60" t="e">
        <f t="shared" si="7"/>
        <v>#REF!</v>
      </c>
      <c r="J240" s="42" t="e">
        <f>IF(AND(E240=Data!#REF!,Data!#REF!&lt;&gt;""),Data!#REF!,"")</f>
        <v>#REF!</v>
      </c>
      <c r="K240" s="64" t="e">
        <f>IF(AND(E240=Data!#REF!,Data!#REF!&lt;&gt;""),Data!#REF!,"")</f>
        <v>#REF!</v>
      </c>
      <c r="L240" s="65" t="e">
        <f>IF(E240=Data!#REF!,Data!#REF!,"")</f>
        <v>#REF!</v>
      </c>
      <c r="M240" s="65" t="e">
        <f>IF(E240=Data!#REF!,Data!#REF!,"")</f>
        <v>#REF!</v>
      </c>
      <c r="N240" s="66" t="e">
        <f>IF(AND(Data!#REF!&lt;&gt;"",Data!#REF!="Accept&amp;#233;"),Data!#REF!,"")</f>
        <v>#REF!</v>
      </c>
    </row>
    <row r="241" spans="1:14" ht="19.5" hidden="1" customHeight="1" x14ac:dyDescent="0.3">
      <c r="A241" s="59" t="e">
        <f>IF(AND(Data!#REF!&lt;&gt;"",Data!#REF!="Accept&amp;#233;"),Data!#REF!,"")</f>
        <v>#REF!</v>
      </c>
      <c r="B241" s="59" t="e">
        <f>IF(AND(Data!#REF!&lt;&gt;"",Data!#REF!="Accept&amp;#233;"),Data!#REF!,"")</f>
        <v>#REF!</v>
      </c>
      <c r="C241" s="60" t="e">
        <f t="shared" si="6"/>
        <v>#REF!</v>
      </c>
      <c r="D241" s="42" t="e">
        <f>IF(AND(Data!#REF!&lt;&gt;"",Data!#REF!="Accept&amp;#233;"),Data!#REF!,"")</f>
        <v>#REF!</v>
      </c>
      <c r="E241" s="61" t="e">
        <f>IF(AND(Data!#REF!&lt;&gt;"",Data!#REF!="Accept&amp;#233;"),Data!#REF!,"")</f>
        <v>#REF!</v>
      </c>
      <c r="F241" s="62" t="e">
        <f>IF(AND(Data!#REF!&lt;&gt;"",Data!#REF!="Accept&amp;#233;"),Data!#REF!,"")</f>
        <v>#REF!</v>
      </c>
      <c r="G241" s="63" t="e">
        <f>IF(Data!#REF!='Delivery Plan'!E241,Data!#REF!,"")</f>
        <v>#REF!</v>
      </c>
      <c r="H241" s="51"/>
      <c r="I241" s="60" t="e">
        <f t="shared" si="7"/>
        <v>#REF!</v>
      </c>
      <c r="J241" s="42" t="e">
        <f>IF(AND(E241=Data!#REF!,Data!#REF!&lt;&gt;""),Data!#REF!,"")</f>
        <v>#REF!</v>
      </c>
      <c r="K241" s="64" t="e">
        <f>IF(AND(E241=Data!#REF!,Data!#REF!&lt;&gt;""),Data!#REF!,"")</f>
        <v>#REF!</v>
      </c>
      <c r="L241" s="65" t="e">
        <f>IF(E241=Data!#REF!,Data!#REF!,"")</f>
        <v>#REF!</v>
      </c>
      <c r="M241" s="65" t="e">
        <f>IF(E241=Data!#REF!,Data!#REF!,"")</f>
        <v>#REF!</v>
      </c>
      <c r="N241" s="66" t="e">
        <f>IF(AND(Data!#REF!&lt;&gt;"",Data!#REF!="Accept&amp;#233;"),Data!#REF!,"")</f>
        <v>#REF!</v>
      </c>
    </row>
    <row r="242" spans="1:14" ht="19.5" hidden="1" customHeight="1" x14ac:dyDescent="0.3">
      <c r="A242" s="59" t="e">
        <f>IF(AND(Data!#REF!&lt;&gt;"",Data!#REF!="Accept&amp;#233;"),Data!#REF!,"")</f>
        <v>#REF!</v>
      </c>
      <c r="B242" s="59" t="e">
        <f>IF(AND(Data!#REF!&lt;&gt;"",Data!#REF!="Accept&amp;#233;"),Data!#REF!,"")</f>
        <v>#REF!</v>
      </c>
      <c r="C242" s="60" t="e">
        <f t="shared" si="6"/>
        <v>#REF!</v>
      </c>
      <c r="D242" s="42" t="e">
        <f>IF(AND(Data!#REF!&lt;&gt;"",Data!#REF!="Accept&amp;#233;"),Data!#REF!,"")</f>
        <v>#REF!</v>
      </c>
      <c r="E242" s="61" t="e">
        <f>IF(AND(Data!#REF!&lt;&gt;"",Data!#REF!="Accept&amp;#233;"),Data!#REF!,"")</f>
        <v>#REF!</v>
      </c>
      <c r="F242" s="62" t="e">
        <f>IF(AND(Data!#REF!&lt;&gt;"",Data!#REF!="Accept&amp;#233;"),Data!#REF!,"")</f>
        <v>#REF!</v>
      </c>
      <c r="G242" s="63" t="e">
        <f>IF(Data!#REF!='Delivery Plan'!E242,Data!#REF!,"")</f>
        <v>#REF!</v>
      </c>
      <c r="H242" s="51"/>
      <c r="I242" s="60" t="e">
        <f t="shared" si="7"/>
        <v>#REF!</v>
      </c>
      <c r="J242" s="42" t="e">
        <f>IF(AND(E242=Data!#REF!,Data!#REF!&lt;&gt;""),Data!#REF!,"")</f>
        <v>#REF!</v>
      </c>
      <c r="K242" s="64" t="e">
        <f>IF(AND(E242=Data!#REF!,Data!#REF!&lt;&gt;""),Data!#REF!,"")</f>
        <v>#REF!</v>
      </c>
      <c r="L242" s="65" t="e">
        <f>IF(E242=Data!#REF!,Data!#REF!,"")</f>
        <v>#REF!</v>
      </c>
      <c r="M242" s="65" t="e">
        <f>IF(E242=Data!#REF!,Data!#REF!,"")</f>
        <v>#REF!</v>
      </c>
      <c r="N242" s="66" t="e">
        <f>IF(AND(Data!#REF!&lt;&gt;"",Data!#REF!="Accept&amp;#233;"),Data!#REF!,"")</f>
        <v>#REF!</v>
      </c>
    </row>
    <row r="243" spans="1:14" ht="19.5" hidden="1" customHeight="1" x14ac:dyDescent="0.3">
      <c r="A243" s="59" t="e">
        <f>IF(AND(Data!#REF!&lt;&gt;"",Data!#REF!="Accept&amp;#233;"),Data!#REF!,"")</f>
        <v>#REF!</v>
      </c>
      <c r="B243" s="59" t="e">
        <f>IF(AND(Data!#REF!&lt;&gt;"",Data!#REF!="Accept&amp;#233;"),Data!#REF!,"")</f>
        <v>#REF!</v>
      </c>
      <c r="C243" s="60" t="e">
        <f t="shared" si="6"/>
        <v>#REF!</v>
      </c>
      <c r="D243" s="42" t="e">
        <f>IF(AND(Data!#REF!&lt;&gt;"",Data!#REF!="Accept&amp;#233;"),Data!#REF!,"")</f>
        <v>#REF!</v>
      </c>
      <c r="E243" s="61" t="e">
        <f>IF(AND(Data!#REF!&lt;&gt;"",Data!#REF!="Accept&amp;#233;"),Data!#REF!,"")</f>
        <v>#REF!</v>
      </c>
      <c r="F243" s="62" t="e">
        <f>IF(AND(Data!#REF!&lt;&gt;"",Data!#REF!="Accept&amp;#233;"),Data!#REF!,"")</f>
        <v>#REF!</v>
      </c>
      <c r="G243" s="63" t="e">
        <f>IF(Data!#REF!='Delivery Plan'!E243,Data!#REF!,"")</f>
        <v>#REF!</v>
      </c>
      <c r="H243" s="51"/>
      <c r="I243" s="60" t="e">
        <f t="shared" si="7"/>
        <v>#REF!</v>
      </c>
      <c r="J243" s="42" t="e">
        <f>IF(AND(E243=Data!#REF!,Data!#REF!&lt;&gt;""),Data!#REF!,"")</f>
        <v>#REF!</v>
      </c>
      <c r="K243" s="64" t="e">
        <f>IF(AND(E243=Data!#REF!,Data!#REF!&lt;&gt;""),Data!#REF!,"")</f>
        <v>#REF!</v>
      </c>
      <c r="L243" s="65" t="e">
        <f>IF(E243=Data!#REF!,Data!#REF!,"")</f>
        <v>#REF!</v>
      </c>
      <c r="M243" s="65" t="e">
        <f>IF(E243=Data!#REF!,Data!#REF!,"")</f>
        <v>#REF!</v>
      </c>
      <c r="N243" s="66" t="e">
        <f>IF(AND(Data!#REF!&lt;&gt;"",Data!#REF!="Accept&amp;#233;"),Data!#REF!,"")</f>
        <v>#REF!</v>
      </c>
    </row>
    <row r="244" spans="1:14" ht="19.5" hidden="1" customHeight="1" x14ac:dyDescent="0.3">
      <c r="A244" s="59" t="e">
        <f>IF(AND(Data!#REF!&lt;&gt;"",Data!#REF!="Accept&amp;#233;"),Data!#REF!,"")</f>
        <v>#REF!</v>
      </c>
      <c r="B244" s="59" t="e">
        <f>IF(AND(Data!#REF!&lt;&gt;"",Data!#REF!="Accept&amp;#233;"),Data!#REF!,"")</f>
        <v>#REF!</v>
      </c>
      <c r="C244" s="60" t="e">
        <f t="shared" si="6"/>
        <v>#REF!</v>
      </c>
      <c r="D244" s="42" t="e">
        <f>IF(AND(Data!#REF!&lt;&gt;"",Data!#REF!="Accept&amp;#233;"),Data!#REF!,"")</f>
        <v>#REF!</v>
      </c>
      <c r="E244" s="61" t="e">
        <f>IF(AND(Data!#REF!&lt;&gt;"",Data!#REF!="Accept&amp;#233;"),Data!#REF!,"")</f>
        <v>#REF!</v>
      </c>
      <c r="F244" s="62" t="e">
        <f>IF(AND(Data!#REF!&lt;&gt;"",Data!#REF!="Accept&amp;#233;"),Data!#REF!,"")</f>
        <v>#REF!</v>
      </c>
      <c r="G244" s="63" t="e">
        <f>IF(Data!#REF!='Delivery Plan'!E244,Data!#REF!,"")</f>
        <v>#REF!</v>
      </c>
      <c r="H244" s="51"/>
      <c r="I244" s="60" t="e">
        <f t="shared" si="7"/>
        <v>#REF!</v>
      </c>
      <c r="J244" s="42" t="e">
        <f>IF(AND(E244=Data!#REF!,Data!#REF!&lt;&gt;""),Data!#REF!,"")</f>
        <v>#REF!</v>
      </c>
      <c r="K244" s="64" t="e">
        <f>IF(AND(E244=Data!#REF!,Data!#REF!&lt;&gt;""),Data!#REF!,"")</f>
        <v>#REF!</v>
      </c>
      <c r="L244" s="65" t="e">
        <f>IF(E244=Data!#REF!,Data!#REF!,"")</f>
        <v>#REF!</v>
      </c>
      <c r="M244" s="65" t="e">
        <f>IF(E244=Data!#REF!,Data!#REF!,"")</f>
        <v>#REF!</v>
      </c>
      <c r="N244" s="66" t="e">
        <f>IF(AND(Data!#REF!&lt;&gt;"",Data!#REF!="Accept&amp;#233;"),Data!#REF!,"")</f>
        <v>#REF!</v>
      </c>
    </row>
    <row r="245" spans="1:14" ht="19.5" hidden="1" customHeight="1" x14ac:dyDescent="0.3">
      <c r="A245" s="59" t="e">
        <f>IF(AND(Data!#REF!&lt;&gt;"",Data!#REF!="Accept&amp;#233;"),Data!#REF!,"")</f>
        <v>#REF!</v>
      </c>
      <c r="B245" s="59" t="e">
        <f>IF(AND(Data!#REF!&lt;&gt;"",Data!#REF!="Accept&amp;#233;"),Data!#REF!,"")</f>
        <v>#REF!</v>
      </c>
      <c r="C245" s="60" t="e">
        <f t="shared" si="6"/>
        <v>#REF!</v>
      </c>
      <c r="D245" s="42" t="e">
        <f>IF(AND(Data!#REF!&lt;&gt;"",Data!#REF!="Accept&amp;#233;"),Data!#REF!,"")</f>
        <v>#REF!</v>
      </c>
      <c r="E245" s="61" t="e">
        <f>IF(AND(Data!#REF!&lt;&gt;"",Data!#REF!="Accept&amp;#233;"),Data!#REF!,"")</f>
        <v>#REF!</v>
      </c>
      <c r="F245" s="62" t="e">
        <f>IF(AND(Data!#REF!&lt;&gt;"",Data!#REF!="Accept&amp;#233;"),Data!#REF!,"")</f>
        <v>#REF!</v>
      </c>
      <c r="G245" s="63" t="e">
        <f>IF(Data!#REF!='Delivery Plan'!E245,Data!#REF!,"")</f>
        <v>#REF!</v>
      </c>
      <c r="H245" s="51"/>
      <c r="I245" s="60" t="e">
        <f t="shared" si="7"/>
        <v>#REF!</v>
      </c>
      <c r="J245" s="42" t="e">
        <f>IF(AND(E245=Data!#REF!,Data!#REF!&lt;&gt;""),Data!#REF!,"")</f>
        <v>#REF!</v>
      </c>
      <c r="K245" s="64" t="e">
        <f>IF(AND(E245=Data!#REF!,Data!#REF!&lt;&gt;""),Data!#REF!,"")</f>
        <v>#REF!</v>
      </c>
      <c r="L245" s="65" t="e">
        <f>IF(E245=Data!#REF!,Data!#REF!,"")</f>
        <v>#REF!</v>
      </c>
      <c r="M245" s="65" t="e">
        <f>IF(E245=Data!#REF!,Data!#REF!,"")</f>
        <v>#REF!</v>
      </c>
      <c r="N245" s="66" t="e">
        <f>IF(AND(Data!#REF!&lt;&gt;"",Data!#REF!="Accept&amp;#233;"),Data!#REF!,"")</f>
        <v>#REF!</v>
      </c>
    </row>
    <row r="246" spans="1:14" ht="19.5" hidden="1" customHeight="1" x14ac:dyDescent="0.3">
      <c r="A246" s="59" t="e">
        <f>IF(AND(Data!#REF!&lt;&gt;"",Data!#REF!="Accept&amp;#233;"),Data!#REF!,"")</f>
        <v>#REF!</v>
      </c>
      <c r="B246" s="59" t="e">
        <f>IF(AND(Data!#REF!&lt;&gt;"",Data!#REF!="Accept&amp;#233;"),Data!#REF!,"")</f>
        <v>#REF!</v>
      </c>
      <c r="C246" s="60" t="e">
        <f t="shared" si="6"/>
        <v>#REF!</v>
      </c>
      <c r="D246" s="42" t="e">
        <f>IF(AND(Data!#REF!&lt;&gt;"",Data!#REF!="Accept&amp;#233;"),Data!#REF!,"")</f>
        <v>#REF!</v>
      </c>
      <c r="E246" s="61" t="e">
        <f>IF(AND(Data!#REF!&lt;&gt;"",Data!#REF!="Accept&amp;#233;"),Data!#REF!,"")</f>
        <v>#REF!</v>
      </c>
      <c r="F246" s="62" t="e">
        <f>IF(AND(Data!#REF!&lt;&gt;"",Data!#REF!="Accept&amp;#233;"),Data!#REF!,"")</f>
        <v>#REF!</v>
      </c>
      <c r="G246" s="63" t="e">
        <f>IF(Data!#REF!='Delivery Plan'!E246,Data!#REF!,"")</f>
        <v>#REF!</v>
      </c>
      <c r="H246" s="51"/>
      <c r="I246" s="60" t="e">
        <f t="shared" si="7"/>
        <v>#REF!</v>
      </c>
      <c r="J246" s="42" t="e">
        <f>IF(AND(E246=Data!#REF!,Data!#REF!&lt;&gt;""),Data!#REF!,"")</f>
        <v>#REF!</v>
      </c>
      <c r="K246" s="64" t="e">
        <f>IF(AND(E246=Data!#REF!,Data!#REF!&lt;&gt;""),Data!#REF!,"")</f>
        <v>#REF!</v>
      </c>
      <c r="L246" s="65" t="e">
        <f>IF(E246=Data!#REF!,Data!#REF!,"")</f>
        <v>#REF!</v>
      </c>
      <c r="M246" s="65" t="e">
        <f>IF(E246=Data!#REF!,Data!#REF!,"")</f>
        <v>#REF!</v>
      </c>
      <c r="N246" s="66" t="e">
        <f>IF(AND(Data!#REF!&lt;&gt;"",Data!#REF!="Accept&amp;#233;"),Data!#REF!,"")</f>
        <v>#REF!</v>
      </c>
    </row>
    <row r="247" spans="1:14" ht="19.5" hidden="1" customHeight="1" x14ac:dyDescent="0.3">
      <c r="A247" s="59" t="e">
        <f>IF(AND(Data!#REF!&lt;&gt;"",Data!#REF!="Accept&amp;#233;"),Data!#REF!,"")</f>
        <v>#REF!</v>
      </c>
      <c r="B247" s="59" t="e">
        <f>IF(AND(Data!#REF!&lt;&gt;"",Data!#REF!="Accept&amp;#233;"),Data!#REF!,"")</f>
        <v>#REF!</v>
      </c>
      <c r="C247" s="60" t="e">
        <f t="shared" si="6"/>
        <v>#REF!</v>
      </c>
      <c r="D247" s="42" t="e">
        <f>IF(AND(Data!#REF!&lt;&gt;"",Data!#REF!="Accept&amp;#233;"),Data!#REF!,"")</f>
        <v>#REF!</v>
      </c>
      <c r="E247" s="61" t="e">
        <f>IF(AND(Data!#REF!&lt;&gt;"",Data!#REF!="Accept&amp;#233;"),Data!#REF!,"")</f>
        <v>#REF!</v>
      </c>
      <c r="F247" s="62" t="e">
        <f>IF(AND(Data!#REF!&lt;&gt;"",Data!#REF!="Accept&amp;#233;"),Data!#REF!,"")</f>
        <v>#REF!</v>
      </c>
      <c r="G247" s="63" t="e">
        <f>IF(Data!#REF!='Delivery Plan'!E247,Data!#REF!,"")</f>
        <v>#REF!</v>
      </c>
      <c r="H247" s="51"/>
      <c r="I247" s="60" t="e">
        <f t="shared" si="7"/>
        <v>#REF!</v>
      </c>
      <c r="J247" s="42" t="e">
        <f>IF(AND(E247=Data!#REF!,Data!#REF!&lt;&gt;""),Data!#REF!,"")</f>
        <v>#REF!</v>
      </c>
      <c r="K247" s="64" t="e">
        <f>IF(AND(E247=Data!#REF!,Data!#REF!&lt;&gt;""),Data!#REF!,"")</f>
        <v>#REF!</v>
      </c>
      <c r="L247" s="65" t="e">
        <f>IF(E247=Data!#REF!,Data!#REF!,"")</f>
        <v>#REF!</v>
      </c>
      <c r="M247" s="65" t="e">
        <f>IF(E247=Data!#REF!,Data!#REF!,"")</f>
        <v>#REF!</v>
      </c>
      <c r="N247" s="66" t="e">
        <f>IF(AND(Data!#REF!&lt;&gt;"",Data!#REF!="Accept&amp;#233;"),Data!#REF!,"")</f>
        <v>#REF!</v>
      </c>
    </row>
    <row r="248" spans="1:14" ht="19.5" hidden="1" customHeight="1" x14ac:dyDescent="0.3">
      <c r="A248" s="59" t="e">
        <f>IF(AND(Data!#REF!&lt;&gt;"",Data!#REF!="Accept&amp;#233;"),Data!#REF!,"")</f>
        <v>#REF!</v>
      </c>
      <c r="B248" s="59" t="e">
        <f>IF(AND(Data!#REF!&lt;&gt;"",Data!#REF!="Accept&amp;#233;"),Data!#REF!,"")</f>
        <v>#REF!</v>
      </c>
      <c r="C248" s="60" t="e">
        <f t="shared" si="6"/>
        <v>#REF!</v>
      </c>
      <c r="D248" s="42" t="e">
        <f>IF(AND(Data!#REF!&lt;&gt;"",Data!#REF!="Accept&amp;#233;"),Data!#REF!,"")</f>
        <v>#REF!</v>
      </c>
      <c r="E248" s="61" t="e">
        <f>IF(AND(Data!#REF!&lt;&gt;"",Data!#REF!="Accept&amp;#233;"),Data!#REF!,"")</f>
        <v>#REF!</v>
      </c>
      <c r="F248" s="62" t="e">
        <f>IF(AND(Data!#REF!&lt;&gt;"",Data!#REF!="Accept&amp;#233;"),Data!#REF!,"")</f>
        <v>#REF!</v>
      </c>
      <c r="G248" s="63" t="e">
        <f>IF(Data!#REF!='Delivery Plan'!E248,Data!#REF!,"")</f>
        <v>#REF!</v>
      </c>
      <c r="H248" s="51"/>
      <c r="I248" s="60" t="e">
        <f t="shared" si="7"/>
        <v>#REF!</v>
      </c>
      <c r="J248" s="42" t="e">
        <f>IF(AND(E248=Data!#REF!,Data!#REF!&lt;&gt;""),Data!#REF!,"")</f>
        <v>#REF!</v>
      </c>
      <c r="K248" s="64" t="e">
        <f>IF(AND(E248=Data!#REF!,Data!#REF!&lt;&gt;""),Data!#REF!,"")</f>
        <v>#REF!</v>
      </c>
      <c r="L248" s="65" t="e">
        <f>IF(E248=Data!#REF!,Data!#REF!,"")</f>
        <v>#REF!</v>
      </c>
      <c r="M248" s="65" t="e">
        <f>IF(E248=Data!#REF!,Data!#REF!,"")</f>
        <v>#REF!</v>
      </c>
      <c r="N248" s="66" t="e">
        <f>IF(AND(Data!#REF!&lt;&gt;"",Data!#REF!="Accept&amp;#233;"),Data!#REF!,"")</f>
        <v>#REF!</v>
      </c>
    </row>
    <row r="249" spans="1:14" ht="19.5" hidden="1" customHeight="1" x14ac:dyDescent="0.3">
      <c r="A249" s="59" t="e">
        <f>IF(AND(Data!#REF!&lt;&gt;"",Data!#REF!="Accept&amp;#233;"),Data!#REF!,"")</f>
        <v>#REF!</v>
      </c>
      <c r="B249" s="59" t="e">
        <f>IF(AND(Data!#REF!&lt;&gt;"",Data!#REF!="Accept&amp;#233;"),Data!#REF!,"")</f>
        <v>#REF!</v>
      </c>
      <c r="C249" s="60" t="e">
        <f t="shared" si="6"/>
        <v>#REF!</v>
      </c>
      <c r="D249" s="42" t="e">
        <f>IF(AND(Data!#REF!&lt;&gt;"",Data!#REF!="Accept&amp;#233;"),Data!#REF!,"")</f>
        <v>#REF!</v>
      </c>
      <c r="E249" s="61" t="e">
        <f>IF(AND(Data!#REF!&lt;&gt;"",Data!#REF!="Accept&amp;#233;"),Data!#REF!,"")</f>
        <v>#REF!</v>
      </c>
      <c r="F249" s="62" t="e">
        <f>IF(AND(Data!#REF!&lt;&gt;"",Data!#REF!="Accept&amp;#233;"),Data!#REF!,"")</f>
        <v>#REF!</v>
      </c>
      <c r="G249" s="63" t="e">
        <f>IF(Data!#REF!='Delivery Plan'!E249,Data!#REF!,"")</f>
        <v>#REF!</v>
      </c>
      <c r="H249" s="51"/>
      <c r="I249" s="60" t="e">
        <f t="shared" si="7"/>
        <v>#REF!</v>
      </c>
      <c r="J249" s="42" t="e">
        <f>IF(AND(E249=Data!#REF!,Data!#REF!&lt;&gt;""),Data!#REF!,"")</f>
        <v>#REF!</v>
      </c>
      <c r="K249" s="64" t="e">
        <f>IF(AND(E249=Data!#REF!,Data!#REF!&lt;&gt;""),Data!#REF!,"")</f>
        <v>#REF!</v>
      </c>
      <c r="L249" s="65" t="e">
        <f>IF(E249=Data!#REF!,Data!#REF!,"")</f>
        <v>#REF!</v>
      </c>
      <c r="M249" s="65" t="e">
        <f>IF(E249=Data!#REF!,Data!#REF!,"")</f>
        <v>#REF!</v>
      </c>
      <c r="N249" s="66" t="e">
        <f>IF(AND(Data!#REF!&lt;&gt;"",Data!#REF!="Accept&amp;#233;"),Data!#REF!,"")</f>
        <v>#REF!</v>
      </c>
    </row>
    <row r="250" spans="1:14" ht="19.5" hidden="1" customHeight="1" x14ac:dyDescent="0.3">
      <c r="A250" s="59" t="e">
        <f>IF(AND(Data!#REF!&lt;&gt;"",Data!#REF!="Accept&amp;#233;"),Data!#REF!,"")</f>
        <v>#REF!</v>
      </c>
      <c r="B250" s="59" t="e">
        <f>IF(AND(Data!#REF!&lt;&gt;"",Data!#REF!="Accept&amp;#233;"),Data!#REF!,"")</f>
        <v>#REF!</v>
      </c>
      <c r="C250" s="60" t="e">
        <f t="shared" si="6"/>
        <v>#REF!</v>
      </c>
      <c r="D250" s="42" t="e">
        <f>IF(AND(Data!#REF!&lt;&gt;"",Data!#REF!="Accept&amp;#233;"),Data!#REF!,"")</f>
        <v>#REF!</v>
      </c>
      <c r="E250" s="61" t="e">
        <f>IF(AND(Data!#REF!&lt;&gt;"",Data!#REF!="Accept&amp;#233;"),Data!#REF!,"")</f>
        <v>#REF!</v>
      </c>
      <c r="F250" s="62" t="e">
        <f>IF(AND(Data!#REF!&lt;&gt;"",Data!#REF!="Accept&amp;#233;"),Data!#REF!,"")</f>
        <v>#REF!</v>
      </c>
      <c r="G250" s="63" t="e">
        <f>IF(Data!#REF!='Delivery Plan'!E250,Data!#REF!,"")</f>
        <v>#REF!</v>
      </c>
      <c r="H250" s="51"/>
      <c r="I250" s="60" t="e">
        <f t="shared" si="7"/>
        <v>#REF!</v>
      </c>
      <c r="J250" s="42" t="e">
        <f>IF(AND(E250=Data!#REF!,Data!#REF!&lt;&gt;""),Data!#REF!,"")</f>
        <v>#REF!</v>
      </c>
      <c r="K250" s="64" t="e">
        <f>IF(AND(E250=Data!#REF!,Data!#REF!&lt;&gt;""),Data!#REF!,"")</f>
        <v>#REF!</v>
      </c>
      <c r="L250" s="65" t="e">
        <f>IF(E250=Data!#REF!,Data!#REF!,"")</f>
        <v>#REF!</v>
      </c>
      <c r="M250" s="65" t="e">
        <f>IF(E250=Data!#REF!,Data!#REF!,"")</f>
        <v>#REF!</v>
      </c>
      <c r="N250" s="66" t="e">
        <f>IF(AND(Data!#REF!&lt;&gt;"",Data!#REF!="Accept&amp;#233;"),Data!#REF!,"")</f>
        <v>#REF!</v>
      </c>
    </row>
    <row r="251" spans="1:14" ht="19.5" hidden="1" customHeight="1" x14ac:dyDescent="0.3">
      <c r="A251" s="59" t="e">
        <f>IF(AND(Data!#REF!&lt;&gt;"",Data!#REF!="Accept&amp;#233;"),Data!#REF!,"")</f>
        <v>#REF!</v>
      </c>
      <c r="B251" s="59" t="e">
        <f>IF(AND(Data!#REF!&lt;&gt;"",Data!#REF!="Accept&amp;#233;"),Data!#REF!,"")</f>
        <v>#REF!</v>
      </c>
      <c r="C251" s="60" t="e">
        <f t="shared" si="6"/>
        <v>#REF!</v>
      </c>
      <c r="D251" s="42" t="e">
        <f>IF(AND(Data!#REF!&lt;&gt;"",Data!#REF!="Accept&amp;#233;"),Data!#REF!,"")</f>
        <v>#REF!</v>
      </c>
      <c r="E251" s="61" t="e">
        <f>IF(AND(Data!#REF!&lt;&gt;"",Data!#REF!="Accept&amp;#233;"),Data!#REF!,"")</f>
        <v>#REF!</v>
      </c>
      <c r="F251" s="62" t="e">
        <f>IF(AND(Data!#REF!&lt;&gt;"",Data!#REF!="Accept&amp;#233;"),Data!#REF!,"")</f>
        <v>#REF!</v>
      </c>
      <c r="G251" s="63" t="e">
        <f>IF(Data!#REF!='Delivery Plan'!E251,Data!#REF!,"")</f>
        <v>#REF!</v>
      </c>
      <c r="H251" s="51"/>
      <c r="I251" s="60" t="e">
        <f t="shared" si="7"/>
        <v>#REF!</v>
      </c>
      <c r="J251" s="42" t="e">
        <f>IF(AND(E251=Data!#REF!,Data!#REF!&lt;&gt;""),Data!#REF!,"")</f>
        <v>#REF!</v>
      </c>
      <c r="K251" s="64" t="e">
        <f>IF(AND(E251=Data!#REF!,Data!#REF!&lt;&gt;""),Data!#REF!,"")</f>
        <v>#REF!</v>
      </c>
      <c r="L251" s="65" t="e">
        <f>IF(E251=Data!#REF!,Data!#REF!,"")</f>
        <v>#REF!</v>
      </c>
      <c r="M251" s="65" t="e">
        <f>IF(E251=Data!#REF!,Data!#REF!,"")</f>
        <v>#REF!</v>
      </c>
      <c r="N251" s="66" t="e">
        <f>IF(AND(Data!#REF!&lt;&gt;"",Data!#REF!="Accept&amp;#233;"),Data!#REF!,"")</f>
        <v>#REF!</v>
      </c>
    </row>
    <row r="252" spans="1:14" ht="19.5" hidden="1" customHeight="1" x14ac:dyDescent="0.3">
      <c r="A252" s="59" t="e">
        <f>IF(AND(Data!#REF!&lt;&gt;"",Data!#REF!="Accept&amp;#233;"),Data!#REF!,"")</f>
        <v>#REF!</v>
      </c>
      <c r="B252" s="59" t="e">
        <f>IF(AND(Data!#REF!&lt;&gt;"",Data!#REF!="Accept&amp;#233;"),Data!#REF!,"")</f>
        <v>#REF!</v>
      </c>
      <c r="C252" s="60" t="e">
        <f t="shared" si="6"/>
        <v>#REF!</v>
      </c>
      <c r="D252" s="42" t="e">
        <f>IF(AND(Data!#REF!&lt;&gt;"",Data!#REF!="Accept&amp;#233;"),Data!#REF!,"")</f>
        <v>#REF!</v>
      </c>
      <c r="E252" s="61" t="e">
        <f>IF(AND(Data!#REF!&lt;&gt;"",Data!#REF!="Accept&amp;#233;"),Data!#REF!,"")</f>
        <v>#REF!</v>
      </c>
      <c r="F252" s="62" t="e">
        <f>IF(AND(Data!#REF!&lt;&gt;"",Data!#REF!="Accept&amp;#233;"),Data!#REF!,"")</f>
        <v>#REF!</v>
      </c>
      <c r="G252" s="63" t="e">
        <f>IF(Data!#REF!='Delivery Plan'!E252,Data!#REF!,"")</f>
        <v>#REF!</v>
      </c>
      <c r="H252" s="51"/>
      <c r="I252" s="60" t="e">
        <f t="shared" si="7"/>
        <v>#REF!</v>
      </c>
      <c r="J252" s="42" t="e">
        <f>IF(AND(E252=Data!#REF!,Data!#REF!&lt;&gt;""),Data!#REF!,"")</f>
        <v>#REF!</v>
      </c>
      <c r="K252" s="64" t="e">
        <f>IF(AND(E252=Data!#REF!,Data!#REF!&lt;&gt;""),Data!#REF!,"")</f>
        <v>#REF!</v>
      </c>
      <c r="L252" s="65" t="e">
        <f>IF(E252=Data!#REF!,Data!#REF!,"")</f>
        <v>#REF!</v>
      </c>
      <c r="M252" s="65" t="e">
        <f>IF(E252=Data!#REF!,Data!#REF!,"")</f>
        <v>#REF!</v>
      </c>
      <c r="N252" s="66" t="e">
        <f>IF(AND(Data!#REF!&lt;&gt;"",Data!#REF!="Accept&amp;#233;"),Data!#REF!,"")</f>
        <v>#REF!</v>
      </c>
    </row>
    <row r="253" spans="1:14" ht="19.5" hidden="1" customHeight="1" x14ac:dyDescent="0.3">
      <c r="A253" s="59" t="e">
        <f>IF(AND(Data!#REF!&lt;&gt;"",Data!#REF!="Accept&amp;#233;"),Data!#REF!,"")</f>
        <v>#REF!</v>
      </c>
      <c r="B253" s="59" t="e">
        <f>IF(AND(Data!#REF!&lt;&gt;"",Data!#REF!="Accept&amp;#233;"),Data!#REF!,"")</f>
        <v>#REF!</v>
      </c>
      <c r="C253" s="60" t="e">
        <f t="shared" si="6"/>
        <v>#REF!</v>
      </c>
      <c r="D253" s="42" t="e">
        <f>IF(AND(Data!#REF!&lt;&gt;"",Data!#REF!="Accept&amp;#233;"),Data!#REF!,"")</f>
        <v>#REF!</v>
      </c>
      <c r="E253" s="61" t="e">
        <f>IF(AND(Data!#REF!&lt;&gt;"",Data!#REF!="Accept&amp;#233;"),Data!#REF!,"")</f>
        <v>#REF!</v>
      </c>
      <c r="F253" s="62" t="e">
        <f>IF(AND(Data!#REF!&lt;&gt;"",Data!#REF!="Accept&amp;#233;"),Data!#REF!,"")</f>
        <v>#REF!</v>
      </c>
      <c r="G253" s="63" t="e">
        <f>IF(Data!#REF!='Delivery Plan'!E253,Data!#REF!,"")</f>
        <v>#REF!</v>
      </c>
      <c r="H253" s="51"/>
      <c r="I253" s="60" t="e">
        <f t="shared" si="7"/>
        <v>#REF!</v>
      </c>
      <c r="J253" s="42" t="e">
        <f>IF(AND(E253=Data!#REF!,Data!#REF!&lt;&gt;""),Data!#REF!,"")</f>
        <v>#REF!</v>
      </c>
      <c r="K253" s="64" t="e">
        <f>IF(AND(E253=Data!#REF!,Data!#REF!&lt;&gt;""),Data!#REF!,"")</f>
        <v>#REF!</v>
      </c>
      <c r="L253" s="65" t="e">
        <f>IF(E253=Data!#REF!,Data!#REF!,"")</f>
        <v>#REF!</v>
      </c>
      <c r="M253" s="65" t="e">
        <f>IF(E253=Data!#REF!,Data!#REF!,"")</f>
        <v>#REF!</v>
      </c>
      <c r="N253" s="66" t="e">
        <f>IF(AND(Data!#REF!&lt;&gt;"",Data!#REF!="Accept&amp;#233;"),Data!#REF!,"")</f>
        <v>#REF!</v>
      </c>
    </row>
    <row r="254" spans="1:14" ht="19.5" hidden="1" customHeight="1" x14ac:dyDescent="0.3">
      <c r="A254" s="59" t="e">
        <f>IF(AND(Data!#REF!&lt;&gt;"",Data!#REF!="Accept&amp;#233;"),Data!#REF!,"")</f>
        <v>#REF!</v>
      </c>
      <c r="B254" s="59" t="e">
        <f>IF(AND(Data!#REF!&lt;&gt;"",Data!#REF!="Accept&amp;#233;"),Data!#REF!,"")</f>
        <v>#REF!</v>
      </c>
      <c r="C254" s="60" t="e">
        <f t="shared" si="6"/>
        <v>#REF!</v>
      </c>
      <c r="D254" s="42" t="e">
        <f>IF(AND(Data!#REF!&lt;&gt;"",Data!#REF!="Accept&amp;#233;"),Data!#REF!,"")</f>
        <v>#REF!</v>
      </c>
      <c r="E254" s="61" t="e">
        <f>IF(AND(Data!#REF!&lt;&gt;"",Data!#REF!="Accept&amp;#233;"),Data!#REF!,"")</f>
        <v>#REF!</v>
      </c>
      <c r="F254" s="62" t="e">
        <f>IF(AND(Data!#REF!&lt;&gt;"",Data!#REF!="Accept&amp;#233;"),Data!#REF!,"")</f>
        <v>#REF!</v>
      </c>
      <c r="G254" s="63" t="e">
        <f>IF(Data!#REF!='Delivery Plan'!E254,Data!#REF!,"")</f>
        <v>#REF!</v>
      </c>
      <c r="H254" s="51"/>
      <c r="I254" s="60" t="e">
        <f t="shared" si="7"/>
        <v>#REF!</v>
      </c>
      <c r="J254" s="42" t="e">
        <f>IF(AND(E254=Data!#REF!,Data!#REF!&lt;&gt;""),Data!#REF!,"")</f>
        <v>#REF!</v>
      </c>
      <c r="K254" s="64" t="e">
        <f>IF(AND(E254=Data!#REF!,Data!#REF!&lt;&gt;""),Data!#REF!,"")</f>
        <v>#REF!</v>
      </c>
      <c r="L254" s="65" t="e">
        <f>IF(E254=Data!#REF!,Data!#REF!,"")</f>
        <v>#REF!</v>
      </c>
      <c r="M254" s="65" t="e">
        <f>IF(E254=Data!#REF!,Data!#REF!,"")</f>
        <v>#REF!</v>
      </c>
      <c r="N254" s="66" t="e">
        <f>IF(AND(Data!#REF!&lt;&gt;"",Data!#REF!="Accept&amp;#233;"),Data!#REF!,"")</f>
        <v>#REF!</v>
      </c>
    </row>
    <row r="255" spans="1:14" ht="19.5" hidden="1" customHeight="1" x14ac:dyDescent="0.3">
      <c r="A255" s="59" t="e">
        <f>IF(AND(Data!#REF!&lt;&gt;"",Data!#REF!="Accept&amp;#233;"),Data!#REF!,"")</f>
        <v>#REF!</v>
      </c>
      <c r="B255" s="59" t="e">
        <f>IF(AND(Data!#REF!&lt;&gt;"",Data!#REF!="Accept&amp;#233;"),Data!#REF!,"")</f>
        <v>#REF!</v>
      </c>
      <c r="C255" s="60" t="e">
        <f t="shared" si="6"/>
        <v>#REF!</v>
      </c>
      <c r="D255" s="42" t="e">
        <f>IF(AND(Data!#REF!&lt;&gt;"",Data!#REF!="Accept&amp;#233;"),Data!#REF!,"")</f>
        <v>#REF!</v>
      </c>
      <c r="E255" s="61" t="e">
        <f>IF(AND(Data!#REF!&lt;&gt;"",Data!#REF!="Accept&amp;#233;"),Data!#REF!,"")</f>
        <v>#REF!</v>
      </c>
      <c r="F255" s="62" t="e">
        <f>IF(AND(Data!#REF!&lt;&gt;"",Data!#REF!="Accept&amp;#233;"),Data!#REF!,"")</f>
        <v>#REF!</v>
      </c>
      <c r="G255" s="63" t="e">
        <f>IF(Data!#REF!='Delivery Plan'!E255,Data!#REF!,"")</f>
        <v>#REF!</v>
      </c>
      <c r="H255" s="51"/>
      <c r="I255" s="60" t="e">
        <f t="shared" si="7"/>
        <v>#REF!</v>
      </c>
      <c r="J255" s="42" t="e">
        <f>IF(AND(E255=Data!#REF!,Data!#REF!&lt;&gt;""),Data!#REF!,"")</f>
        <v>#REF!</v>
      </c>
      <c r="K255" s="64" t="e">
        <f>IF(AND(E255=Data!#REF!,Data!#REF!&lt;&gt;""),Data!#REF!,"")</f>
        <v>#REF!</v>
      </c>
      <c r="L255" s="65" t="e">
        <f>IF(E255=Data!#REF!,Data!#REF!,"")</f>
        <v>#REF!</v>
      </c>
      <c r="M255" s="65" t="e">
        <f>IF(E255=Data!#REF!,Data!#REF!,"")</f>
        <v>#REF!</v>
      </c>
      <c r="N255" s="66" t="e">
        <f>IF(AND(Data!#REF!&lt;&gt;"",Data!#REF!="Accept&amp;#233;"),Data!#REF!,"")</f>
        <v>#REF!</v>
      </c>
    </row>
    <row r="256" spans="1:14" ht="19.5" hidden="1" customHeight="1" x14ac:dyDescent="0.3">
      <c r="A256" s="59" t="e">
        <f>IF(AND(Data!#REF!&lt;&gt;"",Data!#REF!="Accept&amp;#233;"),Data!#REF!,"")</f>
        <v>#REF!</v>
      </c>
      <c r="B256" s="59" t="e">
        <f>IF(AND(Data!#REF!&lt;&gt;"",Data!#REF!="Accept&amp;#233;"),Data!#REF!,"")</f>
        <v>#REF!</v>
      </c>
      <c r="C256" s="60" t="e">
        <f t="shared" si="6"/>
        <v>#REF!</v>
      </c>
      <c r="D256" s="42" t="e">
        <f>IF(AND(Data!#REF!&lt;&gt;"",Data!#REF!="Accept&amp;#233;"),Data!#REF!,"")</f>
        <v>#REF!</v>
      </c>
      <c r="E256" s="61" t="e">
        <f>IF(AND(Data!#REF!&lt;&gt;"",Data!#REF!="Accept&amp;#233;"),Data!#REF!,"")</f>
        <v>#REF!</v>
      </c>
      <c r="F256" s="62" t="e">
        <f>IF(AND(Data!#REF!&lt;&gt;"",Data!#REF!="Accept&amp;#233;"),Data!#REF!,"")</f>
        <v>#REF!</v>
      </c>
      <c r="G256" s="63" t="e">
        <f>IF(Data!#REF!='Delivery Plan'!E256,Data!#REF!,"")</f>
        <v>#REF!</v>
      </c>
      <c r="H256" s="51"/>
      <c r="I256" s="60" t="e">
        <f t="shared" si="7"/>
        <v>#REF!</v>
      </c>
      <c r="J256" s="42" t="e">
        <f>IF(AND(E256=Data!#REF!,Data!#REF!&lt;&gt;""),Data!#REF!,"")</f>
        <v>#REF!</v>
      </c>
      <c r="K256" s="64" t="e">
        <f>IF(AND(E256=Data!#REF!,Data!#REF!&lt;&gt;""),Data!#REF!,"")</f>
        <v>#REF!</v>
      </c>
      <c r="L256" s="65" t="e">
        <f>IF(E256=Data!#REF!,Data!#REF!,"")</f>
        <v>#REF!</v>
      </c>
      <c r="M256" s="65" t="e">
        <f>IF(E256=Data!#REF!,Data!#REF!,"")</f>
        <v>#REF!</v>
      </c>
      <c r="N256" s="66" t="e">
        <f>IF(AND(Data!#REF!&lt;&gt;"",Data!#REF!="Accept&amp;#233;"),Data!#REF!,"")</f>
        <v>#REF!</v>
      </c>
    </row>
    <row r="257" spans="1:14" ht="19.5" hidden="1" customHeight="1" x14ac:dyDescent="0.3">
      <c r="A257" s="59" t="e">
        <f>IF(AND(Data!#REF!&lt;&gt;"",Data!#REF!="Accept&amp;#233;"),Data!#REF!,"")</f>
        <v>#REF!</v>
      </c>
      <c r="B257" s="59" t="e">
        <f>IF(AND(Data!#REF!&lt;&gt;"",Data!#REF!="Accept&amp;#233;"),Data!#REF!,"")</f>
        <v>#REF!</v>
      </c>
      <c r="C257" s="60" t="e">
        <f t="shared" si="6"/>
        <v>#REF!</v>
      </c>
      <c r="D257" s="42" t="e">
        <f>IF(AND(Data!#REF!&lt;&gt;"",Data!#REF!="Accept&amp;#233;"),Data!#REF!,"")</f>
        <v>#REF!</v>
      </c>
      <c r="E257" s="61" t="e">
        <f>IF(AND(Data!#REF!&lt;&gt;"",Data!#REF!="Accept&amp;#233;"),Data!#REF!,"")</f>
        <v>#REF!</v>
      </c>
      <c r="F257" s="62" t="e">
        <f>IF(AND(Data!#REF!&lt;&gt;"",Data!#REF!="Accept&amp;#233;"),Data!#REF!,"")</f>
        <v>#REF!</v>
      </c>
      <c r="G257" s="63" t="e">
        <f>IF(Data!#REF!='Delivery Plan'!E257,Data!#REF!,"")</f>
        <v>#REF!</v>
      </c>
      <c r="H257" s="51"/>
      <c r="I257" s="60" t="e">
        <f t="shared" si="7"/>
        <v>#REF!</v>
      </c>
      <c r="J257" s="42" t="e">
        <f>IF(AND(E257=Data!#REF!,Data!#REF!&lt;&gt;""),Data!#REF!,"")</f>
        <v>#REF!</v>
      </c>
      <c r="K257" s="64" t="e">
        <f>IF(AND(E257=Data!#REF!,Data!#REF!&lt;&gt;""),Data!#REF!,"")</f>
        <v>#REF!</v>
      </c>
      <c r="L257" s="65" t="e">
        <f>IF(E257=Data!#REF!,Data!#REF!,"")</f>
        <v>#REF!</v>
      </c>
      <c r="M257" s="65" t="e">
        <f>IF(E257=Data!#REF!,Data!#REF!,"")</f>
        <v>#REF!</v>
      </c>
      <c r="N257" s="66" t="e">
        <f>IF(AND(Data!#REF!&lt;&gt;"",Data!#REF!="Accept&amp;#233;"),Data!#REF!,"")</f>
        <v>#REF!</v>
      </c>
    </row>
    <row r="258" spans="1:14" ht="19.5" hidden="1" customHeight="1" x14ac:dyDescent="0.3">
      <c r="A258" s="59" t="e">
        <f>IF(AND(Data!#REF!&lt;&gt;"",Data!#REF!="Accept&amp;#233;"),Data!#REF!,"")</f>
        <v>#REF!</v>
      </c>
      <c r="B258" s="59" t="e">
        <f>IF(AND(Data!#REF!&lt;&gt;"",Data!#REF!="Accept&amp;#233;"),Data!#REF!,"")</f>
        <v>#REF!</v>
      </c>
      <c r="C258" s="60" t="e">
        <f t="shared" si="6"/>
        <v>#REF!</v>
      </c>
      <c r="D258" s="42" t="e">
        <f>IF(AND(Data!#REF!&lt;&gt;"",Data!#REF!="Accept&amp;#233;"),Data!#REF!,"")</f>
        <v>#REF!</v>
      </c>
      <c r="E258" s="61" t="e">
        <f>IF(AND(Data!#REF!&lt;&gt;"",Data!#REF!="Accept&amp;#233;"),Data!#REF!,"")</f>
        <v>#REF!</v>
      </c>
      <c r="F258" s="62" t="e">
        <f>IF(AND(Data!#REF!&lt;&gt;"",Data!#REF!="Accept&amp;#233;"),Data!#REF!,"")</f>
        <v>#REF!</v>
      </c>
      <c r="G258" s="63" t="e">
        <f>IF(Data!#REF!='Delivery Plan'!E258,Data!#REF!,"")</f>
        <v>#REF!</v>
      </c>
      <c r="H258" s="51"/>
      <c r="I258" s="60" t="e">
        <f t="shared" si="7"/>
        <v>#REF!</v>
      </c>
      <c r="J258" s="42" t="e">
        <f>IF(AND(E258=Data!#REF!,Data!#REF!&lt;&gt;""),Data!#REF!,"")</f>
        <v>#REF!</v>
      </c>
      <c r="K258" s="64" t="e">
        <f>IF(AND(E258=Data!#REF!,Data!#REF!&lt;&gt;""),Data!#REF!,"")</f>
        <v>#REF!</v>
      </c>
      <c r="L258" s="65" t="e">
        <f>IF(E258=Data!#REF!,Data!#REF!,"")</f>
        <v>#REF!</v>
      </c>
      <c r="M258" s="65" t="e">
        <f>IF(E258=Data!#REF!,Data!#REF!,"")</f>
        <v>#REF!</v>
      </c>
      <c r="N258" s="66" t="e">
        <f>IF(AND(Data!#REF!&lt;&gt;"",Data!#REF!="Accept&amp;#233;"),Data!#REF!,"")</f>
        <v>#REF!</v>
      </c>
    </row>
    <row r="259" spans="1:14" ht="19.5" hidden="1" customHeight="1" x14ac:dyDescent="0.3">
      <c r="A259" s="59" t="e">
        <f>IF(AND(Data!#REF!&lt;&gt;"",Data!#REF!="Accept&amp;#233;"),Data!#REF!,"")</f>
        <v>#REF!</v>
      </c>
      <c r="B259" s="59" t="e">
        <f>IF(AND(Data!#REF!&lt;&gt;"",Data!#REF!="Accept&amp;#233;"),Data!#REF!,"")</f>
        <v>#REF!</v>
      </c>
      <c r="C259" s="60" t="e">
        <f t="shared" si="6"/>
        <v>#REF!</v>
      </c>
      <c r="D259" s="42" t="e">
        <f>IF(AND(Data!#REF!&lt;&gt;"",Data!#REF!="Accept&amp;#233;"),Data!#REF!,"")</f>
        <v>#REF!</v>
      </c>
      <c r="E259" s="61" t="e">
        <f>IF(AND(Data!#REF!&lt;&gt;"",Data!#REF!="Accept&amp;#233;"),Data!#REF!,"")</f>
        <v>#REF!</v>
      </c>
      <c r="F259" s="62" t="e">
        <f>IF(AND(Data!#REF!&lt;&gt;"",Data!#REF!="Accept&amp;#233;"),Data!#REF!,"")</f>
        <v>#REF!</v>
      </c>
      <c r="G259" s="63" t="e">
        <f>IF(Data!#REF!='Delivery Plan'!E259,Data!#REF!,"")</f>
        <v>#REF!</v>
      </c>
      <c r="H259" s="51"/>
      <c r="I259" s="60" t="e">
        <f t="shared" si="7"/>
        <v>#REF!</v>
      </c>
      <c r="J259" s="42" t="e">
        <f>IF(AND(E259=Data!#REF!,Data!#REF!&lt;&gt;""),Data!#REF!,"")</f>
        <v>#REF!</v>
      </c>
      <c r="K259" s="64" t="e">
        <f>IF(AND(E259=Data!#REF!,Data!#REF!&lt;&gt;""),Data!#REF!,"")</f>
        <v>#REF!</v>
      </c>
      <c r="L259" s="65" t="e">
        <f>IF(E259=Data!#REF!,Data!#REF!,"")</f>
        <v>#REF!</v>
      </c>
      <c r="M259" s="65" t="e">
        <f>IF(E259=Data!#REF!,Data!#REF!,"")</f>
        <v>#REF!</v>
      </c>
      <c r="N259" s="66" t="e">
        <f>IF(AND(Data!#REF!&lt;&gt;"",Data!#REF!="Accept&amp;#233;"),Data!#REF!,"")</f>
        <v>#REF!</v>
      </c>
    </row>
    <row r="260" spans="1:14" ht="19.5" hidden="1" customHeight="1" x14ac:dyDescent="0.3">
      <c r="A260" s="59" t="e">
        <f>IF(AND(Data!#REF!&lt;&gt;"",Data!#REF!="Accept&amp;#233;"),Data!#REF!,"")</f>
        <v>#REF!</v>
      </c>
      <c r="B260" s="59" t="e">
        <f>IF(AND(Data!#REF!&lt;&gt;"",Data!#REF!="Accept&amp;#233;"),Data!#REF!,"")</f>
        <v>#REF!</v>
      </c>
      <c r="C260" s="60" t="e">
        <f t="shared" ref="C260:C323" si="8">IF(D260&lt;&gt;"","S"&amp;TEXT(WEEKNUM(D260),"00"),"")</f>
        <v>#REF!</v>
      </c>
      <c r="D260" s="42" t="e">
        <f>IF(AND(Data!#REF!&lt;&gt;"",Data!#REF!="Accept&amp;#233;"),Data!#REF!,"")</f>
        <v>#REF!</v>
      </c>
      <c r="E260" s="61" t="e">
        <f>IF(AND(Data!#REF!&lt;&gt;"",Data!#REF!="Accept&amp;#233;"),Data!#REF!,"")</f>
        <v>#REF!</v>
      </c>
      <c r="F260" s="62" t="e">
        <f>IF(AND(Data!#REF!&lt;&gt;"",Data!#REF!="Accept&amp;#233;"),Data!#REF!,"")</f>
        <v>#REF!</v>
      </c>
      <c r="G260" s="63" t="e">
        <f>IF(Data!#REF!='Delivery Plan'!E260,Data!#REF!,"")</f>
        <v>#REF!</v>
      </c>
      <c r="H260" s="51"/>
      <c r="I260" s="60" t="e">
        <f t="shared" ref="I260:I323" si="9">IF(J260&lt;&gt;"","S"&amp;TEXT(WEEKNUM(J260),"00"),"")</f>
        <v>#REF!</v>
      </c>
      <c r="J260" s="42" t="e">
        <f>IF(AND(E260=Data!#REF!,Data!#REF!&lt;&gt;""),Data!#REF!,"")</f>
        <v>#REF!</v>
      </c>
      <c r="K260" s="64" t="e">
        <f>IF(AND(E260=Data!#REF!,Data!#REF!&lt;&gt;""),Data!#REF!,"")</f>
        <v>#REF!</v>
      </c>
      <c r="L260" s="65" t="e">
        <f>IF(E260=Data!#REF!,Data!#REF!,"")</f>
        <v>#REF!</v>
      </c>
      <c r="M260" s="65" t="e">
        <f>IF(E260=Data!#REF!,Data!#REF!,"")</f>
        <v>#REF!</v>
      </c>
      <c r="N260" s="66" t="e">
        <f>IF(AND(Data!#REF!&lt;&gt;"",Data!#REF!="Accept&amp;#233;"),Data!#REF!,"")</f>
        <v>#REF!</v>
      </c>
    </row>
    <row r="261" spans="1:14" ht="19.5" hidden="1" customHeight="1" x14ac:dyDescent="0.3">
      <c r="A261" s="59" t="e">
        <f>IF(AND(Data!#REF!&lt;&gt;"",Data!#REF!="Accept&amp;#233;"),Data!#REF!,"")</f>
        <v>#REF!</v>
      </c>
      <c r="B261" s="59" t="e">
        <f>IF(AND(Data!#REF!&lt;&gt;"",Data!#REF!="Accept&amp;#233;"),Data!#REF!,"")</f>
        <v>#REF!</v>
      </c>
      <c r="C261" s="60" t="e">
        <f t="shared" si="8"/>
        <v>#REF!</v>
      </c>
      <c r="D261" s="42" t="e">
        <f>IF(AND(Data!#REF!&lt;&gt;"",Data!#REF!="Accept&amp;#233;"),Data!#REF!,"")</f>
        <v>#REF!</v>
      </c>
      <c r="E261" s="61" t="e">
        <f>IF(AND(Data!#REF!&lt;&gt;"",Data!#REF!="Accept&amp;#233;"),Data!#REF!,"")</f>
        <v>#REF!</v>
      </c>
      <c r="F261" s="62" t="e">
        <f>IF(AND(Data!#REF!&lt;&gt;"",Data!#REF!="Accept&amp;#233;"),Data!#REF!,"")</f>
        <v>#REF!</v>
      </c>
      <c r="G261" s="63" t="e">
        <f>IF(Data!#REF!='Delivery Plan'!E261,Data!#REF!,"")</f>
        <v>#REF!</v>
      </c>
      <c r="H261" s="51"/>
      <c r="I261" s="60" t="e">
        <f t="shared" si="9"/>
        <v>#REF!</v>
      </c>
      <c r="J261" s="42" t="e">
        <f>IF(AND(E261=Data!#REF!,Data!#REF!&lt;&gt;""),Data!#REF!,"")</f>
        <v>#REF!</v>
      </c>
      <c r="K261" s="64" t="e">
        <f>IF(AND(E261=Data!#REF!,Data!#REF!&lt;&gt;""),Data!#REF!,"")</f>
        <v>#REF!</v>
      </c>
      <c r="L261" s="65" t="e">
        <f>IF(E261=Data!#REF!,Data!#REF!,"")</f>
        <v>#REF!</v>
      </c>
      <c r="M261" s="65" t="e">
        <f>IF(E261=Data!#REF!,Data!#REF!,"")</f>
        <v>#REF!</v>
      </c>
      <c r="N261" s="66" t="e">
        <f>IF(AND(Data!#REF!&lt;&gt;"",Data!#REF!="Accept&amp;#233;"),Data!#REF!,"")</f>
        <v>#REF!</v>
      </c>
    </row>
    <row r="262" spans="1:14" ht="19.5" hidden="1" customHeight="1" x14ac:dyDescent="0.3">
      <c r="A262" s="59" t="e">
        <f>IF(AND(Data!#REF!&lt;&gt;"",Data!#REF!="Accept&amp;#233;"),Data!#REF!,"")</f>
        <v>#REF!</v>
      </c>
      <c r="B262" s="59" t="e">
        <f>IF(AND(Data!#REF!&lt;&gt;"",Data!#REF!="Accept&amp;#233;"),Data!#REF!,"")</f>
        <v>#REF!</v>
      </c>
      <c r="C262" s="60" t="e">
        <f t="shared" si="8"/>
        <v>#REF!</v>
      </c>
      <c r="D262" s="42" t="e">
        <f>IF(AND(Data!#REF!&lt;&gt;"",Data!#REF!="Accept&amp;#233;"),Data!#REF!,"")</f>
        <v>#REF!</v>
      </c>
      <c r="E262" s="61" t="e">
        <f>IF(AND(Data!#REF!&lt;&gt;"",Data!#REF!="Accept&amp;#233;"),Data!#REF!,"")</f>
        <v>#REF!</v>
      </c>
      <c r="F262" s="62" t="e">
        <f>IF(AND(Data!#REF!&lt;&gt;"",Data!#REF!="Accept&amp;#233;"),Data!#REF!,"")</f>
        <v>#REF!</v>
      </c>
      <c r="G262" s="63" t="e">
        <f>IF(Data!#REF!='Delivery Plan'!E262,Data!#REF!,"")</f>
        <v>#REF!</v>
      </c>
      <c r="H262" s="51"/>
      <c r="I262" s="60" t="e">
        <f t="shared" si="9"/>
        <v>#REF!</v>
      </c>
      <c r="J262" s="42" t="e">
        <f>IF(AND(E262=Data!#REF!,Data!#REF!&lt;&gt;""),Data!#REF!,"")</f>
        <v>#REF!</v>
      </c>
      <c r="K262" s="64" t="e">
        <f>IF(AND(E262=Data!#REF!,Data!#REF!&lt;&gt;""),Data!#REF!,"")</f>
        <v>#REF!</v>
      </c>
      <c r="L262" s="65" t="e">
        <f>IF(E262=Data!#REF!,Data!#REF!,"")</f>
        <v>#REF!</v>
      </c>
      <c r="M262" s="65" t="e">
        <f>IF(E262=Data!#REF!,Data!#REF!,"")</f>
        <v>#REF!</v>
      </c>
      <c r="N262" s="66" t="e">
        <f>IF(AND(Data!#REF!&lt;&gt;"",Data!#REF!="Accept&amp;#233;"),Data!#REF!,"")</f>
        <v>#REF!</v>
      </c>
    </row>
    <row r="263" spans="1:14" ht="19.5" hidden="1" customHeight="1" x14ac:dyDescent="0.3">
      <c r="A263" s="59" t="e">
        <f>IF(AND(Data!#REF!&lt;&gt;"",Data!#REF!="Accept&amp;#233;"),Data!#REF!,"")</f>
        <v>#REF!</v>
      </c>
      <c r="B263" s="59" t="e">
        <f>IF(AND(Data!#REF!&lt;&gt;"",Data!#REF!="Accept&amp;#233;"),Data!#REF!,"")</f>
        <v>#REF!</v>
      </c>
      <c r="C263" s="60" t="e">
        <f t="shared" si="8"/>
        <v>#REF!</v>
      </c>
      <c r="D263" s="42" t="e">
        <f>IF(AND(Data!#REF!&lt;&gt;"",Data!#REF!="Accept&amp;#233;"),Data!#REF!,"")</f>
        <v>#REF!</v>
      </c>
      <c r="E263" s="61" t="e">
        <f>IF(AND(Data!#REF!&lt;&gt;"",Data!#REF!="Accept&amp;#233;"),Data!#REF!,"")</f>
        <v>#REF!</v>
      </c>
      <c r="F263" s="62" t="e">
        <f>IF(AND(Data!#REF!&lt;&gt;"",Data!#REF!="Accept&amp;#233;"),Data!#REF!,"")</f>
        <v>#REF!</v>
      </c>
      <c r="G263" s="63" t="e">
        <f>IF(Data!#REF!='Delivery Plan'!E263,Data!#REF!,"")</f>
        <v>#REF!</v>
      </c>
      <c r="H263" s="51"/>
      <c r="I263" s="60" t="e">
        <f t="shared" si="9"/>
        <v>#REF!</v>
      </c>
      <c r="J263" s="42" t="e">
        <f>IF(AND(E263=Data!#REF!,Data!#REF!&lt;&gt;""),Data!#REF!,"")</f>
        <v>#REF!</v>
      </c>
      <c r="K263" s="64" t="e">
        <f>IF(AND(E263=Data!#REF!,Data!#REF!&lt;&gt;""),Data!#REF!,"")</f>
        <v>#REF!</v>
      </c>
      <c r="L263" s="65" t="e">
        <f>IF(E263=Data!#REF!,Data!#REF!,"")</f>
        <v>#REF!</v>
      </c>
      <c r="M263" s="65" t="e">
        <f>IF(E263=Data!#REF!,Data!#REF!,"")</f>
        <v>#REF!</v>
      </c>
      <c r="N263" s="66" t="e">
        <f>IF(AND(Data!#REF!&lt;&gt;"",Data!#REF!="Accept&amp;#233;"),Data!#REF!,"")</f>
        <v>#REF!</v>
      </c>
    </row>
    <row r="264" spans="1:14" ht="19.5" hidden="1" customHeight="1" x14ac:dyDescent="0.3">
      <c r="A264" s="59" t="e">
        <f>IF(AND(Data!#REF!&lt;&gt;"",Data!#REF!="Accept&amp;#233;"),Data!#REF!,"")</f>
        <v>#REF!</v>
      </c>
      <c r="B264" s="59" t="e">
        <f>IF(AND(Data!#REF!&lt;&gt;"",Data!#REF!="Accept&amp;#233;"),Data!#REF!,"")</f>
        <v>#REF!</v>
      </c>
      <c r="C264" s="60" t="e">
        <f t="shared" si="8"/>
        <v>#REF!</v>
      </c>
      <c r="D264" s="42" t="e">
        <f>IF(AND(Data!#REF!&lt;&gt;"",Data!#REF!="Accept&amp;#233;"),Data!#REF!,"")</f>
        <v>#REF!</v>
      </c>
      <c r="E264" s="61" t="e">
        <f>IF(AND(Data!#REF!&lt;&gt;"",Data!#REF!="Accept&amp;#233;"),Data!#REF!,"")</f>
        <v>#REF!</v>
      </c>
      <c r="F264" s="62" t="e">
        <f>IF(AND(Data!#REF!&lt;&gt;"",Data!#REF!="Accept&amp;#233;"),Data!#REF!,"")</f>
        <v>#REF!</v>
      </c>
      <c r="G264" s="63" t="e">
        <f>IF(Data!#REF!='Delivery Plan'!E264,Data!#REF!,"")</f>
        <v>#REF!</v>
      </c>
      <c r="H264" s="51"/>
      <c r="I264" s="60" t="e">
        <f t="shared" si="9"/>
        <v>#REF!</v>
      </c>
      <c r="J264" s="42" t="e">
        <f>IF(AND(E264=Data!#REF!,Data!#REF!&lt;&gt;""),Data!#REF!,"")</f>
        <v>#REF!</v>
      </c>
      <c r="K264" s="64" t="e">
        <f>IF(AND(E264=Data!#REF!,Data!#REF!&lt;&gt;""),Data!#REF!,"")</f>
        <v>#REF!</v>
      </c>
      <c r="L264" s="65" t="e">
        <f>IF(E264=Data!#REF!,Data!#REF!,"")</f>
        <v>#REF!</v>
      </c>
      <c r="M264" s="65" t="e">
        <f>IF(E264=Data!#REF!,Data!#REF!,"")</f>
        <v>#REF!</v>
      </c>
      <c r="N264" s="66" t="e">
        <f>IF(AND(Data!#REF!&lt;&gt;"",Data!#REF!="Accept&amp;#233;"),Data!#REF!,"")</f>
        <v>#REF!</v>
      </c>
    </row>
    <row r="265" spans="1:14" ht="19.5" hidden="1" customHeight="1" x14ac:dyDescent="0.3">
      <c r="A265" s="59" t="e">
        <f>IF(AND(Data!#REF!&lt;&gt;"",Data!#REF!="Accept&amp;#233;"),Data!#REF!,"")</f>
        <v>#REF!</v>
      </c>
      <c r="B265" s="59" t="e">
        <f>IF(AND(Data!#REF!&lt;&gt;"",Data!#REF!="Accept&amp;#233;"),Data!#REF!,"")</f>
        <v>#REF!</v>
      </c>
      <c r="C265" s="60" t="e">
        <f t="shared" si="8"/>
        <v>#REF!</v>
      </c>
      <c r="D265" s="42" t="e">
        <f>IF(AND(Data!#REF!&lt;&gt;"",Data!#REF!="Accept&amp;#233;"),Data!#REF!,"")</f>
        <v>#REF!</v>
      </c>
      <c r="E265" s="61" t="e">
        <f>IF(AND(Data!#REF!&lt;&gt;"",Data!#REF!="Accept&amp;#233;"),Data!#REF!,"")</f>
        <v>#REF!</v>
      </c>
      <c r="F265" s="62" t="e">
        <f>IF(AND(Data!#REF!&lt;&gt;"",Data!#REF!="Accept&amp;#233;"),Data!#REF!,"")</f>
        <v>#REF!</v>
      </c>
      <c r="G265" s="63" t="e">
        <f>IF(Data!#REF!='Delivery Plan'!E265,Data!#REF!,"")</f>
        <v>#REF!</v>
      </c>
      <c r="H265" s="51"/>
      <c r="I265" s="60" t="e">
        <f t="shared" si="9"/>
        <v>#REF!</v>
      </c>
      <c r="J265" s="42" t="e">
        <f>IF(AND(E265=Data!#REF!,Data!#REF!&lt;&gt;""),Data!#REF!,"")</f>
        <v>#REF!</v>
      </c>
      <c r="K265" s="64" t="e">
        <f>IF(AND(E265=Data!#REF!,Data!#REF!&lt;&gt;""),Data!#REF!,"")</f>
        <v>#REF!</v>
      </c>
      <c r="L265" s="65" t="e">
        <f>IF(E265=Data!#REF!,Data!#REF!,"")</f>
        <v>#REF!</v>
      </c>
      <c r="M265" s="65" t="e">
        <f>IF(E265=Data!#REF!,Data!#REF!,"")</f>
        <v>#REF!</v>
      </c>
      <c r="N265" s="66" t="e">
        <f>IF(AND(Data!#REF!&lt;&gt;"",Data!#REF!="Accept&amp;#233;"),Data!#REF!,"")</f>
        <v>#REF!</v>
      </c>
    </row>
    <row r="266" spans="1:14" ht="19.5" hidden="1" customHeight="1" x14ac:dyDescent="0.3">
      <c r="A266" s="59" t="e">
        <f>IF(AND(Data!#REF!&lt;&gt;"",Data!#REF!="Accept&amp;#233;"),Data!#REF!,"")</f>
        <v>#REF!</v>
      </c>
      <c r="B266" s="59" t="e">
        <f>IF(AND(Data!#REF!&lt;&gt;"",Data!#REF!="Accept&amp;#233;"),Data!#REF!,"")</f>
        <v>#REF!</v>
      </c>
      <c r="C266" s="60" t="e">
        <f t="shared" si="8"/>
        <v>#REF!</v>
      </c>
      <c r="D266" s="42" t="e">
        <f>IF(AND(Data!#REF!&lt;&gt;"",Data!#REF!="Accept&amp;#233;"),Data!#REF!,"")</f>
        <v>#REF!</v>
      </c>
      <c r="E266" s="61" t="e">
        <f>IF(AND(Data!#REF!&lt;&gt;"",Data!#REF!="Accept&amp;#233;"),Data!#REF!,"")</f>
        <v>#REF!</v>
      </c>
      <c r="F266" s="62" t="e">
        <f>IF(AND(Data!#REF!&lt;&gt;"",Data!#REF!="Accept&amp;#233;"),Data!#REF!,"")</f>
        <v>#REF!</v>
      </c>
      <c r="G266" s="63" t="e">
        <f>IF(Data!#REF!='Delivery Plan'!E266,Data!#REF!,"")</f>
        <v>#REF!</v>
      </c>
      <c r="H266" s="51"/>
      <c r="I266" s="60" t="e">
        <f t="shared" si="9"/>
        <v>#REF!</v>
      </c>
      <c r="J266" s="42" t="e">
        <f>IF(AND(E266=Data!#REF!,Data!#REF!&lt;&gt;""),Data!#REF!,"")</f>
        <v>#REF!</v>
      </c>
      <c r="K266" s="64" t="e">
        <f>IF(AND(E266=Data!#REF!,Data!#REF!&lt;&gt;""),Data!#REF!,"")</f>
        <v>#REF!</v>
      </c>
      <c r="L266" s="65" t="e">
        <f>IF(E266=Data!#REF!,Data!#REF!,"")</f>
        <v>#REF!</v>
      </c>
      <c r="M266" s="65" t="e">
        <f>IF(E266=Data!#REF!,Data!#REF!,"")</f>
        <v>#REF!</v>
      </c>
      <c r="N266" s="66" t="e">
        <f>IF(AND(Data!#REF!&lt;&gt;"",Data!#REF!="Accept&amp;#233;"),Data!#REF!,"")</f>
        <v>#REF!</v>
      </c>
    </row>
    <row r="267" spans="1:14" ht="19.5" hidden="1" customHeight="1" x14ac:dyDescent="0.3">
      <c r="A267" s="59" t="e">
        <f>IF(AND(Data!#REF!&lt;&gt;"",Data!#REF!="Accept&amp;#233;"),Data!#REF!,"")</f>
        <v>#REF!</v>
      </c>
      <c r="B267" s="59" t="e">
        <f>IF(AND(Data!#REF!&lt;&gt;"",Data!#REF!="Accept&amp;#233;"),Data!#REF!,"")</f>
        <v>#REF!</v>
      </c>
      <c r="C267" s="60" t="e">
        <f t="shared" si="8"/>
        <v>#REF!</v>
      </c>
      <c r="D267" s="42" t="e">
        <f>IF(AND(Data!#REF!&lt;&gt;"",Data!#REF!="Accept&amp;#233;"),Data!#REF!,"")</f>
        <v>#REF!</v>
      </c>
      <c r="E267" s="61" t="e">
        <f>IF(AND(Data!#REF!&lt;&gt;"",Data!#REF!="Accept&amp;#233;"),Data!#REF!,"")</f>
        <v>#REF!</v>
      </c>
      <c r="F267" s="62" t="e">
        <f>IF(AND(Data!#REF!&lt;&gt;"",Data!#REF!="Accept&amp;#233;"),Data!#REF!,"")</f>
        <v>#REF!</v>
      </c>
      <c r="G267" s="63" t="e">
        <f>IF(Data!#REF!='Delivery Plan'!E267,Data!#REF!,"")</f>
        <v>#REF!</v>
      </c>
      <c r="H267" s="51"/>
      <c r="I267" s="60" t="e">
        <f t="shared" si="9"/>
        <v>#REF!</v>
      </c>
      <c r="J267" s="42" t="e">
        <f>IF(AND(E267=Data!#REF!,Data!#REF!&lt;&gt;""),Data!#REF!,"")</f>
        <v>#REF!</v>
      </c>
      <c r="K267" s="64" t="e">
        <f>IF(AND(E267=Data!#REF!,Data!#REF!&lt;&gt;""),Data!#REF!,"")</f>
        <v>#REF!</v>
      </c>
      <c r="L267" s="65" t="e">
        <f>IF(E267=Data!#REF!,Data!#REF!,"")</f>
        <v>#REF!</v>
      </c>
      <c r="M267" s="65" t="e">
        <f>IF(E267=Data!#REF!,Data!#REF!,"")</f>
        <v>#REF!</v>
      </c>
      <c r="N267" s="66" t="e">
        <f>IF(AND(Data!#REF!&lt;&gt;"",Data!#REF!="Accept&amp;#233;"),Data!#REF!,"")</f>
        <v>#REF!</v>
      </c>
    </row>
    <row r="268" spans="1:14" ht="19.5" hidden="1" customHeight="1" x14ac:dyDescent="0.3">
      <c r="A268" s="59" t="e">
        <f>IF(AND(Data!#REF!&lt;&gt;"",Data!#REF!="Accept&amp;#233;"),Data!#REF!,"")</f>
        <v>#REF!</v>
      </c>
      <c r="B268" s="59" t="e">
        <f>IF(AND(Data!#REF!&lt;&gt;"",Data!#REF!="Accept&amp;#233;"),Data!#REF!,"")</f>
        <v>#REF!</v>
      </c>
      <c r="C268" s="60" t="e">
        <f t="shared" si="8"/>
        <v>#REF!</v>
      </c>
      <c r="D268" s="42" t="e">
        <f>IF(AND(Data!#REF!&lt;&gt;"",Data!#REF!="Accept&amp;#233;"),Data!#REF!,"")</f>
        <v>#REF!</v>
      </c>
      <c r="E268" s="61" t="e">
        <f>IF(AND(Data!#REF!&lt;&gt;"",Data!#REF!="Accept&amp;#233;"),Data!#REF!,"")</f>
        <v>#REF!</v>
      </c>
      <c r="F268" s="62" t="e">
        <f>IF(AND(Data!#REF!&lt;&gt;"",Data!#REF!="Accept&amp;#233;"),Data!#REF!,"")</f>
        <v>#REF!</v>
      </c>
      <c r="G268" s="63" t="e">
        <f>IF(Data!#REF!='Delivery Plan'!E268,Data!#REF!,"")</f>
        <v>#REF!</v>
      </c>
      <c r="H268" s="51"/>
      <c r="I268" s="60" t="e">
        <f t="shared" si="9"/>
        <v>#REF!</v>
      </c>
      <c r="J268" s="42" t="e">
        <f>IF(AND(E268=Data!#REF!,Data!#REF!&lt;&gt;""),Data!#REF!,"")</f>
        <v>#REF!</v>
      </c>
      <c r="K268" s="64" t="e">
        <f>IF(AND(E268=Data!#REF!,Data!#REF!&lt;&gt;""),Data!#REF!,"")</f>
        <v>#REF!</v>
      </c>
      <c r="L268" s="65" t="e">
        <f>IF(E268=Data!#REF!,Data!#REF!,"")</f>
        <v>#REF!</v>
      </c>
      <c r="M268" s="65" t="e">
        <f>IF(E268=Data!#REF!,Data!#REF!,"")</f>
        <v>#REF!</v>
      </c>
      <c r="N268" s="66" t="e">
        <f>IF(AND(Data!#REF!&lt;&gt;"",Data!#REF!="Accept&amp;#233;"),Data!#REF!,"")</f>
        <v>#REF!</v>
      </c>
    </row>
    <row r="269" spans="1:14" ht="19.5" hidden="1" customHeight="1" x14ac:dyDescent="0.3">
      <c r="A269" s="59" t="e">
        <f>IF(AND(Data!#REF!&lt;&gt;"",Data!#REF!="Accept&amp;#233;"),Data!#REF!,"")</f>
        <v>#REF!</v>
      </c>
      <c r="B269" s="59" t="e">
        <f>IF(AND(Data!#REF!&lt;&gt;"",Data!#REF!="Accept&amp;#233;"),Data!#REF!,"")</f>
        <v>#REF!</v>
      </c>
      <c r="C269" s="60" t="e">
        <f t="shared" si="8"/>
        <v>#REF!</v>
      </c>
      <c r="D269" s="42" t="e">
        <f>IF(AND(Data!#REF!&lt;&gt;"",Data!#REF!="Accept&amp;#233;"),Data!#REF!,"")</f>
        <v>#REF!</v>
      </c>
      <c r="E269" s="61" t="e">
        <f>IF(AND(Data!#REF!&lt;&gt;"",Data!#REF!="Accept&amp;#233;"),Data!#REF!,"")</f>
        <v>#REF!</v>
      </c>
      <c r="F269" s="62" t="e">
        <f>IF(AND(Data!#REF!&lt;&gt;"",Data!#REF!="Accept&amp;#233;"),Data!#REF!,"")</f>
        <v>#REF!</v>
      </c>
      <c r="G269" s="63" t="e">
        <f>IF(Data!#REF!='Delivery Plan'!E269,Data!#REF!,"")</f>
        <v>#REF!</v>
      </c>
      <c r="H269" s="51"/>
      <c r="I269" s="60" t="e">
        <f t="shared" si="9"/>
        <v>#REF!</v>
      </c>
      <c r="J269" s="42" t="e">
        <f>IF(AND(E269=Data!#REF!,Data!#REF!&lt;&gt;""),Data!#REF!,"")</f>
        <v>#REF!</v>
      </c>
      <c r="K269" s="64" t="e">
        <f>IF(AND(E269=Data!#REF!,Data!#REF!&lt;&gt;""),Data!#REF!,"")</f>
        <v>#REF!</v>
      </c>
      <c r="L269" s="65" t="e">
        <f>IF(E269=Data!#REF!,Data!#REF!,"")</f>
        <v>#REF!</v>
      </c>
      <c r="M269" s="65" t="e">
        <f>IF(E269=Data!#REF!,Data!#REF!,"")</f>
        <v>#REF!</v>
      </c>
      <c r="N269" s="66" t="e">
        <f>IF(AND(Data!#REF!&lt;&gt;"",Data!#REF!="Accept&amp;#233;"),Data!#REF!,"")</f>
        <v>#REF!</v>
      </c>
    </row>
    <row r="270" spans="1:14" ht="19.5" hidden="1" customHeight="1" x14ac:dyDescent="0.3">
      <c r="A270" s="59" t="e">
        <f>IF(AND(Data!#REF!&lt;&gt;"",Data!#REF!="Accept&amp;#233;"),Data!#REF!,"")</f>
        <v>#REF!</v>
      </c>
      <c r="B270" s="59" t="e">
        <f>IF(AND(Data!#REF!&lt;&gt;"",Data!#REF!="Accept&amp;#233;"),Data!#REF!,"")</f>
        <v>#REF!</v>
      </c>
      <c r="C270" s="60" t="e">
        <f t="shared" si="8"/>
        <v>#REF!</v>
      </c>
      <c r="D270" s="42" t="e">
        <f>IF(AND(Data!#REF!&lt;&gt;"",Data!#REF!="Accept&amp;#233;"),Data!#REF!,"")</f>
        <v>#REF!</v>
      </c>
      <c r="E270" s="61" t="e">
        <f>IF(AND(Data!#REF!&lt;&gt;"",Data!#REF!="Accept&amp;#233;"),Data!#REF!,"")</f>
        <v>#REF!</v>
      </c>
      <c r="F270" s="62" t="e">
        <f>IF(AND(Data!#REF!&lt;&gt;"",Data!#REF!="Accept&amp;#233;"),Data!#REF!,"")</f>
        <v>#REF!</v>
      </c>
      <c r="G270" s="63" t="e">
        <f>IF(Data!#REF!='Delivery Plan'!E270,Data!#REF!,"")</f>
        <v>#REF!</v>
      </c>
      <c r="H270" s="51"/>
      <c r="I270" s="60" t="e">
        <f t="shared" si="9"/>
        <v>#REF!</v>
      </c>
      <c r="J270" s="42" t="e">
        <f>IF(AND(E270=Data!#REF!,Data!#REF!&lt;&gt;""),Data!#REF!,"")</f>
        <v>#REF!</v>
      </c>
      <c r="K270" s="64" t="e">
        <f>IF(AND(E270=Data!#REF!,Data!#REF!&lt;&gt;""),Data!#REF!,"")</f>
        <v>#REF!</v>
      </c>
      <c r="L270" s="65" t="e">
        <f>IF(E270=Data!#REF!,Data!#REF!,"")</f>
        <v>#REF!</v>
      </c>
      <c r="M270" s="65" t="e">
        <f>IF(E270=Data!#REF!,Data!#REF!,"")</f>
        <v>#REF!</v>
      </c>
      <c r="N270" s="66" t="e">
        <f>IF(AND(Data!#REF!&lt;&gt;"",Data!#REF!="Accept&amp;#233;"),Data!#REF!,"")</f>
        <v>#REF!</v>
      </c>
    </row>
    <row r="271" spans="1:14" ht="19.5" hidden="1" customHeight="1" x14ac:dyDescent="0.3">
      <c r="A271" s="59" t="e">
        <f>IF(AND(Data!#REF!&lt;&gt;"",Data!#REF!="Accept&amp;#233;"),Data!#REF!,"")</f>
        <v>#REF!</v>
      </c>
      <c r="B271" s="59" t="e">
        <f>IF(AND(Data!#REF!&lt;&gt;"",Data!#REF!="Accept&amp;#233;"),Data!#REF!,"")</f>
        <v>#REF!</v>
      </c>
      <c r="C271" s="60" t="e">
        <f t="shared" si="8"/>
        <v>#REF!</v>
      </c>
      <c r="D271" s="42" t="e">
        <f>IF(AND(Data!#REF!&lt;&gt;"",Data!#REF!="Accept&amp;#233;"),Data!#REF!,"")</f>
        <v>#REF!</v>
      </c>
      <c r="E271" s="61" t="e">
        <f>IF(AND(Data!#REF!&lt;&gt;"",Data!#REF!="Accept&amp;#233;"),Data!#REF!,"")</f>
        <v>#REF!</v>
      </c>
      <c r="F271" s="62" t="e">
        <f>IF(AND(Data!#REF!&lt;&gt;"",Data!#REF!="Accept&amp;#233;"),Data!#REF!,"")</f>
        <v>#REF!</v>
      </c>
      <c r="G271" s="63" t="e">
        <f>IF(Data!#REF!='Delivery Plan'!E271,Data!#REF!,"")</f>
        <v>#REF!</v>
      </c>
      <c r="H271" s="51"/>
      <c r="I271" s="60" t="e">
        <f t="shared" si="9"/>
        <v>#REF!</v>
      </c>
      <c r="J271" s="42" t="e">
        <f>IF(AND(E271=Data!#REF!,Data!#REF!&lt;&gt;""),Data!#REF!,"")</f>
        <v>#REF!</v>
      </c>
      <c r="K271" s="64" t="e">
        <f>IF(AND(E271=Data!#REF!,Data!#REF!&lt;&gt;""),Data!#REF!,"")</f>
        <v>#REF!</v>
      </c>
      <c r="L271" s="65" t="e">
        <f>IF(E271=Data!#REF!,Data!#REF!,"")</f>
        <v>#REF!</v>
      </c>
      <c r="M271" s="65" t="e">
        <f>IF(E271=Data!#REF!,Data!#REF!,"")</f>
        <v>#REF!</v>
      </c>
      <c r="N271" s="66" t="e">
        <f>IF(AND(Data!#REF!&lt;&gt;"",Data!#REF!="Accept&amp;#233;"),Data!#REF!,"")</f>
        <v>#REF!</v>
      </c>
    </row>
    <row r="272" spans="1:14" ht="19.5" hidden="1" customHeight="1" x14ac:dyDescent="0.3">
      <c r="A272" s="59" t="e">
        <f>IF(AND(Data!#REF!&lt;&gt;"",Data!#REF!="Accept&amp;#233;"),Data!#REF!,"")</f>
        <v>#REF!</v>
      </c>
      <c r="B272" s="59" t="e">
        <f>IF(AND(Data!#REF!&lt;&gt;"",Data!#REF!="Accept&amp;#233;"),Data!#REF!,"")</f>
        <v>#REF!</v>
      </c>
      <c r="C272" s="60" t="e">
        <f t="shared" si="8"/>
        <v>#REF!</v>
      </c>
      <c r="D272" s="42" t="e">
        <f>IF(AND(Data!#REF!&lt;&gt;"",Data!#REF!="Accept&amp;#233;"),Data!#REF!,"")</f>
        <v>#REF!</v>
      </c>
      <c r="E272" s="61" t="e">
        <f>IF(AND(Data!#REF!&lt;&gt;"",Data!#REF!="Accept&amp;#233;"),Data!#REF!,"")</f>
        <v>#REF!</v>
      </c>
      <c r="F272" s="62" t="e">
        <f>IF(AND(Data!#REF!&lt;&gt;"",Data!#REF!="Accept&amp;#233;"),Data!#REF!,"")</f>
        <v>#REF!</v>
      </c>
      <c r="G272" s="63" t="e">
        <f>IF(Data!#REF!='Delivery Plan'!E272,Data!#REF!,"")</f>
        <v>#REF!</v>
      </c>
      <c r="H272" s="51"/>
      <c r="I272" s="60" t="e">
        <f t="shared" si="9"/>
        <v>#REF!</v>
      </c>
      <c r="J272" s="42" t="e">
        <f>IF(AND(E272=Data!#REF!,Data!#REF!&lt;&gt;""),Data!#REF!,"")</f>
        <v>#REF!</v>
      </c>
      <c r="K272" s="64" t="e">
        <f>IF(AND(E272=Data!#REF!,Data!#REF!&lt;&gt;""),Data!#REF!,"")</f>
        <v>#REF!</v>
      </c>
      <c r="L272" s="65" t="e">
        <f>IF(E272=Data!#REF!,Data!#REF!,"")</f>
        <v>#REF!</v>
      </c>
      <c r="M272" s="65" t="e">
        <f>IF(E272=Data!#REF!,Data!#REF!,"")</f>
        <v>#REF!</v>
      </c>
      <c r="N272" s="66" t="e">
        <f>IF(AND(Data!#REF!&lt;&gt;"",Data!#REF!="Accept&amp;#233;"),Data!#REF!,"")</f>
        <v>#REF!</v>
      </c>
    </row>
    <row r="273" spans="1:14" ht="19.5" hidden="1" customHeight="1" x14ac:dyDescent="0.3">
      <c r="A273" s="59" t="e">
        <f>IF(AND(Data!#REF!&lt;&gt;"",Data!#REF!="Accept&amp;#233;"),Data!#REF!,"")</f>
        <v>#REF!</v>
      </c>
      <c r="B273" s="59" t="e">
        <f>IF(AND(Data!#REF!&lt;&gt;"",Data!#REF!="Accept&amp;#233;"),Data!#REF!,"")</f>
        <v>#REF!</v>
      </c>
      <c r="C273" s="60" t="e">
        <f t="shared" si="8"/>
        <v>#REF!</v>
      </c>
      <c r="D273" s="42" t="e">
        <f>IF(AND(Data!#REF!&lt;&gt;"",Data!#REF!="Accept&amp;#233;"),Data!#REF!,"")</f>
        <v>#REF!</v>
      </c>
      <c r="E273" s="61" t="e">
        <f>IF(AND(Data!#REF!&lt;&gt;"",Data!#REF!="Accept&amp;#233;"),Data!#REF!,"")</f>
        <v>#REF!</v>
      </c>
      <c r="F273" s="62" t="e">
        <f>IF(AND(Data!#REF!&lt;&gt;"",Data!#REF!="Accept&amp;#233;"),Data!#REF!,"")</f>
        <v>#REF!</v>
      </c>
      <c r="G273" s="63" t="e">
        <f>IF(Data!#REF!='Delivery Plan'!E273,Data!#REF!,"")</f>
        <v>#REF!</v>
      </c>
      <c r="H273" s="51"/>
      <c r="I273" s="60" t="e">
        <f t="shared" si="9"/>
        <v>#REF!</v>
      </c>
      <c r="J273" s="42" t="e">
        <f>IF(AND(E273=Data!#REF!,Data!#REF!&lt;&gt;""),Data!#REF!,"")</f>
        <v>#REF!</v>
      </c>
      <c r="K273" s="64" t="e">
        <f>IF(AND(E273=Data!#REF!,Data!#REF!&lt;&gt;""),Data!#REF!,"")</f>
        <v>#REF!</v>
      </c>
      <c r="L273" s="65" t="e">
        <f>IF(E273=Data!#REF!,Data!#REF!,"")</f>
        <v>#REF!</v>
      </c>
      <c r="M273" s="65" t="e">
        <f>IF(E273=Data!#REF!,Data!#REF!,"")</f>
        <v>#REF!</v>
      </c>
      <c r="N273" s="66" t="e">
        <f>IF(AND(Data!#REF!&lt;&gt;"",Data!#REF!="Accept&amp;#233;"),Data!#REF!,"")</f>
        <v>#REF!</v>
      </c>
    </row>
    <row r="274" spans="1:14" ht="19.5" hidden="1" customHeight="1" x14ac:dyDescent="0.3">
      <c r="A274" s="59" t="e">
        <f>IF(AND(Data!#REF!&lt;&gt;"",Data!#REF!="Accept&amp;#233;"),Data!#REF!,"")</f>
        <v>#REF!</v>
      </c>
      <c r="B274" s="59" t="e">
        <f>IF(AND(Data!#REF!&lt;&gt;"",Data!#REF!="Accept&amp;#233;"),Data!#REF!,"")</f>
        <v>#REF!</v>
      </c>
      <c r="C274" s="60" t="e">
        <f t="shared" si="8"/>
        <v>#REF!</v>
      </c>
      <c r="D274" s="42" t="e">
        <f>IF(AND(Data!#REF!&lt;&gt;"",Data!#REF!="Accept&amp;#233;"),Data!#REF!,"")</f>
        <v>#REF!</v>
      </c>
      <c r="E274" s="61" t="e">
        <f>IF(AND(Data!#REF!&lt;&gt;"",Data!#REF!="Accept&amp;#233;"),Data!#REF!,"")</f>
        <v>#REF!</v>
      </c>
      <c r="F274" s="62" t="e">
        <f>IF(AND(Data!#REF!&lt;&gt;"",Data!#REF!="Accept&amp;#233;"),Data!#REF!,"")</f>
        <v>#REF!</v>
      </c>
      <c r="G274" s="63" t="e">
        <f>IF(Data!#REF!='Delivery Plan'!E274,Data!#REF!,"")</f>
        <v>#REF!</v>
      </c>
      <c r="H274" s="51"/>
      <c r="I274" s="60" t="e">
        <f t="shared" si="9"/>
        <v>#REF!</v>
      </c>
      <c r="J274" s="42" t="e">
        <f>IF(AND(E274=Data!#REF!,Data!#REF!&lt;&gt;""),Data!#REF!,"")</f>
        <v>#REF!</v>
      </c>
      <c r="K274" s="64" t="e">
        <f>IF(AND(E274=Data!#REF!,Data!#REF!&lt;&gt;""),Data!#REF!,"")</f>
        <v>#REF!</v>
      </c>
      <c r="L274" s="65" t="e">
        <f>IF(E274=Data!#REF!,Data!#REF!,"")</f>
        <v>#REF!</v>
      </c>
      <c r="M274" s="65" t="e">
        <f>IF(E274=Data!#REF!,Data!#REF!,"")</f>
        <v>#REF!</v>
      </c>
      <c r="N274" s="66" t="e">
        <f>IF(AND(Data!#REF!&lt;&gt;"",Data!#REF!="Accept&amp;#233;"),Data!#REF!,"")</f>
        <v>#REF!</v>
      </c>
    </row>
    <row r="275" spans="1:14" ht="19.5" hidden="1" customHeight="1" x14ac:dyDescent="0.3">
      <c r="A275" s="59" t="e">
        <f>IF(AND(Data!#REF!&lt;&gt;"",Data!#REF!="Accept&amp;#233;"),Data!#REF!,"")</f>
        <v>#REF!</v>
      </c>
      <c r="B275" s="59" t="e">
        <f>IF(AND(Data!#REF!&lt;&gt;"",Data!#REF!="Accept&amp;#233;"),Data!#REF!,"")</f>
        <v>#REF!</v>
      </c>
      <c r="C275" s="60" t="e">
        <f t="shared" si="8"/>
        <v>#REF!</v>
      </c>
      <c r="D275" s="42" t="e">
        <f>IF(AND(Data!#REF!&lt;&gt;"",Data!#REF!="Accept&amp;#233;"),Data!#REF!,"")</f>
        <v>#REF!</v>
      </c>
      <c r="E275" s="61" t="e">
        <f>IF(AND(Data!#REF!&lt;&gt;"",Data!#REF!="Accept&amp;#233;"),Data!#REF!,"")</f>
        <v>#REF!</v>
      </c>
      <c r="F275" s="62" t="e">
        <f>IF(AND(Data!#REF!&lt;&gt;"",Data!#REF!="Accept&amp;#233;"),Data!#REF!,"")</f>
        <v>#REF!</v>
      </c>
      <c r="G275" s="63" t="e">
        <f>IF(Data!#REF!='Delivery Plan'!E275,Data!#REF!,"")</f>
        <v>#REF!</v>
      </c>
      <c r="H275" s="51"/>
      <c r="I275" s="60" t="e">
        <f t="shared" si="9"/>
        <v>#REF!</v>
      </c>
      <c r="J275" s="42" t="e">
        <f>IF(AND(E275=Data!#REF!,Data!#REF!&lt;&gt;""),Data!#REF!,"")</f>
        <v>#REF!</v>
      </c>
      <c r="K275" s="64" t="e">
        <f>IF(AND(E275=Data!#REF!,Data!#REF!&lt;&gt;""),Data!#REF!,"")</f>
        <v>#REF!</v>
      </c>
      <c r="L275" s="65" t="e">
        <f>IF(E275=Data!#REF!,Data!#REF!,"")</f>
        <v>#REF!</v>
      </c>
      <c r="M275" s="65" t="e">
        <f>IF(E275=Data!#REF!,Data!#REF!,"")</f>
        <v>#REF!</v>
      </c>
      <c r="N275" s="66" t="e">
        <f>IF(AND(Data!#REF!&lt;&gt;"",Data!#REF!="Accept&amp;#233;"),Data!#REF!,"")</f>
        <v>#REF!</v>
      </c>
    </row>
    <row r="276" spans="1:14" ht="19.5" hidden="1" customHeight="1" x14ac:dyDescent="0.3">
      <c r="A276" s="59" t="e">
        <f>IF(AND(Data!#REF!&lt;&gt;"",Data!#REF!="Accept&amp;#233;"),Data!#REF!,"")</f>
        <v>#REF!</v>
      </c>
      <c r="B276" s="59" t="e">
        <f>IF(AND(Data!#REF!&lt;&gt;"",Data!#REF!="Accept&amp;#233;"),Data!#REF!,"")</f>
        <v>#REF!</v>
      </c>
      <c r="C276" s="60" t="e">
        <f t="shared" si="8"/>
        <v>#REF!</v>
      </c>
      <c r="D276" s="42" t="e">
        <f>IF(AND(Data!#REF!&lt;&gt;"",Data!#REF!="Accept&amp;#233;"),Data!#REF!,"")</f>
        <v>#REF!</v>
      </c>
      <c r="E276" s="61" t="e">
        <f>IF(AND(Data!#REF!&lt;&gt;"",Data!#REF!="Accept&amp;#233;"),Data!#REF!,"")</f>
        <v>#REF!</v>
      </c>
      <c r="F276" s="62" t="e">
        <f>IF(AND(Data!#REF!&lt;&gt;"",Data!#REF!="Accept&amp;#233;"),Data!#REF!,"")</f>
        <v>#REF!</v>
      </c>
      <c r="G276" s="63" t="e">
        <f>IF(Data!#REF!='Delivery Plan'!E276,Data!#REF!,"")</f>
        <v>#REF!</v>
      </c>
      <c r="H276" s="51"/>
      <c r="I276" s="60" t="e">
        <f t="shared" si="9"/>
        <v>#REF!</v>
      </c>
      <c r="J276" s="42" t="e">
        <f>IF(AND(E276=Data!#REF!,Data!#REF!&lt;&gt;""),Data!#REF!,"")</f>
        <v>#REF!</v>
      </c>
      <c r="K276" s="64" t="e">
        <f>IF(AND(E276=Data!#REF!,Data!#REF!&lt;&gt;""),Data!#REF!,"")</f>
        <v>#REF!</v>
      </c>
      <c r="L276" s="65" t="e">
        <f>IF(E276=Data!#REF!,Data!#REF!,"")</f>
        <v>#REF!</v>
      </c>
      <c r="M276" s="65" t="e">
        <f>IF(E276=Data!#REF!,Data!#REF!,"")</f>
        <v>#REF!</v>
      </c>
      <c r="N276" s="66" t="e">
        <f>IF(AND(Data!#REF!&lt;&gt;"",Data!#REF!="Accept&amp;#233;"),Data!#REF!,"")</f>
        <v>#REF!</v>
      </c>
    </row>
    <row r="277" spans="1:14" ht="19.5" hidden="1" customHeight="1" x14ac:dyDescent="0.3">
      <c r="A277" s="59" t="e">
        <f>IF(AND(Data!#REF!&lt;&gt;"",Data!#REF!="Accept&amp;#233;"),Data!#REF!,"")</f>
        <v>#REF!</v>
      </c>
      <c r="B277" s="59" t="e">
        <f>IF(AND(Data!#REF!&lt;&gt;"",Data!#REF!="Accept&amp;#233;"),Data!#REF!,"")</f>
        <v>#REF!</v>
      </c>
      <c r="C277" s="60" t="e">
        <f t="shared" si="8"/>
        <v>#REF!</v>
      </c>
      <c r="D277" s="42" t="e">
        <f>IF(AND(Data!#REF!&lt;&gt;"",Data!#REF!="Accept&amp;#233;"),Data!#REF!,"")</f>
        <v>#REF!</v>
      </c>
      <c r="E277" s="61" t="e">
        <f>IF(AND(Data!#REF!&lt;&gt;"",Data!#REF!="Accept&amp;#233;"),Data!#REF!,"")</f>
        <v>#REF!</v>
      </c>
      <c r="F277" s="62" t="e">
        <f>IF(AND(Data!#REF!&lt;&gt;"",Data!#REF!="Accept&amp;#233;"),Data!#REF!,"")</f>
        <v>#REF!</v>
      </c>
      <c r="G277" s="63" t="e">
        <f>IF(Data!#REF!='Delivery Plan'!E277,Data!#REF!,"")</f>
        <v>#REF!</v>
      </c>
      <c r="H277" s="51"/>
      <c r="I277" s="60" t="e">
        <f t="shared" si="9"/>
        <v>#REF!</v>
      </c>
      <c r="J277" s="42" t="e">
        <f>IF(AND(E277=Data!#REF!,Data!#REF!&lt;&gt;""),Data!#REF!,"")</f>
        <v>#REF!</v>
      </c>
      <c r="K277" s="64" t="e">
        <f>IF(AND(E277=Data!#REF!,Data!#REF!&lt;&gt;""),Data!#REF!,"")</f>
        <v>#REF!</v>
      </c>
      <c r="L277" s="65" t="e">
        <f>IF(E277=Data!#REF!,Data!#REF!,"")</f>
        <v>#REF!</v>
      </c>
      <c r="M277" s="65" t="e">
        <f>IF(E277=Data!#REF!,Data!#REF!,"")</f>
        <v>#REF!</v>
      </c>
      <c r="N277" s="66" t="e">
        <f>IF(AND(Data!#REF!&lt;&gt;"",Data!#REF!="Accept&amp;#233;"),Data!#REF!,"")</f>
        <v>#REF!</v>
      </c>
    </row>
    <row r="278" spans="1:14" ht="19.5" hidden="1" customHeight="1" x14ac:dyDescent="0.3">
      <c r="A278" s="59" t="e">
        <f>IF(AND(Data!#REF!&lt;&gt;"",Data!#REF!="Accept&amp;#233;"),Data!#REF!,"")</f>
        <v>#REF!</v>
      </c>
      <c r="B278" s="59" t="e">
        <f>IF(AND(Data!#REF!&lt;&gt;"",Data!#REF!="Accept&amp;#233;"),Data!#REF!,"")</f>
        <v>#REF!</v>
      </c>
      <c r="C278" s="60" t="e">
        <f t="shared" si="8"/>
        <v>#REF!</v>
      </c>
      <c r="D278" s="42" t="e">
        <f>IF(AND(Data!#REF!&lt;&gt;"",Data!#REF!="Accept&amp;#233;"),Data!#REF!,"")</f>
        <v>#REF!</v>
      </c>
      <c r="E278" s="61" t="e">
        <f>IF(AND(Data!#REF!&lt;&gt;"",Data!#REF!="Accept&amp;#233;"),Data!#REF!,"")</f>
        <v>#REF!</v>
      </c>
      <c r="F278" s="62" t="e">
        <f>IF(AND(Data!#REF!&lt;&gt;"",Data!#REF!="Accept&amp;#233;"),Data!#REF!,"")</f>
        <v>#REF!</v>
      </c>
      <c r="G278" s="63" t="e">
        <f>IF(Data!#REF!='Delivery Plan'!E278,Data!#REF!,"")</f>
        <v>#REF!</v>
      </c>
      <c r="H278" s="51"/>
      <c r="I278" s="60" t="e">
        <f t="shared" si="9"/>
        <v>#REF!</v>
      </c>
      <c r="J278" s="42" t="e">
        <f>IF(AND(E278=Data!#REF!,Data!#REF!&lt;&gt;""),Data!#REF!,"")</f>
        <v>#REF!</v>
      </c>
      <c r="K278" s="64" t="e">
        <f>IF(AND(E278=Data!#REF!,Data!#REF!&lt;&gt;""),Data!#REF!,"")</f>
        <v>#REF!</v>
      </c>
      <c r="L278" s="65" t="e">
        <f>IF(E278=Data!#REF!,Data!#REF!,"")</f>
        <v>#REF!</v>
      </c>
      <c r="M278" s="65" t="e">
        <f>IF(E278=Data!#REF!,Data!#REF!,"")</f>
        <v>#REF!</v>
      </c>
      <c r="N278" s="66" t="e">
        <f>IF(AND(Data!#REF!&lt;&gt;"",Data!#REF!="Accept&amp;#233;"),Data!#REF!,"")</f>
        <v>#REF!</v>
      </c>
    </row>
    <row r="279" spans="1:14" ht="19.5" hidden="1" customHeight="1" x14ac:dyDescent="0.3">
      <c r="A279" s="59" t="e">
        <f>IF(AND(Data!#REF!&lt;&gt;"",Data!#REF!="Accept&amp;#233;"),Data!#REF!,"")</f>
        <v>#REF!</v>
      </c>
      <c r="B279" s="59" t="e">
        <f>IF(AND(Data!#REF!&lt;&gt;"",Data!#REF!="Accept&amp;#233;"),Data!#REF!,"")</f>
        <v>#REF!</v>
      </c>
      <c r="C279" s="60" t="e">
        <f t="shared" si="8"/>
        <v>#REF!</v>
      </c>
      <c r="D279" s="42" t="e">
        <f>IF(AND(Data!#REF!&lt;&gt;"",Data!#REF!="Accept&amp;#233;"),Data!#REF!,"")</f>
        <v>#REF!</v>
      </c>
      <c r="E279" s="61" t="e">
        <f>IF(AND(Data!#REF!&lt;&gt;"",Data!#REF!="Accept&amp;#233;"),Data!#REF!,"")</f>
        <v>#REF!</v>
      </c>
      <c r="F279" s="62" t="e">
        <f>IF(AND(Data!#REF!&lt;&gt;"",Data!#REF!="Accept&amp;#233;"),Data!#REF!,"")</f>
        <v>#REF!</v>
      </c>
      <c r="G279" s="63" t="e">
        <f>IF(Data!#REF!='Delivery Plan'!E279,Data!#REF!,"")</f>
        <v>#REF!</v>
      </c>
      <c r="H279" s="51"/>
      <c r="I279" s="60" t="e">
        <f t="shared" si="9"/>
        <v>#REF!</v>
      </c>
      <c r="J279" s="42" t="e">
        <f>IF(AND(E279=Data!#REF!,Data!#REF!&lt;&gt;""),Data!#REF!,"")</f>
        <v>#REF!</v>
      </c>
      <c r="K279" s="64" t="e">
        <f>IF(AND(E279=Data!#REF!,Data!#REF!&lt;&gt;""),Data!#REF!,"")</f>
        <v>#REF!</v>
      </c>
      <c r="L279" s="65" t="e">
        <f>IF(E279=Data!#REF!,Data!#REF!,"")</f>
        <v>#REF!</v>
      </c>
      <c r="M279" s="65" t="e">
        <f>IF(E279=Data!#REF!,Data!#REF!,"")</f>
        <v>#REF!</v>
      </c>
      <c r="N279" s="66" t="e">
        <f>IF(AND(Data!#REF!&lt;&gt;"",Data!#REF!="Accept&amp;#233;"),Data!#REF!,"")</f>
        <v>#REF!</v>
      </c>
    </row>
    <row r="280" spans="1:14" ht="19.5" hidden="1" customHeight="1" x14ac:dyDescent="0.3">
      <c r="A280" s="59" t="e">
        <f>IF(AND(Data!#REF!&lt;&gt;"",Data!#REF!="Accept&amp;#233;"),Data!#REF!,"")</f>
        <v>#REF!</v>
      </c>
      <c r="B280" s="59" t="e">
        <f>IF(AND(Data!#REF!&lt;&gt;"",Data!#REF!="Accept&amp;#233;"),Data!#REF!,"")</f>
        <v>#REF!</v>
      </c>
      <c r="C280" s="60" t="e">
        <f t="shared" si="8"/>
        <v>#REF!</v>
      </c>
      <c r="D280" s="42" t="e">
        <f>IF(AND(Data!#REF!&lt;&gt;"",Data!#REF!="Accept&amp;#233;"),Data!#REF!,"")</f>
        <v>#REF!</v>
      </c>
      <c r="E280" s="61" t="e">
        <f>IF(AND(Data!#REF!&lt;&gt;"",Data!#REF!="Accept&amp;#233;"),Data!#REF!,"")</f>
        <v>#REF!</v>
      </c>
      <c r="F280" s="62" t="e">
        <f>IF(AND(Data!#REF!&lt;&gt;"",Data!#REF!="Accept&amp;#233;"),Data!#REF!,"")</f>
        <v>#REF!</v>
      </c>
      <c r="G280" s="63" t="e">
        <f>IF(Data!#REF!='Delivery Plan'!E280,Data!#REF!,"")</f>
        <v>#REF!</v>
      </c>
      <c r="H280" s="51"/>
      <c r="I280" s="60" t="e">
        <f t="shared" si="9"/>
        <v>#REF!</v>
      </c>
      <c r="J280" s="42" t="e">
        <f>IF(AND(E280=Data!#REF!,Data!#REF!&lt;&gt;""),Data!#REF!,"")</f>
        <v>#REF!</v>
      </c>
      <c r="K280" s="64" t="e">
        <f>IF(AND(E280=Data!#REF!,Data!#REF!&lt;&gt;""),Data!#REF!,"")</f>
        <v>#REF!</v>
      </c>
      <c r="L280" s="65" t="e">
        <f>IF(E280=Data!#REF!,Data!#REF!,"")</f>
        <v>#REF!</v>
      </c>
      <c r="M280" s="65" t="e">
        <f>IF(E280=Data!#REF!,Data!#REF!,"")</f>
        <v>#REF!</v>
      </c>
      <c r="N280" s="66" t="e">
        <f>IF(AND(Data!#REF!&lt;&gt;"",Data!#REF!="Accept&amp;#233;"),Data!#REF!,"")</f>
        <v>#REF!</v>
      </c>
    </row>
    <row r="281" spans="1:14" ht="19.5" hidden="1" customHeight="1" x14ac:dyDescent="0.3">
      <c r="A281" s="59" t="e">
        <f>IF(AND(Data!#REF!&lt;&gt;"",Data!#REF!="Accept&amp;#233;"),Data!#REF!,"")</f>
        <v>#REF!</v>
      </c>
      <c r="B281" s="59" t="e">
        <f>IF(AND(Data!#REF!&lt;&gt;"",Data!#REF!="Accept&amp;#233;"),Data!#REF!,"")</f>
        <v>#REF!</v>
      </c>
      <c r="C281" s="60" t="e">
        <f t="shared" si="8"/>
        <v>#REF!</v>
      </c>
      <c r="D281" s="42" t="e">
        <f>IF(AND(Data!#REF!&lt;&gt;"",Data!#REF!="Accept&amp;#233;"),Data!#REF!,"")</f>
        <v>#REF!</v>
      </c>
      <c r="E281" s="61" t="e">
        <f>IF(AND(Data!#REF!&lt;&gt;"",Data!#REF!="Accept&amp;#233;"),Data!#REF!,"")</f>
        <v>#REF!</v>
      </c>
      <c r="F281" s="62" t="e">
        <f>IF(AND(Data!#REF!&lt;&gt;"",Data!#REF!="Accept&amp;#233;"),Data!#REF!,"")</f>
        <v>#REF!</v>
      </c>
      <c r="G281" s="63" t="e">
        <f>IF(Data!#REF!='Delivery Plan'!E281,Data!#REF!,"")</f>
        <v>#REF!</v>
      </c>
      <c r="H281" s="51"/>
      <c r="I281" s="60" t="e">
        <f t="shared" si="9"/>
        <v>#REF!</v>
      </c>
      <c r="J281" s="42" t="e">
        <f>IF(AND(E281=Data!#REF!,Data!#REF!&lt;&gt;""),Data!#REF!,"")</f>
        <v>#REF!</v>
      </c>
      <c r="K281" s="64" t="e">
        <f>IF(AND(E281=Data!#REF!,Data!#REF!&lt;&gt;""),Data!#REF!,"")</f>
        <v>#REF!</v>
      </c>
      <c r="L281" s="65" t="e">
        <f>IF(E281=Data!#REF!,Data!#REF!,"")</f>
        <v>#REF!</v>
      </c>
      <c r="M281" s="65" t="e">
        <f>IF(E281=Data!#REF!,Data!#REF!,"")</f>
        <v>#REF!</v>
      </c>
      <c r="N281" s="66" t="e">
        <f>IF(AND(Data!#REF!&lt;&gt;"",Data!#REF!="Accept&amp;#233;"),Data!#REF!,"")</f>
        <v>#REF!</v>
      </c>
    </row>
    <row r="282" spans="1:14" ht="19.5" hidden="1" customHeight="1" x14ac:dyDescent="0.3">
      <c r="A282" s="59" t="e">
        <f>IF(AND(Data!#REF!&lt;&gt;"",Data!#REF!="Accept&amp;#233;"),Data!#REF!,"")</f>
        <v>#REF!</v>
      </c>
      <c r="B282" s="59" t="e">
        <f>IF(AND(Data!#REF!&lt;&gt;"",Data!#REF!="Accept&amp;#233;"),Data!#REF!,"")</f>
        <v>#REF!</v>
      </c>
      <c r="C282" s="60" t="e">
        <f t="shared" si="8"/>
        <v>#REF!</v>
      </c>
      <c r="D282" s="42" t="e">
        <f>IF(AND(Data!#REF!&lt;&gt;"",Data!#REF!="Accept&amp;#233;"),Data!#REF!,"")</f>
        <v>#REF!</v>
      </c>
      <c r="E282" s="61" t="e">
        <f>IF(AND(Data!#REF!&lt;&gt;"",Data!#REF!="Accept&amp;#233;"),Data!#REF!,"")</f>
        <v>#REF!</v>
      </c>
      <c r="F282" s="62" t="e">
        <f>IF(AND(Data!#REF!&lt;&gt;"",Data!#REF!="Accept&amp;#233;"),Data!#REF!,"")</f>
        <v>#REF!</v>
      </c>
      <c r="G282" s="63" t="e">
        <f>IF(Data!#REF!='Delivery Plan'!E282,Data!#REF!,"")</f>
        <v>#REF!</v>
      </c>
      <c r="H282" s="51"/>
      <c r="I282" s="60" t="e">
        <f t="shared" si="9"/>
        <v>#REF!</v>
      </c>
      <c r="J282" s="42" t="e">
        <f>IF(AND(E282=Data!#REF!,Data!#REF!&lt;&gt;""),Data!#REF!,"")</f>
        <v>#REF!</v>
      </c>
      <c r="K282" s="64" t="e">
        <f>IF(AND(E282=Data!#REF!,Data!#REF!&lt;&gt;""),Data!#REF!,"")</f>
        <v>#REF!</v>
      </c>
      <c r="L282" s="65" t="e">
        <f>IF(E282=Data!#REF!,Data!#REF!,"")</f>
        <v>#REF!</v>
      </c>
      <c r="M282" s="65" t="e">
        <f>IF(E282=Data!#REF!,Data!#REF!,"")</f>
        <v>#REF!</v>
      </c>
      <c r="N282" s="66" t="e">
        <f>IF(AND(Data!#REF!&lt;&gt;"",Data!#REF!="Accept&amp;#233;"),Data!#REF!,"")</f>
        <v>#REF!</v>
      </c>
    </row>
    <row r="283" spans="1:14" ht="19.5" hidden="1" customHeight="1" x14ac:dyDescent="0.3">
      <c r="A283" s="59" t="e">
        <f>IF(AND(Data!#REF!&lt;&gt;"",Data!#REF!="Accept&amp;#233;"),Data!#REF!,"")</f>
        <v>#REF!</v>
      </c>
      <c r="B283" s="59" t="e">
        <f>IF(AND(Data!#REF!&lt;&gt;"",Data!#REF!="Accept&amp;#233;"),Data!#REF!,"")</f>
        <v>#REF!</v>
      </c>
      <c r="C283" s="60" t="e">
        <f t="shared" si="8"/>
        <v>#REF!</v>
      </c>
      <c r="D283" s="42" t="e">
        <f>IF(AND(Data!#REF!&lt;&gt;"",Data!#REF!="Accept&amp;#233;"),Data!#REF!,"")</f>
        <v>#REF!</v>
      </c>
      <c r="E283" s="61" t="e">
        <f>IF(AND(Data!#REF!&lt;&gt;"",Data!#REF!="Accept&amp;#233;"),Data!#REF!,"")</f>
        <v>#REF!</v>
      </c>
      <c r="F283" s="62" t="e">
        <f>IF(AND(Data!#REF!&lt;&gt;"",Data!#REF!="Accept&amp;#233;"),Data!#REF!,"")</f>
        <v>#REF!</v>
      </c>
      <c r="G283" s="63" t="e">
        <f>IF(Data!#REF!='Delivery Plan'!E283,Data!#REF!,"")</f>
        <v>#REF!</v>
      </c>
      <c r="H283" s="51"/>
      <c r="I283" s="60" t="e">
        <f t="shared" si="9"/>
        <v>#REF!</v>
      </c>
      <c r="J283" s="42" t="e">
        <f>IF(AND(E283=Data!#REF!,Data!#REF!&lt;&gt;""),Data!#REF!,"")</f>
        <v>#REF!</v>
      </c>
      <c r="K283" s="64" t="e">
        <f>IF(AND(E283=Data!#REF!,Data!#REF!&lt;&gt;""),Data!#REF!,"")</f>
        <v>#REF!</v>
      </c>
      <c r="L283" s="65" t="e">
        <f>IF(E283=Data!#REF!,Data!#REF!,"")</f>
        <v>#REF!</v>
      </c>
      <c r="M283" s="65" t="e">
        <f>IF(E283=Data!#REF!,Data!#REF!,"")</f>
        <v>#REF!</v>
      </c>
      <c r="N283" s="66" t="e">
        <f>IF(AND(Data!#REF!&lt;&gt;"",Data!#REF!="Accept&amp;#233;"),Data!#REF!,"")</f>
        <v>#REF!</v>
      </c>
    </row>
    <row r="284" spans="1:14" ht="19.5" hidden="1" customHeight="1" x14ac:dyDescent="0.3">
      <c r="A284" s="59" t="e">
        <f>IF(AND(Data!#REF!&lt;&gt;"",Data!#REF!="Accept&amp;#233;"),Data!#REF!,"")</f>
        <v>#REF!</v>
      </c>
      <c r="B284" s="59" t="e">
        <f>IF(AND(Data!#REF!&lt;&gt;"",Data!#REF!="Accept&amp;#233;"),Data!#REF!,"")</f>
        <v>#REF!</v>
      </c>
      <c r="C284" s="60" t="e">
        <f t="shared" si="8"/>
        <v>#REF!</v>
      </c>
      <c r="D284" s="42" t="e">
        <f>IF(AND(Data!#REF!&lt;&gt;"",Data!#REF!="Accept&amp;#233;"),Data!#REF!,"")</f>
        <v>#REF!</v>
      </c>
      <c r="E284" s="61" t="e">
        <f>IF(AND(Data!#REF!&lt;&gt;"",Data!#REF!="Accept&amp;#233;"),Data!#REF!,"")</f>
        <v>#REF!</v>
      </c>
      <c r="F284" s="62" t="e">
        <f>IF(AND(Data!#REF!&lt;&gt;"",Data!#REF!="Accept&amp;#233;"),Data!#REF!,"")</f>
        <v>#REF!</v>
      </c>
      <c r="G284" s="63" t="e">
        <f>IF(Data!#REF!='Delivery Plan'!E284,Data!#REF!,"")</f>
        <v>#REF!</v>
      </c>
      <c r="H284" s="51"/>
      <c r="I284" s="60" t="e">
        <f t="shared" si="9"/>
        <v>#REF!</v>
      </c>
      <c r="J284" s="42" t="e">
        <f>IF(AND(E284=Data!#REF!,Data!#REF!&lt;&gt;""),Data!#REF!,"")</f>
        <v>#REF!</v>
      </c>
      <c r="K284" s="64" t="e">
        <f>IF(AND(E284=Data!#REF!,Data!#REF!&lt;&gt;""),Data!#REF!,"")</f>
        <v>#REF!</v>
      </c>
      <c r="L284" s="65" t="e">
        <f>IF(E284=Data!#REF!,Data!#REF!,"")</f>
        <v>#REF!</v>
      </c>
      <c r="M284" s="65" t="e">
        <f>IF(E284=Data!#REF!,Data!#REF!,"")</f>
        <v>#REF!</v>
      </c>
      <c r="N284" s="66" t="e">
        <f>IF(AND(Data!#REF!&lt;&gt;"",Data!#REF!="Accept&amp;#233;"),Data!#REF!,"")</f>
        <v>#REF!</v>
      </c>
    </row>
    <row r="285" spans="1:14" ht="19.5" hidden="1" customHeight="1" x14ac:dyDescent="0.3">
      <c r="A285" s="59" t="e">
        <f>IF(AND(Data!#REF!&lt;&gt;"",Data!#REF!="Accept&amp;#233;"),Data!#REF!,"")</f>
        <v>#REF!</v>
      </c>
      <c r="B285" s="59" t="e">
        <f>IF(AND(Data!#REF!&lt;&gt;"",Data!#REF!="Accept&amp;#233;"),Data!#REF!,"")</f>
        <v>#REF!</v>
      </c>
      <c r="C285" s="60" t="e">
        <f t="shared" si="8"/>
        <v>#REF!</v>
      </c>
      <c r="D285" s="42" t="e">
        <f>IF(AND(Data!#REF!&lt;&gt;"",Data!#REF!="Accept&amp;#233;"),Data!#REF!,"")</f>
        <v>#REF!</v>
      </c>
      <c r="E285" s="61" t="e">
        <f>IF(AND(Data!#REF!&lt;&gt;"",Data!#REF!="Accept&amp;#233;"),Data!#REF!,"")</f>
        <v>#REF!</v>
      </c>
      <c r="F285" s="62" t="e">
        <f>IF(AND(Data!#REF!&lt;&gt;"",Data!#REF!="Accept&amp;#233;"),Data!#REF!,"")</f>
        <v>#REF!</v>
      </c>
      <c r="G285" s="63" t="e">
        <f>IF(Data!#REF!='Delivery Plan'!E285,Data!#REF!,"")</f>
        <v>#REF!</v>
      </c>
      <c r="H285" s="51"/>
      <c r="I285" s="60" t="e">
        <f t="shared" si="9"/>
        <v>#REF!</v>
      </c>
      <c r="J285" s="42" t="e">
        <f>IF(AND(E285=Data!#REF!,Data!#REF!&lt;&gt;""),Data!#REF!,"")</f>
        <v>#REF!</v>
      </c>
      <c r="K285" s="64" t="e">
        <f>IF(AND(E285=Data!#REF!,Data!#REF!&lt;&gt;""),Data!#REF!,"")</f>
        <v>#REF!</v>
      </c>
      <c r="L285" s="65" t="e">
        <f>IF(E285=Data!#REF!,Data!#REF!,"")</f>
        <v>#REF!</v>
      </c>
      <c r="M285" s="65" t="e">
        <f>IF(E285=Data!#REF!,Data!#REF!,"")</f>
        <v>#REF!</v>
      </c>
      <c r="N285" s="66" t="e">
        <f>IF(AND(Data!#REF!&lt;&gt;"",Data!#REF!="Accept&amp;#233;"),Data!#REF!,"")</f>
        <v>#REF!</v>
      </c>
    </row>
    <row r="286" spans="1:14" ht="19.5" hidden="1" customHeight="1" x14ac:dyDescent="0.3">
      <c r="A286" s="59" t="e">
        <f>IF(AND(Data!#REF!&lt;&gt;"",Data!#REF!="Accept&amp;#233;"),Data!#REF!,"")</f>
        <v>#REF!</v>
      </c>
      <c r="B286" s="59" t="e">
        <f>IF(AND(Data!#REF!&lt;&gt;"",Data!#REF!="Accept&amp;#233;"),Data!#REF!,"")</f>
        <v>#REF!</v>
      </c>
      <c r="C286" s="60" t="e">
        <f t="shared" si="8"/>
        <v>#REF!</v>
      </c>
      <c r="D286" s="42" t="e">
        <f>IF(AND(Data!#REF!&lt;&gt;"",Data!#REF!="Accept&amp;#233;"),Data!#REF!,"")</f>
        <v>#REF!</v>
      </c>
      <c r="E286" s="61" t="e">
        <f>IF(AND(Data!#REF!&lt;&gt;"",Data!#REF!="Accept&amp;#233;"),Data!#REF!,"")</f>
        <v>#REF!</v>
      </c>
      <c r="F286" s="62" t="e">
        <f>IF(AND(Data!#REF!&lt;&gt;"",Data!#REF!="Accept&amp;#233;"),Data!#REF!,"")</f>
        <v>#REF!</v>
      </c>
      <c r="G286" s="63" t="e">
        <f>IF(Data!#REF!='Delivery Plan'!E286,Data!#REF!,"")</f>
        <v>#REF!</v>
      </c>
      <c r="H286" s="51"/>
      <c r="I286" s="60" t="e">
        <f t="shared" si="9"/>
        <v>#REF!</v>
      </c>
      <c r="J286" s="42" t="e">
        <f>IF(AND(E286=Data!#REF!,Data!#REF!&lt;&gt;""),Data!#REF!,"")</f>
        <v>#REF!</v>
      </c>
      <c r="K286" s="64" t="e">
        <f>IF(AND(E286=Data!#REF!,Data!#REF!&lt;&gt;""),Data!#REF!,"")</f>
        <v>#REF!</v>
      </c>
      <c r="L286" s="65" t="e">
        <f>IF(E286=Data!#REF!,Data!#REF!,"")</f>
        <v>#REF!</v>
      </c>
      <c r="M286" s="65" t="e">
        <f>IF(E286=Data!#REF!,Data!#REF!,"")</f>
        <v>#REF!</v>
      </c>
      <c r="N286" s="66" t="e">
        <f>IF(AND(Data!#REF!&lt;&gt;"",Data!#REF!="Accept&amp;#233;"),Data!#REF!,"")</f>
        <v>#REF!</v>
      </c>
    </row>
    <row r="287" spans="1:14" ht="19.5" hidden="1" customHeight="1" x14ac:dyDescent="0.3">
      <c r="A287" s="59" t="e">
        <f>IF(AND(Data!#REF!&lt;&gt;"",Data!#REF!="Accept&amp;#233;"),Data!#REF!,"")</f>
        <v>#REF!</v>
      </c>
      <c r="B287" s="59" t="e">
        <f>IF(AND(Data!#REF!&lt;&gt;"",Data!#REF!="Accept&amp;#233;"),Data!#REF!,"")</f>
        <v>#REF!</v>
      </c>
      <c r="C287" s="60" t="e">
        <f t="shared" si="8"/>
        <v>#REF!</v>
      </c>
      <c r="D287" s="42" t="e">
        <f>IF(AND(Data!#REF!&lt;&gt;"",Data!#REF!="Accept&amp;#233;"),Data!#REF!,"")</f>
        <v>#REF!</v>
      </c>
      <c r="E287" s="61" t="e">
        <f>IF(AND(Data!#REF!&lt;&gt;"",Data!#REF!="Accept&amp;#233;"),Data!#REF!,"")</f>
        <v>#REF!</v>
      </c>
      <c r="F287" s="62" t="e">
        <f>IF(AND(Data!#REF!&lt;&gt;"",Data!#REF!="Accept&amp;#233;"),Data!#REF!,"")</f>
        <v>#REF!</v>
      </c>
      <c r="G287" s="63" t="e">
        <f>IF(Data!#REF!='Delivery Plan'!E287,Data!#REF!,"")</f>
        <v>#REF!</v>
      </c>
      <c r="H287" s="51"/>
      <c r="I287" s="60" t="e">
        <f t="shared" si="9"/>
        <v>#REF!</v>
      </c>
      <c r="J287" s="42" t="e">
        <f>IF(AND(E287=Data!#REF!,Data!#REF!&lt;&gt;""),Data!#REF!,"")</f>
        <v>#REF!</v>
      </c>
      <c r="K287" s="64" t="e">
        <f>IF(AND(E287=Data!#REF!,Data!#REF!&lt;&gt;""),Data!#REF!,"")</f>
        <v>#REF!</v>
      </c>
      <c r="L287" s="65" t="e">
        <f>IF(E287=Data!#REF!,Data!#REF!,"")</f>
        <v>#REF!</v>
      </c>
      <c r="M287" s="65" t="e">
        <f>IF(E287=Data!#REF!,Data!#REF!,"")</f>
        <v>#REF!</v>
      </c>
      <c r="N287" s="66" t="e">
        <f>IF(AND(Data!#REF!&lt;&gt;"",Data!#REF!="Accept&amp;#233;"),Data!#REF!,"")</f>
        <v>#REF!</v>
      </c>
    </row>
    <row r="288" spans="1:14" ht="19.5" hidden="1" customHeight="1" x14ac:dyDescent="0.3">
      <c r="A288" s="59" t="e">
        <f>IF(AND(Data!#REF!&lt;&gt;"",Data!#REF!="Accept&amp;#233;"),Data!#REF!,"")</f>
        <v>#REF!</v>
      </c>
      <c r="B288" s="59" t="e">
        <f>IF(AND(Data!#REF!&lt;&gt;"",Data!#REF!="Accept&amp;#233;"),Data!#REF!,"")</f>
        <v>#REF!</v>
      </c>
      <c r="C288" s="60" t="e">
        <f t="shared" si="8"/>
        <v>#REF!</v>
      </c>
      <c r="D288" s="42" t="e">
        <f>IF(AND(Data!#REF!&lt;&gt;"",Data!#REF!="Accept&amp;#233;"),Data!#REF!,"")</f>
        <v>#REF!</v>
      </c>
      <c r="E288" s="61" t="e">
        <f>IF(AND(Data!#REF!&lt;&gt;"",Data!#REF!="Accept&amp;#233;"),Data!#REF!,"")</f>
        <v>#REF!</v>
      </c>
      <c r="F288" s="62" t="e">
        <f>IF(AND(Data!#REF!&lt;&gt;"",Data!#REF!="Accept&amp;#233;"),Data!#REF!,"")</f>
        <v>#REF!</v>
      </c>
      <c r="G288" s="63" t="e">
        <f>IF(Data!#REF!='Delivery Plan'!E288,Data!#REF!,"")</f>
        <v>#REF!</v>
      </c>
      <c r="H288" s="51"/>
      <c r="I288" s="60" t="e">
        <f t="shared" si="9"/>
        <v>#REF!</v>
      </c>
      <c r="J288" s="42" t="e">
        <f>IF(AND(E288=Data!#REF!,Data!#REF!&lt;&gt;""),Data!#REF!,"")</f>
        <v>#REF!</v>
      </c>
      <c r="K288" s="64" t="e">
        <f>IF(AND(E288=Data!#REF!,Data!#REF!&lt;&gt;""),Data!#REF!,"")</f>
        <v>#REF!</v>
      </c>
      <c r="L288" s="65" t="e">
        <f>IF(E288=Data!#REF!,Data!#REF!,"")</f>
        <v>#REF!</v>
      </c>
      <c r="M288" s="65" t="e">
        <f>IF(E288=Data!#REF!,Data!#REF!,"")</f>
        <v>#REF!</v>
      </c>
      <c r="N288" s="66" t="e">
        <f>IF(AND(Data!#REF!&lt;&gt;"",Data!#REF!="Accept&amp;#233;"),Data!#REF!,"")</f>
        <v>#REF!</v>
      </c>
    </row>
    <row r="289" spans="1:14" ht="19.5" hidden="1" customHeight="1" x14ac:dyDescent="0.3">
      <c r="A289" s="59" t="e">
        <f>IF(AND(Data!#REF!&lt;&gt;"",Data!#REF!="Accept&amp;#233;"),Data!#REF!,"")</f>
        <v>#REF!</v>
      </c>
      <c r="B289" s="59" t="e">
        <f>IF(AND(Data!#REF!&lt;&gt;"",Data!#REF!="Accept&amp;#233;"),Data!#REF!,"")</f>
        <v>#REF!</v>
      </c>
      <c r="C289" s="60" t="e">
        <f t="shared" si="8"/>
        <v>#REF!</v>
      </c>
      <c r="D289" s="42" t="e">
        <f>IF(AND(Data!#REF!&lt;&gt;"",Data!#REF!="Accept&amp;#233;"),Data!#REF!,"")</f>
        <v>#REF!</v>
      </c>
      <c r="E289" s="61" t="e">
        <f>IF(AND(Data!#REF!&lt;&gt;"",Data!#REF!="Accept&amp;#233;"),Data!#REF!,"")</f>
        <v>#REF!</v>
      </c>
      <c r="F289" s="62" t="e">
        <f>IF(AND(Data!#REF!&lt;&gt;"",Data!#REF!="Accept&amp;#233;"),Data!#REF!,"")</f>
        <v>#REF!</v>
      </c>
      <c r="G289" s="63" t="e">
        <f>IF(Data!#REF!='Delivery Plan'!E289,Data!#REF!,"")</f>
        <v>#REF!</v>
      </c>
      <c r="H289" s="51"/>
      <c r="I289" s="60" t="e">
        <f t="shared" si="9"/>
        <v>#REF!</v>
      </c>
      <c r="J289" s="42" t="e">
        <f>IF(AND(E289=Data!#REF!,Data!#REF!&lt;&gt;""),Data!#REF!,"")</f>
        <v>#REF!</v>
      </c>
      <c r="K289" s="64" t="e">
        <f>IF(AND(E289=Data!#REF!,Data!#REF!&lt;&gt;""),Data!#REF!,"")</f>
        <v>#REF!</v>
      </c>
      <c r="L289" s="65" t="e">
        <f>IF(E289=Data!#REF!,Data!#REF!,"")</f>
        <v>#REF!</v>
      </c>
      <c r="M289" s="65" t="e">
        <f>IF(E289=Data!#REF!,Data!#REF!,"")</f>
        <v>#REF!</v>
      </c>
      <c r="N289" s="66" t="e">
        <f>IF(AND(Data!#REF!&lt;&gt;"",Data!#REF!="Accept&amp;#233;"),Data!#REF!,"")</f>
        <v>#REF!</v>
      </c>
    </row>
    <row r="290" spans="1:14" ht="19.5" hidden="1" customHeight="1" x14ac:dyDescent="0.3">
      <c r="A290" s="59" t="e">
        <f>IF(AND(Data!#REF!&lt;&gt;"",Data!#REF!="Accept&amp;#233;"),Data!#REF!,"")</f>
        <v>#REF!</v>
      </c>
      <c r="B290" s="59" t="e">
        <f>IF(AND(Data!#REF!&lt;&gt;"",Data!#REF!="Accept&amp;#233;"),Data!#REF!,"")</f>
        <v>#REF!</v>
      </c>
      <c r="C290" s="60" t="e">
        <f t="shared" si="8"/>
        <v>#REF!</v>
      </c>
      <c r="D290" s="42" t="e">
        <f>IF(AND(Data!#REF!&lt;&gt;"",Data!#REF!="Accept&amp;#233;"),Data!#REF!,"")</f>
        <v>#REF!</v>
      </c>
      <c r="E290" s="61" t="e">
        <f>IF(AND(Data!#REF!&lt;&gt;"",Data!#REF!="Accept&amp;#233;"),Data!#REF!,"")</f>
        <v>#REF!</v>
      </c>
      <c r="F290" s="62" t="e">
        <f>IF(AND(Data!#REF!&lt;&gt;"",Data!#REF!="Accept&amp;#233;"),Data!#REF!,"")</f>
        <v>#REF!</v>
      </c>
      <c r="G290" s="63" t="e">
        <f>IF(Data!#REF!='Delivery Plan'!E290,Data!#REF!,"")</f>
        <v>#REF!</v>
      </c>
      <c r="H290" s="51"/>
      <c r="I290" s="60" t="e">
        <f t="shared" si="9"/>
        <v>#REF!</v>
      </c>
      <c r="J290" s="42" t="e">
        <f>IF(AND(E290=Data!#REF!,Data!#REF!&lt;&gt;""),Data!#REF!,"")</f>
        <v>#REF!</v>
      </c>
      <c r="K290" s="64" t="e">
        <f>IF(AND(E290=Data!#REF!,Data!#REF!&lt;&gt;""),Data!#REF!,"")</f>
        <v>#REF!</v>
      </c>
      <c r="L290" s="65" t="e">
        <f>IF(E290=Data!#REF!,Data!#REF!,"")</f>
        <v>#REF!</v>
      </c>
      <c r="M290" s="65" t="e">
        <f>IF(E290=Data!#REF!,Data!#REF!,"")</f>
        <v>#REF!</v>
      </c>
      <c r="N290" s="66" t="e">
        <f>IF(AND(Data!#REF!&lt;&gt;"",Data!#REF!="Accept&amp;#233;"),Data!#REF!,"")</f>
        <v>#REF!</v>
      </c>
    </row>
    <row r="291" spans="1:14" ht="19.5" hidden="1" customHeight="1" x14ac:dyDescent="0.3">
      <c r="A291" s="59" t="e">
        <f>IF(AND(Data!#REF!&lt;&gt;"",Data!#REF!="Accept&amp;#233;"),Data!#REF!,"")</f>
        <v>#REF!</v>
      </c>
      <c r="B291" s="59" t="e">
        <f>IF(AND(Data!#REF!&lt;&gt;"",Data!#REF!="Accept&amp;#233;"),Data!#REF!,"")</f>
        <v>#REF!</v>
      </c>
      <c r="C291" s="60" t="e">
        <f t="shared" si="8"/>
        <v>#REF!</v>
      </c>
      <c r="D291" s="42" t="e">
        <f>IF(AND(Data!#REF!&lt;&gt;"",Data!#REF!="Accept&amp;#233;"),Data!#REF!,"")</f>
        <v>#REF!</v>
      </c>
      <c r="E291" s="61" t="e">
        <f>IF(AND(Data!#REF!&lt;&gt;"",Data!#REF!="Accept&amp;#233;"),Data!#REF!,"")</f>
        <v>#REF!</v>
      </c>
      <c r="F291" s="62" t="e">
        <f>IF(AND(Data!#REF!&lt;&gt;"",Data!#REF!="Accept&amp;#233;"),Data!#REF!,"")</f>
        <v>#REF!</v>
      </c>
      <c r="G291" s="63" t="e">
        <f>IF(Data!#REF!='Delivery Plan'!E291,Data!#REF!,"")</f>
        <v>#REF!</v>
      </c>
      <c r="H291" s="51"/>
      <c r="I291" s="60" t="e">
        <f t="shared" si="9"/>
        <v>#REF!</v>
      </c>
      <c r="J291" s="42" t="e">
        <f>IF(AND(E291=Data!#REF!,Data!#REF!&lt;&gt;""),Data!#REF!,"")</f>
        <v>#REF!</v>
      </c>
      <c r="K291" s="64" t="e">
        <f>IF(AND(E291=Data!#REF!,Data!#REF!&lt;&gt;""),Data!#REF!,"")</f>
        <v>#REF!</v>
      </c>
      <c r="L291" s="65" t="e">
        <f>IF(E291=Data!#REF!,Data!#REF!,"")</f>
        <v>#REF!</v>
      </c>
      <c r="M291" s="65" t="e">
        <f>IF(E291=Data!#REF!,Data!#REF!,"")</f>
        <v>#REF!</v>
      </c>
      <c r="N291" s="66" t="e">
        <f>IF(AND(Data!#REF!&lt;&gt;"",Data!#REF!="Accept&amp;#233;"),Data!#REF!,"")</f>
        <v>#REF!</v>
      </c>
    </row>
    <row r="292" spans="1:14" ht="19.5" hidden="1" customHeight="1" x14ac:dyDescent="0.3">
      <c r="A292" s="59" t="e">
        <f>IF(AND(Data!#REF!&lt;&gt;"",Data!#REF!="Accept&amp;#233;"),Data!#REF!,"")</f>
        <v>#REF!</v>
      </c>
      <c r="B292" s="59" t="e">
        <f>IF(AND(Data!#REF!&lt;&gt;"",Data!#REF!="Accept&amp;#233;"),Data!#REF!,"")</f>
        <v>#REF!</v>
      </c>
      <c r="C292" s="60" t="e">
        <f t="shared" si="8"/>
        <v>#REF!</v>
      </c>
      <c r="D292" s="42" t="e">
        <f>IF(AND(Data!#REF!&lt;&gt;"",Data!#REF!="Accept&amp;#233;"),Data!#REF!,"")</f>
        <v>#REF!</v>
      </c>
      <c r="E292" s="61" t="e">
        <f>IF(AND(Data!#REF!&lt;&gt;"",Data!#REF!="Accept&amp;#233;"),Data!#REF!,"")</f>
        <v>#REF!</v>
      </c>
      <c r="F292" s="62" t="e">
        <f>IF(AND(Data!#REF!&lt;&gt;"",Data!#REF!="Accept&amp;#233;"),Data!#REF!,"")</f>
        <v>#REF!</v>
      </c>
      <c r="G292" s="63" t="e">
        <f>IF(Data!#REF!='Delivery Plan'!E292,Data!#REF!,"")</f>
        <v>#REF!</v>
      </c>
      <c r="H292" s="51"/>
      <c r="I292" s="60" t="e">
        <f t="shared" si="9"/>
        <v>#REF!</v>
      </c>
      <c r="J292" s="42" t="e">
        <f>IF(AND(E292=Data!#REF!,Data!#REF!&lt;&gt;""),Data!#REF!,"")</f>
        <v>#REF!</v>
      </c>
      <c r="K292" s="64" t="e">
        <f>IF(AND(E292=Data!#REF!,Data!#REF!&lt;&gt;""),Data!#REF!,"")</f>
        <v>#REF!</v>
      </c>
      <c r="L292" s="65" t="e">
        <f>IF(E292=Data!#REF!,Data!#REF!,"")</f>
        <v>#REF!</v>
      </c>
      <c r="M292" s="65" t="e">
        <f>IF(E292=Data!#REF!,Data!#REF!,"")</f>
        <v>#REF!</v>
      </c>
      <c r="N292" s="66" t="e">
        <f>IF(AND(Data!#REF!&lt;&gt;"",Data!#REF!="Accept&amp;#233;"),Data!#REF!,"")</f>
        <v>#REF!</v>
      </c>
    </row>
    <row r="293" spans="1:14" ht="19.5" hidden="1" customHeight="1" x14ac:dyDescent="0.3">
      <c r="A293" s="59" t="e">
        <f>IF(AND(Data!#REF!&lt;&gt;"",Data!#REF!="Accept&amp;#233;"),Data!#REF!,"")</f>
        <v>#REF!</v>
      </c>
      <c r="B293" s="59" t="e">
        <f>IF(AND(Data!#REF!&lt;&gt;"",Data!#REF!="Accept&amp;#233;"),Data!#REF!,"")</f>
        <v>#REF!</v>
      </c>
      <c r="C293" s="60" t="e">
        <f t="shared" si="8"/>
        <v>#REF!</v>
      </c>
      <c r="D293" s="42" t="e">
        <f>IF(AND(Data!#REF!&lt;&gt;"",Data!#REF!="Accept&amp;#233;"),Data!#REF!,"")</f>
        <v>#REF!</v>
      </c>
      <c r="E293" s="61" t="e">
        <f>IF(AND(Data!#REF!&lt;&gt;"",Data!#REF!="Accept&amp;#233;"),Data!#REF!,"")</f>
        <v>#REF!</v>
      </c>
      <c r="F293" s="62" t="e">
        <f>IF(AND(Data!#REF!&lt;&gt;"",Data!#REF!="Accept&amp;#233;"),Data!#REF!,"")</f>
        <v>#REF!</v>
      </c>
      <c r="G293" s="63" t="e">
        <f>IF(Data!#REF!='Delivery Plan'!E293,Data!#REF!,"")</f>
        <v>#REF!</v>
      </c>
      <c r="H293" s="51"/>
      <c r="I293" s="60" t="e">
        <f t="shared" si="9"/>
        <v>#REF!</v>
      </c>
      <c r="J293" s="42" t="e">
        <f>IF(AND(E293=Data!#REF!,Data!#REF!&lt;&gt;""),Data!#REF!,"")</f>
        <v>#REF!</v>
      </c>
      <c r="K293" s="64" t="e">
        <f>IF(AND(E293=Data!#REF!,Data!#REF!&lt;&gt;""),Data!#REF!,"")</f>
        <v>#REF!</v>
      </c>
      <c r="L293" s="65" t="e">
        <f>IF(E293=Data!#REF!,Data!#REF!,"")</f>
        <v>#REF!</v>
      </c>
      <c r="M293" s="65" t="e">
        <f>IF(E293=Data!#REF!,Data!#REF!,"")</f>
        <v>#REF!</v>
      </c>
      <c r="N293" s="66" t="e">
        <f>IF(AND(Data!#REF!&lt;&gt;"",Data!#REF!="Accept&amp;#233;"),Data!#REF!,"")</f>
        <v>#REF!</v>
      </c>
    </row>
    <row r="294" spans="1:14" ht="19.5" hidden="1" customHeight="1" x14ac:dyDescent="0.3">
      <c r="A294" s="59" t="e">
        <f>IF(AND(Data!#REF!&lt;&gt;"",Data!#REF!="Accept&amp;#233;"),Data!#REF!,"")</f>
        <v>#REF!</v>
      </c>
      <c r="B294" s="59" t="e">
        <f>IF(AND(Data!#REF!&lt;&gt;"",Data!#REF!="Accept&amp;#233;"),Data!#REF!,"")</f>
        <v>#REF!</v>
      </c>
      <c r="C294" s="60" t="e">
        <f t="shared" si="8"/>
        <v>#REF!</v>
      </c>
      <c r="D294" s="42" t="e">
        <f>IF(AND(Data!#REF!&lt;&gt;"",Data!#REF!="Accept&amp;#233;"),Data!#REF!,"")</f>
        <v>#REF!</v>
      </c>
      <c r="E294" s="61" t="e">
        <f>IF(AND(Data!#REF!&lt;&gt;"",Data!#REF!="Accept&amp;#233;"),Data!#REF!,"")</f>
        <v>#REF!</v>
      </c>
      <c r="F294" s="62" t="e">
        <f>IF(AND(Data!#REF!&lt;&gt;"",Data!#REF!="Accept&amp;#233;"),Data!#REF!,"")</f>
        <v>#REF!</v>
      </c>
      <c r="G294" s="63" t="e">
        <f>IF(Data!#REF!='Delivery Plan'!E294,Data!#REF!,"")</f>
        <v>#REF!</v>
      </c>
      <c r="H294" s="51"/>
      <c r="I294" s="60" t="e">
        <f t="shared" si="9"/>
        <v>#REF!</v>
      </c>
      <c r="J294" s="42" t="e">
        <f>IF(AND(E294=Data!#REF!,Data!#REF!&lt;&gt;""),Data!#REF!,"")</f>
        <v>#REF!</v>
      </c>
      <c r="K294" s="64" t="e">
        <f>IF(AND(E294=Data!#REF!,Data!#REF!&lt;&gt;""),Data!#REF!,"")</f>
        <v>#REF!</v>
      </c>
      <c r="L294" s="65" t="e">
        <f>IF(E294=Data!#REF!,Data!#REF!,"")</f>
        <v>#REF!</v>
      </c>
      <c r="M294" s="65" t="e">
        <f>IF(E294=Data!#REF!,Data!#REF!,"")</f>
        <v>#REF!</v>
      </c>
      <c r="N294" s="66" t="e">
        <f>IF(AND(Data!#REF!&lt;&gt;"",Data!#REF!="Accept&amp;#233;"),Data!#REF!,"")</f>
        <v>#REF!</v>
      </c>
    </row>
    <row r="295" spans="1:14" ht="19.5" hidden="1" customHeight="1" x14ac:dyDescent="0.3">
      <c r="A295" s="59" t="e">
        <f>IF(AND(Data!#REF!&lt;&gt;"",Data!#REF!="Accept&amp;#233;"),Data!#REF!,"")</f>
        <v>#REF!</v>
      </c>
      <c r="B295" s="59" t="e">
        <f>IF(AND(Data!#REF!&lt;&gt;"",Data!#REF!="Accept&amp;#233;"),Data!#REF!,"")</f>
        <v>#REF!</v>
      </c>
      <c r="C295" s="60" t="e">
        <f t="shared" si="8"/>
        <v>#REF!</v>
      </c>
      <c r="D295" s="42" t="e">
        <f>IF(AND(Data!#REF!&lt;&gt;"",Data!#REF!="Accept&amp;#233;"),Data!#REF!,"")</f>
        <v>#REF!</v>
      </c>
      <c r="E295" s="61" t="e">
        <f>IF(AND(Data!#REF!&lt;&gt;"",Data!#REF!="Accept&amp;#233;"),Data!#REF!,"")</f>
        <v>#REF!</v>
      </c>
      <c r="F295" s="62" t="e">
        <f>IF(AND(Data!#REF!&lt;&gt;"",Data!#REF!="Accept&amp;#233;"),Data!#REF!,"")</f>
        <v>#REF!</v>
      </c>
      <c r="G295" s="63" t="e">
        <f>IF(Data!#REF!='Delivery Plan'!E295,Data!#REF!,"")</f>
        <v>#REF!</v>
      </c>
      <c r="H295" s="51"/>
      <c r="I295" s="60" t="e">
        <f t="shared" si="9"/>
        <v>#REF!</v>
      </c>
      <c r="J295" s="42" t="e">
        <f>IF(AND(E295=Data!#REF!,Data!#REF!&lt;&gt;""),Data!#REF!,"")</f>
        <v>#REF!</v>
      </c>
      <c r="K295" s="64" t="e">
        <f>IF(AND(E295=Data!#REF!,Data!#REF!&lt;&gt;""),Data!#REF!,"")</f>
        <v>#REF!</v>
      </c>
      <c r="L295" s="65" t="e">
        <f>IF(E295=Data!#REF!,Data!#REF!,"")</f>
        <v>#REF!</v>
      </c>
      <c r="M295" s="65" t="e">
        <f>IF(E295=Data!#REF!,Data!#REF!,"")</f>
        <v>#REF!</v>
      </c>
      <c r="N295" s="66" t="e">
        <f>IF(AND(Data!#REF!&lt;&gt;"",Data!#REF!="Accept&amp;#233;"),Data!#REF!,"")</f>
        <v>#REF!</v>
      </c>
    </row>
    <row r="296" spans="1:14" ht="19.5" hidden="1" customHeight="1" x14ac:dyDescent="0.3">
      <c r="A296" s="59" t="e">
        <f>IF(AND(Data!#REF!&lt;&gt;"",Data!#REF!="Accept&amp;#233;"),Data!#REF!,"")</f>
        <v>#REF!</v>
      </c>
      <c r="B296" s="59" t="e">
        <f>IF(AND(Data!#REF!&lt;&gt;"",Data!#REF!="Accept&amp;#233;"),Data!#REF!,"")</f>
        <v>#REF!</v>
      </c>
      <c r="C296" s="60" t="e">
        <f t="shared" si="8"/>
        <v>#REF!</v>
      </c>
      <c r="D296" s="42" t="e">
        <f>IF(AND(Data!#REF!&lt;&gt;"",Data!#REF!="Accept&amp;#233;"),Data!#REF!,"")</f>
        <v>#REF!</v>
      </c>
      <c r="E296" s="61" t="e">
        <f>IF(AND(Data!#REF!&lt;&gt;"",Data!#REF!="Accept&amp;#233;"),Data!#REF!,"")</f>
        <v>#REF!</v>
      </c>
      <c r="F296" s="62" t="e">
        <f>IF(AND(Data!#REF!&lt;&gt;"",Data!#REF!="Accept&amp;#233;"),Data!#REF!,"")</f>
        <v>#REF!</v>
      </c>
      <c r="G296" s="63" t="e">
        <f>IF(Data!#REF!='Delivery Plan'!E296,Data!#REF!,"")</f>
        <v>#REF!</v>
      </c>
      <c r="H296" s="51"/>
      <c r="I296" s="60" t="e">
        <f t="shared" si="9"/>
        <v>#REF!</v>
      </c>
      <c r="J296" s="42" t="e">
        <f>IF(AND(E296=Data!#REF!,Data!#REF!&lt;&gt;""),Data!#REF!,"")</f>
        <v>#REF!</v>
      </c>
      <c r="K296" s="64" t="e">
        <f>IF(AND(E296=Data!#REF!,Data!#REF!&lt;&gt;""),Data!#REF!,"")</f>
        <v>#REF!</v>
      </c>
      <c r="L296" s="65" t="e">
        <f>IF(E296=Data!#REF!,Data!#REF!,"")</f>
        <v>#REF!</v>
      </c>
      <c r="M296" s="65" t="e">
        <f>IF(E296=Data!#REF!,Data!#REF!,"")</f>
        <v>#REF!</v>
      </c>
      <c r="N296" s="66" t="e">
        <f>IF(AND(Data!#REF!&lt;&gt;"",Data!#REF!="Accept&amp;#233;"),Data!#REF!,"")</f>
        <v>#REF!</v>
      </c>
    </row>
    <row r="297" spans="1:14" ht="19.5" hidden="1" customHeight="1" x14ac:dyDescent="0.3">
      <c r="A297" s="59" t="e">
        <f>IF(AND(Data!#REF!&lt;&gt;"",Data!#REF!="Accept&amp;#233;"),Data!#REF!,"")</f>
        <v>#REF!</v>
      </c>
      <c r="B297" s="59" t="e">
        <f>IF(AND(Data!#REF!&lt;&gt;"",Data!#REF!="Accept&amp;#233;"),Data!#REF!,"")</f>
        <v>#REF!</v>
      </c>
      <c r="C297" s="60" t="e">
        <f t="shared" si="8"/>
        <v>#REF!</v>
      </c>
      <c r="D297" s="42" t="e">
        <f>IF(AND(Data!#REF!&lt;&gt;"",Data!#REF!="Accept&amp;#233;"),Data!#REF!,"")</f>
        <v>#REF!</v>
      </c>
      <c r="E297" s="61" t="e">
        <f>IF(AND(Data!#REF!&lt;&gt;"",Data!#REF!="Accept&amp;#233;"),Data!#REF!,"")</f>
        <v>#REF!</v>
      </c>
      <c r="F297" s="62" t="e">
        <f>IF(AND(Data!#REF!&lt;&gt;"",Data!#REF!="Accept&amp;#233;"),Data!#REF!,"")</f>
        <v>#REF!</v>
      </c>
      <c r="G297" s="63" t="e">
        <f>IF(Data!#REF!='Delivery Plan'!E297,Data!#REF!,"")</f>
        <v>#REF!</v>
      </c>
      <c r="H297" s="51"/>
      <c r="I297" s="60" t="e">
        <f t="shared" si="9"/>
        <v>#REF!</v>
      </c>
      <c r="J297" s="42" t="e">
        <f>IF(AND(E297=Data!#REF!,Data!#REF!&lt;&gt;""),Data!#REF!,"")</f>
        <v>#REF!</v>
      </c>
      <c r="K297" s="64" t="e">
        <f>IF(AND(E297=Data!#REF!,Data!#REF!&lt;&gt;""),Data!#REF!,"")</f>
        <v>#REF!</v>
      </c>
      <c r="L297" s="65" t="e">
        <f>IF(E297=Data!#REF!,Data!#REF!,"")</f>
        <v>#REF!</v>
      </c>
      <c r="M297" s="65" t="e">
        <f>IF(E297=Data!#REF!,Data!#REF!,"")</f>
        <v>#REF!</v>
      </c>
      <c r="N297" s="66" t="e">
        <f>IF(AND(Data!#REF!&lt;&gt;"",Data!#REF!="Accept&amp;#233;"),Data!#REF!,"")</f>
        <v>#REF!</v>
      </c>
    </row>
    <row r="298" spans="1:14" ht="19.5" hidden="1" customHeight="1" x14ac:dyDescent="0.3">
      <c r="A298" s="59" t="e">
        <f>IF(AND(Data!#REF!&lt;&gt;"",Data!#REF!="Accept&amp;#233;"),Data!#REF!,"")</f>
        <v>#REF!</v>
      </c>
      <c r="B298" s="59" t="e">
        <f>IF(AND(Data!#REF!&lt;&gt;"",Data!#REF!="Accept&amp;#233;"),Data!#REF!,"")</f>
        <v>#REF!</v>
      </c>
      <c r="C298" s="60" t="e">
        <f t="shared" si="8"/>
        <v>#REF!</v>
      </c>
      <c r="D298" s="42" t="e">
        <f>IF(AND(Data!#REF!&lt;&gt;"",Data!#REF!="Accept&amp;#233;"),Data!#REF!,"")</f>
        <v>#REF!</v>
      </c>
      <c r="E298" s="61" t="e">
        <f>IF(AND(Data!#REF!&lt;&gt;"",Data!#REF!="Accept&amp;#233;"),Data!#REF!,"")</f>
        <v>#REF!</v>
      </c>
      <c r="F298" s="62" t="e">
        <f>IF(AND(Data!#REF!&lt;&gt;"",Data!#REF!="Accept&amp;#233;"),Data!#REF!,"")</f>
        <v>#REF!</v>
      </c>
      <c r="G298" s="63" t="e">
        <f>IF(Data!#REF!='Delivery Plan'!E298,Data!#REF!,"")</f>
        <v>#REF!</v>
      </c>
      <c r="H298" s="51"/>
      <c r="I298" s="60" t="e">
        <f t="shared" si="9"/>
        <v>#REF!</v>
      </c>
      <c r="J298" s="42" t="e">
        <f>IF(AND(E298=Data!#REF!,Data!#REF!&lt;&gt;""),Data!#REF!,"")</f>
        <v>#REF!</v>
      </c>
      <c r="K298" s="64" t="e">
        <f>IF(AND(E298=Data!#REF!,Data!#REF!&lt;&gt;""),Data!#REF!,"")</f>
        <v>#REF!</v>
      </c>
      <c r="L298" s="65" t="e">
        <f>IF(E298=Data!#REF!,Data!#REF!,"")</f>
        <v>#REF!</v>
      </c>
      <c r="M298" s="65" t="e">
        <f>IF(E298=Data!#REF!,Data!#REF!,"")</f>
        <v>#REF!</v>
      </c>
      <c r="N298" s="66" t="e">
        <f>IF(AND(Data!#REF!&lt;&gt;"",Data!#REF!="Accept&amp;#233;"),Data!#REF!,"")</f>
        <v>#REF!</v>
      </c>
    </row>
    <row r="299" spans="1:14" ht="19.5" hidden="1" customHeight="1" x14ac:dyDescent="0.3">
      <c r="A299" s="59" t="e">
        <f>IF(AND(Data!#REF!&lt;&gt;"",Data!#REF!="Accept&amp;#233;"),Data!#REF!,"")</f>
        <v>#REF!</v>
      </c>
      <c r="B299" s="59" t="e">
        <f>IF(AND(Data!#REF!&lt;&gt;"",Data!#REF!="Accept&amp;#233;"),Data!#REF!,"")</f>
        <v>#REF!</v>
      </c>
      <c r="C299" s="60" t="e">
        <f t="shared" si="8"/>
        <v>#REF!</v>
      </c>
      <c r="D299" s="42" t="e">
        <f>IF(AND(Data!#REF!&lt;&gt;"",Data!#REF!="Accept&amp;#233;"),Data!#REF!,"")</f>
        <v>#REF!</v>
      </c>
      <c r="E299" s="61" t="e">
        <f>IF(AND(Data!#REF!&lt;&gt;"",Data!#REF!="Accept&amp;#233;"),Data!#REF!,"")</f>
        <v>#REF!</v>
      </c>
      <c r="F299" s="62" t="e">
        <f>IF(AND(Data!#REF!&lt;&gt;"",Data!#REF!="Accept&amp;#233;"),Data!#REF!,"")</f>
        <v>#REF!</v>
      </c>
      <c r="G299" s="63" t="e">
        <f>IF(Data!#REF!='Delivery Plan'!E299,Data!#REF!,"")</f>
        <v>#REF!</v>
      </c>
      <c r="H299" s="51"/>
      <c r="I299" s="60" t="e">
        <f t="shared" si="9"/>
        <v>#REF!</v>
      </c>
      <c r="J299" s="42" t="e">
        <f>IF(AND(E299=Data!#REF!,Data!#REF!&lt;&gt;""),Data!#REF!,"")</f>
        <v>#REF!</v>
      </c>
      <c r="K299" s="64" t="e">
        <f>IF(AND(E299=Data!#REF!,Data!#REF!&lt;&gt;""),Data!#REF!,"")</f>
        <v>#REF!</v>
      </c>
      <c r="L299" s="65" t="e">
        <f>IF(E299=Data!#REF!,Data!#REF!,"")</f>
        <v>#REF!</v>
      </c>
      <c r="M299" s="65" t="e">
        <f>IF(E299=Data!#REF!,Data!#REF!,"")</f>
        <v>#REF!</v>
      </c>
      <c r="N299" s="66" t="e">
        <f>IF(AND(Data!#REF!&lt;&gt;"",Data!#REF!="Accept&amp;#233;"),Data!#REF!,"")</f>
        <v>#REF!</v>
      </c>
    </row>
    <row r="300" spans="1:14" ht="19.5" hidden="1" customHeight="1" x14ac:dyDescent="0.3">
      <c r="A300" s="59" t="e">
        <f>IF(AND(Data!#REF!&lt;&gt;"",Data!#REF!="Accept&amp;#233;"),Data!#REF!,"")</f>
        <v>#REF!</v>
      </c>
      <c r="B300" s="59" t="e">
        <f>IF(AND(Data!#REF!&lt;&gt;"",Data!#REF!="Accept&amp;#233;"),Data!#REF!,"")</f>
        <v>#REF!</v>
      </c>
      <c r="C300" s="60" t="e">
        <f t="shared" si="8"/>
        <v>#REF!</v>
      </c>
      <c r="D300" s="42" t="e">
        <f>IF(AND(Data!#REF!&lt;&gt;"",Data!#REF!="Accept&amp;#233;"),Data!#REF!,"")</f>
        <v>#REF!</v>
      </c>
      <c r="E300" s="61" t="e">
        <f>IF(AND(Data!#REF!&lt;&gt;"",Data!#REF!="Accept&amp;#233;"),Data!#REF!,"")</f>
        <v>#REF!</v>
      </c>
      <c r="F300" s="62" t="e">
        <f>IF(AND(Data!#REF!&lt;&gt;"",Data!#REF!="Accept&amp;#233;"),Data!#REF!,"")</f>
        <v>#REF!</v>
      </c>
      <c r="G300" s="63" t="e">
        <f>IF(Data!#REF!='Delivery Plan'!E300,Data!#REF!,"")</f>
        <v>#REF!</v>
      </c>
      <c r="H300" s="51"/>
      <c r="I300" s="60" t="e">
        <f t="shared" si="9"/>
        <v>#REF!</v>
      </c>
      <c r="J300" s="42" t="e">
        <f>IF(AND(E300=Data!#REF!,Data!#REF!&lt;&gt;""),Data!#REF!,"")</f>
        <v>#REF!</v>
      </c>
      <c r="K300" s="64" t="e">
        <f>IF(AND(E300=Data!#REF!,Data!#REF!&lt;&gt;""),Data!#REF!,"")</f>
        <v>#REF!</v>
      </c>
      <c r="L300" s="65" t="e">
        <f>IF(E300=Data!#REF!,Data!#REF!,"")</f>
        <v>#REF!</v>
      </c>
      <c r="M300" s="65" t="e">
        <f>IF(E300=Data!#REF!,Data!#REF!,"")</f>
        <v>#REF!</v>
      </c>
      <c r="N300" s="66" t="e">
        <f>IF(AND(Data!#REF!&lt;&gt;"",Data!#REF!="Accept&amp;#233;"),Data!#REF!,"")</f>
        <v>#REF!</v>
      </c>
    </row>
    <row r="301" spans="1:14" ht="19.5" hidden="1" customHeight="1" x14ac:dyDescent="0.3">
      <c r="A301" s="59" t="e">
        <f>IF(AND(Data!#REF!&lt;&gt;"",Data!#REF!="Accept&amp;#233;"),Data!#REF!,"")</f>
        <v>#REF!</v>
      </c>
      <c r="B301" s="59" t="e">
        <f>IF(AND(Data!#REF!&lt;&gt;"",Data!#REF!="Accept&amp;#233;"),Data!#REF!,"")</f>
        <v>#REF!</v>
      </c>
      <c r="C301" s="60" t="e">
        <f t="shared" si="8"/>
        <v>#REF!</v>
      </c>
      <c r="D301" s="42" t="e">
        <f>IF(AND(Data!#REF!&lt;&gt;"",Data!#REF!="Accept&amp;#233;"),Data!#REF!,"")</f>
        <v>#REF!</v>
      </c>
      <c r="E301" s="61" t="e">
        <f>IF(AND(Data!#REF!&lt;&gt;"",Data!#REF!="Accept&amp;#233;"),Data!#REF!,"")</f>
        <v>#REF!</v>
      </c>
      <c r="F301" s="62" t="e">
        <f>IF(AND(Data!#REF!&lt;&gt;"",Data!#REF!="Accept&amp;#233;"),Data!#REF!,"")</f>
        <v>#REF!</v>
      </c>
      <c r="G301" s="63" t="e">
        <f>IF(Data!#REF!='Delivery Plan'!E301,Data!#REF!,"")</f>
        <v>#REF!</v>
      </c>
      <c r="H301" s="51"/>
      <c r="I301" s="60" t="e">
        <f t="shared" si="9"/>
        <v>#REF!</v>
      </c>
      <c r="J301" s="42" t="e">
        <f>IF(AND(E301=Data!#REF!,Data!#REF!&lt;&gt;""),Data!#REF!,"")</f>
        <v>#REF!</v>
      </c>
      <c r="K301" s="64" t="e">
        <f>IF(AND(E301=Data!#REF!,Data!#REF!&lt;&gt;""),Data!#REF!,"")</f>
        <v>#REF!</v>
      </c>
      <c r="L301" s="65" t="e">
        <f>IF(E301=Data!#REF!,Data!#REF!,"")</f>
        <v>#REF!</v>
      </c>
      <c r="M301" s="65" t="e">
        <f>IF(E301=Data!#REF!,Data!#REF!,"")</f>
        <v>#REF!</v>
      </c>
      <c r="N301" s="66" t="e">
        <f>IF(AND(Data!#REF!&lt;&gt;"",Data!#REF!="Accept&amp;#233;"),Data!#REF!,"")</f>
        <v>#REF!</v>
      </c>
    </row>
    <row r="302" spans="1:14" ht="19.5" hidden="1" customHeight="1" x14ac:dyDescent="0.3">
      <c r="A302" s="59" t="e">
        <f>IF(AND(Data!#REF!&lt;&gt;"",Data!#REF!="Accept&amp;#233;"),Data!#REF!,"")</f>
        <v>#REF!</v>
      </c>
      <c r="B302" s="59" t="e">
        <f>IF(AND(Data!#REF!&lt;&gt;"",Data!#REF!="Accept&amp;#233;"),Data!#REF!,"")</f>
        <v>#REF!</v>
      </c>
      <c r="C302" s="60" t="e">
        <f t="shared" si="8"/>
        <v>#REF!</v>
      </c>
      <c r="D302" s="42" t="e">
        <f>IF(AND(Data!#REF!&lt;&gt;"",Data!#REF!="Accept&amp;#233;"),Data!#REF!,"")</f>
        <v>#REF!</v>
      </c>
      <c r="E302" s="61" t="e">
        <f>IF(AND(Data!#REF!&lt;&gt;"",Data!#REF!="Accept&amp;#233;"),Data!#REF!,"")</f>
        <v>#REF!</v>
      </c>
      <c r="F302" s="62" t="e">
        <f>IF(AND(Data!#REF!&lt;&gt;"",Data!#REF!="Accept&amp;#233;"),Data!#REF!,"")</f>
        <v>#REF!</v>
      </c>
      <c r="G302" s="63" t="e">
        <f>IF(Data!#REF!='Delivery Plan'!E302,Data!#REF!,"")</f>
        <v>#REF!</v>
      </c>
      <c r="H302" s="51"/>
      <c r="I302" s="60" t="e">
        <f t="shared" si="9"/>
        <v>#REF!</v>
      </c>
      <c r="J302" s="42" t="e">
        <f>IF(AND(E302=Data!#REF!,Data!#REF!&lt;&gt;""),Data!#REF!,"")</f>
        <v>#REF!</v>
      </c>
      <c r="K302" s="64" t="e">
        <f>IF(AND(E302=Data!#REF!,Data!#REF!&lt;&gt;""),Data!#REF!,"")</f>
        <v>#REF!</v>
      </c>
      <c r="L302" s="65" t="e">
        <f>IF(E302=Data!#REF!,Data!#REF!,"")</f>
        <v>#REF!</v>
      </c>
      <c r="M302" s="65" t="e">
        <f>IF(E302=Data!#REF!,Data!#REF!,"")</f>
        <v>#REF!</v>
      </c>
      <c r="N302" s="66" t="e">
        <f>IF(AND(Data!#REF!&lt;&gt;"",Data!#REF!="Accept&amp;#233;"),Data!#REF!,"")</f>
        <v>#REF!</v>
      </c>
    </row>
    <row r="303" spans="1:14" ht="19.5" hidden="1" customHeight="1" x14ac:dyDescent="0.3">
      <c r="A303" s="59" t="e">
        <f>IF(AND(Data!#REF!&lt;&gt;"",Data!#REF!="Accept&amp;#233;"),Data!#REF!,"")</f>
        <v>#REF!</v>
      </c>
      <c r="B303" s="59" t="e">
        <f>IF(AND(Data!#REF!&lt;&gt;"",Data!#REF!="Accept&amp;#233;"),Data!#REF!,"")</f>
        <v>#REF!</v>
      </c>
      <c r="C303" s="60" t="e">
        <f t="shared" si="8"/>
        <v>#REF!</v>
      </c>
      <c r="D303" s="42" t="e">
        <f>IF(AND(Data!#REF!&lt;&gt;"",Data!#REF!="Accept&amp;#233;"),Data!#REF!,"")</f>
        <v>#REF!</v>
      </c>
      <c r="E303" s="61" t="e">
        <f>IF(AND(Data!#REF!&lt;&gt;"",Data!#REF!="Accept&amp;#233;"),Data!#REF!,"")</f>
        <v>#REF!</v>
      </c>
      <c r="F303" s="62" t="e">
        <f>IF(AND(Data!#REF!&lt;&gt;"",Data!#REF!="Accept&amp;#233;"),Data!#REF!,"")</f>
        <v>#REF!</v>
      </c>
      <c r="G303" s="63" t="e">
        <f>IF(Data!#REF!='Delivery Plan'!E303,Data!#REF!,"")</f>
        <v>#REF!</v>
      </c>
      <c r="H303" s="51"/>
      <c r="I303" s="60" t="e">
        <f t="shared" si="9"/>
        <v>#REF!</v>
      </c>
      <c r="J303" s="42" t="e">
        <f>IF(AND(E303=Data!#REF!,Data!#REF!&lt;&gt;""),Data!#REF!,"")</f>
        <v>#REF!</v>
      </c>
      <c r="K303" s="64" t="e">
        <f>IF(AND(E303=Data!#REF!,Data!#REF!&lt;&gt;""),Data!#REF!,"")</f>
        <v>#REF!</v>
      </c>
      <c r="L303" s="65" t="e">
        <f>IF(E303=Data!#REF!,Data!#REF!,"")</f>
        <v>#REF!</v>
      </c>
      <c r="M303" s="65" t="e">
        <f>IF(E303=Data!#REF!,Data!#REF!,"")</f>
        <v>#REF!</v>
      </c>
      <c r="N303" s="66" t="e">
        <f>IF(AND(Data!#REF!&lt;&gt;"",Data!#REF!="Accept&amp;#233;"),Data!#REF!,"")</f>
        <v>#REF!</v>
      </c>
    </row>
    <row r="304" spans="1:14" ht="19.5" hidden="1" customHeight="1" x14ac:dyDescent="0.3">
      <c r="A304" s="59" t="e">
        <f>IF(AND(Data!#REF!&lt;&gt;"",Data!#REF!="Accept&amp;#233;"),Data!#REF!,"")</f>
        <v>#REF!</v>
      </c>
      <c r="B304" s="59" t="e">
        <f>IF(AND(Data!#REF!&lt;&gt;"",Data!#REF!="Accept&amp;#233;"),Data!#REF!,"")</f>
        <v>#REF!</v>
      </c>
      <c r="C304" s="60" t="e">
        <f t="shared" si="8"/>
        <v>#REF!</v>
      </c>
      <c r="D304" s="42" t="e">
        <f>IF(AND(Data!#REF!&lt;&gt;"",Data!#REF!="Accept&amp;#233;"),Data!#REF!,"")</f>
        <v>#REF!</v>
      </c>
      <c r="E304" s="61" t="e">
        <f>IF(AND(Data!#REF!&lt;&gt;"",Data!#REF!="Accept&amp;#233;"),Data!#REF!,"")</f>
        <v>#REF!</v>
      </c>
      <c r="F304" s="62" t="e">
        <f>IF(AND(Data!#REF!&lt;&gt;"",Data!#REF!="Accept&amp;#233;"),Data!#REF!,"")</f>
        <v>#REF!</v>
      </c>
      <c r="G304" s="63" t="e">
        <f>IF(Data!#REF!='Delivery Plan'!E304,Data!#REF!,"")</f>
        <v>#REF!</v>
      </c>
      <c r="H304" s="51"/>
      <c r="I304" s="60" t="e">
        <f t="shared" si="9"/>
        <v>#REF!</v>
      </c>
      <c r="J304" s="42" t="e">
        <f>IF(AND(E304=Data!#REF!,Data!#REF!&lt;&gt;""),Data!#REF!,"")</f>
        <v>#REF!</v>
      </c>
      <c r="K304" s="64" t="e">
        <f>IF(AND(E304=Data!#REF!,Data!#REF!&lt;&gt;""),Data!#REF!,"")</f>
        <v>#REF!</v>
      </c>
      <c r="L304" s="65" t="e">
        <f>IF(E304=Data!#REF!,Data!#REF!,"")</f>
        <v>#REF!</v>
      </c>
      <c r="M304" s="65" t="e">
        <f>IF(E304=Data!#REF!,Data!#REF!,"")</f>
        <v>#REF!</v>
      </c>
      <c r="N304" s="66" t="e">
        <f>IF(AND(Data!#REF!&lt;&gt;"",Data!#REF!="Accept&amp;#233;"),Data!#REF!,"")</f>
        <v>#REF!</v>
      </c>
    </row>
    <row r="305" spans="1:14" ht="19.5" hidden="1" customHeight="1" x14ac:dyDescent="0.3">
      <c r="A305" s="59" t="e">
        <f>IF(AND(Data!#REF!&lt;&gt;"",Data!#REF!="Accept&amp;#233;"),Data!#REF!,"")</f>
        <v>#REF!</v>
      </c>
      <c r="B305" s="59" t="e">
        <f>IF(AND(Data!#REF!&lt;&gt;"",Data!#REF!="Accept&amp;#233;"),Data!#REF!,"")</f>
        <v>#REF!</v>
      </c>
      <c r="C305" s="60" t="e">
        <f t="shared" si="8"/>
        <v>#REF!</v>
      </c>
      <c r="D305" s="42" t="e">
        <f>IF(AND(Data!#REF!&lt;&gt;"",Data!#REF!="Accept&amp;#233;"),Data!#REF!,"")</f>
        <v>#REF!</v>
      </c>
      <c r="E305" s="61" t="e">
        <f>IF(AND(Data!#REF!&lt;&gt;"",Data!#REF!="Accept&amp;#233;"),Data!#REF!,"")</f>
        <v>#REF!</v>
      </c>
      <c r="F305" s="62" t="e">
        <f>IF(AND(Data!#REF!&lt;&gt;"",Data!#REF!="Accept&amp;#233;"),Data!#REF!,"")</f>
        <v>#REF!</v>
      </c>
      <c r="G305" s="63" t="e">
        <f>IF(Data!#REF!='Delivery Plan'!E305,Data!#REF!,"")</f>
        <v>#REF!</v>
      </c>
      <c r="H305" s="51"/>
      <c r="I305" s="60" t="e">
        <f t="shared" si="9"/>
        <v>#REF!</v>
      </c>
      <c r="J305" s="42" t="e">
        <f>IF(AND(E305=Data!#REF!,Data!#REF!&lt;&gt;""),Data!#REF!,"")</f>
        <v>#REF!</v>
      </c>
      <c r="K305" s="64" t="e">
        <f>IF(AND(E305=Data!#REF!,Data!#REF!&lt;&gt;""),Data!#REF!,"")</f>
        <v>#REF!</v>
      </c>
      <c r="L305" s="65" t="e">
        <f>IF(E305=Data!R147,Data!AI147,"")</f>
        <v>#REF!</v>
      </c>
      <c r="M305" s="65" t="e">
        <f>IF(E305=Data!R147,Data!AJ147,"")</f>
        <v>#REF!</v>
      </c>
      <c r="N305" s="66" t="str">
        <f>IF(AND(Data!R147&lt;&gt;"",Data!L147="Accept&amp;#233;"),Data!K147,"")</f>
        <v/>
      </c>
    </row>
    <row r="306" spans="1:14" ht="19.5" hidden="1" customHeight="1" x14ac:dyDescent="0.3">
      <c r="A306" s="59" t="e">
        <f>IF(AND(Data!#REF!&lt;&gt;"",Data!#REF!="Accept&amp;#233;"),Data!#REF!,"")</f>
        <v>#REF!</v>
      </c>
      <c r="B306" s="59" t="e">
        <f>IF(AND(Data!#REF!&lt;&gt;"",Data!#REF!="Accept&amp;#233;"),Data!#REF!,"")</f>
        <v>#REF!</v>
      </c>
      <c r="C306" s="60" t="e">
        <f t="shared" si="8"/>
        <v>#REF!</v>
      </c>
      <c r="D306" s="42" t="e">
        <f>IF(AND(Data!#REF!&lt;&gt;"",Data!#REF!="Accept&amp;#233;"),Data!#REF!,"")</f>
        <v>#REF!</v>
      </c>
      <c r="E306" s="61" t="e">
        <f>IF(AND(Data!#REF!&lt;&gt;"",Data!#REF!="Accept&amp;#233;"),Data!#REF!,"")</f>
        <v>#REF!</v>
      </c>
      <c r="F306" s="62" t="e">
        <f>IF(AND(Data!#REF!&lt;&gt;"",Data!#REF!="Accept&amp;#233;"),Data!#REF!,"")</f>
        <v>#REF!</v>
      </c>
      <c r="G306" s="63" t="e">
        <f>IF(Data!#REF!='Delivery Plan'!E306,Data!#REF!,"")</f>
        <v>#REF!</v>
      </c>
      <c r="H306" s="51"/>
      <c r="I306" s="60" t="e">
        <f t="shared" si="9"/>
        <v>#REF!</v>
      </c>
      <c r="J306" s="42" t="e">
        <f>IF(AND(E306=Data!#REF!,Data!#REF!&lt;&gt;""),Data!#REF!,"")</f>
        <v>#REF!</v>
      </c>
      <c r="K306" s="64" t="e">
        <f>IF(AND(E306=Data!#REF!,Data!#REF!&lt;&gt;""),Data!#REF!,"")</f>
        <v>#REF!</v>
      </c>
      <c r="L306" s="65" t="e">
        <f>IF(E306=Data!R148,Data!AI148,"")</f>
        <v>#REF!</v>
      </c>
      <c r="M306" s="65" t="e">
        <f>IF(E306=Data!R148,Data!AJ148,"")</f>
        <v>#REF!</v>
      </c>
      <c r="N306" s="66" t="str">
        <f>IF(AND(Data!R148&lt;&gt;"",Data!L148="Accept&amp;#233;"),Data!K148,"")</f>
        <v/>
      </c>
    </row>
    <row r="307" spans="1:14" ht="19.5" hidden="1" customHeight="1" x14ac:dyDescent="0.3">
      <c r="A307" s="59" t="e">
        <f>IF(AND(Data!#REF!&lt;&gt;"",Data!#REF!="Accept&amp;#233;"),Data!#REF!,"")</f>
        <v>#REF!</v>
      </c>
      <c r="B307" s="59" t="e">
        <f>IF(AND(Data!#REF!&lt;&gt;"",Data!#REF!="Accept&amp;#233;"),Data!#REF!,"")</f>
        <v>#REF!</v>
      </c>
      <c r="C307" s="60" t="e">
        <f t="shared" si="8"/>
        <v>#REF!</v>
      </c>
      <c r="D307" s="42" t="e">
        <f>IF(AND(Data!#REF!&lt;&gt;"",Data!#REF!="Accept&amp;#233;"),Data!#REF!,"")</f>
        <v>#REF!</v>
      </c>
      <c r="E307" s="61" t="e">
        <f>IF(AND(Data!#REF!&lt;&gt;"",Data!#REF!="Accept&amp;#233;"),Data!#REF!,"")</f>
        <v>#REF!</v>
      </c>
      <c r="F307" s="62" t="e">
        <f>IF(AND(Data!#REF!&lt;&gt;"",Data!#REF!="Accept&amp;#233;"),Data!#REF!,"")</f>
        <v>#REF!</v>
      </c>
      <c r="G307" s="63" t="e">
        <f>IF(Data!#REF!='Delivery Plan'!E307,Data!#REF!,"")</f>
        <v>#REF!</v>
      </c>
      <c r="H307" s="51"/>
      <c r="I307" s="60" t="e">
        <f t="shared" si="9"/>
        <v>#REF!</v>
      </c>
      <c r="J307" s="42" t="e">
        <f>IF(AND(E307=Data!#REF!,Data!#REF!&lt;&gt;""),Data!#REF!,"")</f>
        <v>#REF!</v>
      </c>
      <c r="K307" s="64" t="e">
        <f>IF(AND(E307=Data!#REF!,Data!#REF!&lt;&gt;""),Data!#REF!,"")</f>
        <v>#REF!</v>
      </c>
      <c r="L307" s="65" t="e">
        <f>IF(E307=Data!R149,Data!AI149,"")</f>
        <v>#REF!</v>
      </c>
      <c r="M307" s="65" t="e">
        <f>IF(E307=Data!R149,Data!AJ149,"")</f>
        <v>#REF!</v>
      </c>
      <c r="N307" s="66" t="str">
        <f>IF(AND(Data!R149&lt;&gt;"",Data!L149="Accept&amp;#233;"),Data!K149,"")</f>
        <v/>
      </c>
    </row>
    <row r="308" spans="1:14" ht="19.5" hidden="1" customHeight="1" x14ac:dyDescent="0.3">
      <c r="A308" s="59" t="e">
        <f>IF(AND(Data!#REF!&lt;&gt;"",Data!#REF!="Accept&amp;#233;"),Data!#REF!,"")</f>
        <v>#REF!</v>
      </c>
      <c r="B308" s="59" t="e">
        <f>IF(AND(Data!#REF!&lt;&gt;"",Data!#REF!="Accept&amp;#233;"),Data!#REF!,"")</f>
        <v>#REF!</v>
      </c>
      <c r="C308" s="60" t="e">
        <f t="shared" si="8"/>
        <v>#REF!</v>
      </c>
      <c r="D308" s="42" t="e">
        <f>IF(AND(Data!#REF!&lt;&gt;"",Data!#REF!="Accept&amp;#233;"),Data!#REF!,"")</f>
        <v>#REF!</v>
      </c>
      <c r="E308" s="61" t="e">
        <f>IF(AND(Data!#REF!&lt;&gt;"",Data!#REF!="Accept&amp;#233;"),Data!#REF!,"")</f>
        <v>#REF!</v>
      </c>
      <c r="F308" s="62" t="e">
        <f>IF(AND(Data!#REF!&lt;&gt;"",Data!#REF!="Accept&amp;#233;"),Data!#REF!,"")</f>
        <v>#REF!</v>
      </c>
      <c r="G308" s="63" t="e">
        <f>IF(Data!#REF!='Delivery Plan'!E308,Data!#REF!,"")</f>
        <v>#REF!</v>
      </c>
      <c r="H308" s="51"/>
      <c r="I308" s="60" t="e">
        <f t="shared" si="9"/>
        <v>#REF!</v>
      </c>
      <c r="J308" s="42" t="e">
        <f>IF(AND(E308=Data!#REF!,Data!#REF!&lt;&gt;""),Data!#REF!,"")</f>
        <v>#REF!</v>
      </c>
      <c r="K308" s="64" t="e">
        <f>IF(AND(E308=Data!#REF!,Data!#REF!&lt;&gt;""),Data!#REF!,"")</f>
        <v>#REF!</v>
      </c>
      <c r="L308" s="65" t="e">
        <f>IF(E308=Data!R150,Data!AI150,"")</f>
        <v>#REF!</v>
      </c>
      <c r="M308" s="65" t="e">
        <f>IF(E308=Data!R150,Data!AJ150,"")</f>
        <v>#REF!</v>
      </c>
      <c r="N308" s="66" t="str">
        <f>IF(AND(Data!R150&lt;&gt;"",Data!L150="Accept&amp;#233;"),Data!K150,"")</f>
        <v/>
      </c>
    </row>
    <row r="309" spans="1:14" ht="19.5" customHeight="1" x14ac:dyDescent="0.3">
      <c r="A309" s="59" t="str">
        <f>IF(AND(Data!R138&lt;&gt;"",Data!L138="Accept&amp;#233;"),Data!G138,"")</f>
        <v/>
      </c>
      <c r="B309" s="59" t="str">
        <f>IF(AND(Data!R138&lt;&gt;"",Data!L138="Accept&amp;#233;"),Data!L138,"")</f>
        <v/>
      </c>
      <c r="C309" s="60" t="str">
        <f t="shared" si="8"/>
        <v/>
      </c>
      <c r="D309" s="42" t="str">
        <f>IF(AND(Data!Q138&lt;&gt;"",Data!L138="Accept&amp;#233;"),Data!Q138,"")</f>
        <v/>
      </c>
      <c r="E309" s="61" t="str">
        <f>IF(AND(Data!R138&lt;&gt;"",Data!L138="Accept&amp;#233;"),Data!R138,"")</f>
        <v/>
      </c>
      <c r="F309" s="62" t="str">
        <f>IF(AND(Data!R138&lt;&gt;"",Data!L138="Accept&amp;#233;"),Data!S138,"")</f>
        <v/>
      </c>
      <c r="G309" s="63" t="str">
        <f>IF(Data!R138='Delivery Plan'!E309,Data!U138,"")</f>
        <v/>
      </c>
      <c r="H309" s="51"/>
      <c r="I309" s="60" t="str">
        <f t="shared" si="9"/>
        <v/>
      </c>
      <c r="J309" s="42" t="str">
        <f>IF(AND(E309=Data!R138,Data!AA138&lt;&gt;""),Data!AA138,"")</f>
        <v/>
      </c>
      <c r="K309" s="64" t="str">
        <f>IF(AND(E309=Data!R138,Data!AE138&lt;&gt;""),Data!AE138,"")</f>
        <v/>
      </c>
      <c r="L309" s="65" t="e">
        <f>IF(E309=Data!#REF!,Data!#REF!,"")</f>
        <v>#REF!</v>
      </c>
      <c r="M309" s="65" t="e">
        <f>IF(E309=Data!#REF!,Data!#REF!,"")</f>
        <v>#REF!</v>
      </c>
      <c r="N309" s="66" t="e">
        <f>IF(AND(Data!#REF!&lt;&gt;"",Data!#REF!="Accept&amp;#233;"),Data!#REF!,"")</f>
        <v>#REF!</v>
      </c>
    </row>
    <row r="310" spans="1:14" ht="19.5" hidden="1" customHeight="1" x14ac:dyDescent="0.3">
      <c r="A310" s="59" t="str">
        <f>IF(AND(Data!R139&lt;&gt;"",Data!L139="Accept&amp;#233;"),Data!G139,"")</f>
        <v/>
      </c>
      <c r="B310" s="59" t="str">
        <f>IF(AND(Data!R139&lt;&gt;"",Data!L139="Accept&amp;#233;"),Data!L139,"")</f>
        <v/>
      </c>
      <c r="C310" s="60" t="str">
        <f t="shared" si="8"/>
        <v/>
      </c>
      <c r="D310" s="42" t="str">
        <f>IF(AND(Data!Q139&lt;&gt;"",Data!L139="Accept&amp;#233;"),Data!Q139,"")</f>
        <v/>
      </c>
      <c r="E310" s="61" t="str">
        <f>IF(AND(Data!R139&lt;&gt;"",Data!L139="Accept&amp;#233;"),Data!R139,"")</f>
        <v/>
      </c>
      <c r="F310" s="62" t="str">
        <f>IF(AND(Data!R139&lt;&gt;"",Data!L139="Accept&amp;#233;"),Data!S139,"")</f>
        <v/>
      </c>
      <c r="G310" s="63" t="str">
        <f>IF(Data!R139='Delivery Plan'!E310,Data!U139,"")</f>
        <v/>
      </c>
      <c r="H310" s="51"/>
      <c r="I310" s="60" t="str">
        <f t="shared" si="9"/>
        <v/>
      </c>
      <c r="J310" s="42" t="str">
        <f>IF(AND(E310=Data!R139,Data!AA139&lt;&gt;""),Data!AA139,"")</f>
        <v/>
      </c>
      <c r="K310" s="64" t="str">
        <f>IF(AND(E310=Data!R139,Data!AE139&lt;&gt;""),Data!AE139,"")</f>
        <v/>
      </c>
      <c r="L310" s="65" t="e">
        <f>IF(E310=Data!#REF!,Data!#REF!,"")</f>
        <v>#REF!</v>
      </c>
      <c r="M310" s="65" t="e">
        <f>IF(E310=Data!#REF!,Data!#REF!,"")</f>
        <v>#REF!</v>
      </c>
      <c r="N310" s="66" t="e">
        <f>IF(AND(Data!#REF!&lt;&gt;"",Data!#REF!="Accept&amp;#233;"),Data!#REF!,"")</f>
        <v>#REF!</v>
      </c>
    </row>
    <row r="311" spans="1:14" ht="19.5" hidden="1" customHeight="1" x14ac:dyDescent="0.3">
      <c r="A311" s="59" t="str">
        <f>IF(AND(Data!R140&lt;&gt;"",Data!L140="Accept&amp;#233;"),Data!G140,"")</f>
        <v/>
      </c>
      <c r="B311" s="59" t="str">
        <f>IF(AND(Data!R140&lt;&gt;"",Data!L140="Accept&amp;#233;"),Data!L140,"")</f>
        <v/>
      </c>
      <c r="C311" s="60" t="str">
        <f t="shared" si="8"/>
        <v/>
      </c>
      <c r="D311" s="42" t="str">
        <f>IF(AND(Data!Q140&lt;&gt;"",Data!L140="Accept&amp;#233;"),Data!Q140,"")</f>
        <v/>
      </c>
      <c r="E311" s="61" t="str">
        <f>IF(AND(Data!R140&lt;&gt;"",Data!L140="Accept&amp;#233;"),Data!R140,"")</f>
        <v/>
      </c>
      <c r="F311" s="62" t="str">
        <f>IF(AND(Data!R140&lt;&gt;"",Data!L140="Accept&amp;#233;"),Data!S140,"")</f>
        <v/>
      </c>
      <c r="G311" s="63" t="str">
        <f>IF(Data!R140='Delivery Plan'!E311,Data!U140,"")</f>
        <v/>
      </c>
      <c r="H311" s="51"/>
      <c r="I311" s="60" t="str">
        <f t="shared" si="9"/>
        <v/>
      </c>
      <c r="J311" s="42" t="str">
        <f>IF(AND(E311=Data!R140,Data!AA140&lt;&gt;""),Data!AA140,"")</f>
        <v/>
      </c>
      <c r="K311" s="64" t="str">
        <f>IF(AND(E311=Data!R140,Data!AE140&lt;&gt;""),Data!AE140,"")</f>
        <v/>
      </c>
      <c r="L311" s="65" t="e">
        <f>IF(E311=Data!#REF!,Data!#REF!,"")</f>
        <v>#REF!</v>
      </c>
      <c r="M311" s="65" t="e">
        <f>IF(E311=Data!#REF!,Data!#REF!,"")</f>
        <v>#REF!</v>
      </c>
      <c r="N311" s="66" t="e">
        <f>IF(AND(Data!#REF!&lt;&gt;"",Data!#REF!="Accept&amp;#233;"),Data!#REF!,"")</f>
        <v>#REF!</v>
      </c>
    </row>
    <row r="312" spans="1:14" ht="19.5" hidden="1" customHeight="1" x14ac:dyDescent="0.3">
      <c r="A312" s="59" t="str">
        <f>IF(AND(Data!R141&lt;&gt;"",Data!L141="Accept&amp;#233;"),Data!G141,"")</f>
        <v/>
      </c>
      <c r="B312" s="59" t="str">
        <f>IF(AND(Data!R141&lt;&gt;"",Data!L141="Accept&amp;#233;"),Data!L141,"")</f>
        <v/>
      </c>
      <c r="C312" s="60" t="str">
        <f t="shared" si="8"/>
        <v/>
      </c>
      <c r="D312" s="42" t="str">
        <f>IF(AND(Data!Q141&lt;&gt;"",Data!L141="Accept&amp;#233;"),Data!Q141,"")</f>
        <v/>
      </c>
      <c r="E312" s="61" t="str">
        <f>IF(AND(Data!R141&lt;&gt;"",Data!L141="Accept&amp;#233;"),Data!R141,"")</f>
        <v/>
      </c>
      <c r="F312" s="62" t="str">
        <f>IF(AND(Data!R141&lt;&gt;"",Data!L141="Accept&amp;#233;"),Data!S141,"")</f>
        <v/>
      </c>
      <c r="G312" s="63" t="str">
        <f>IF(Data!R141='Delivery Plan'!E312,Data!U141,"")</f>
        <v/>
      </c>
      <c r="H312" s="51"/>
      <c r="I312" s="60" t="str">
        <f t="shared" si="9"/>
        <v/>
      </c>
      <c r="J312" s="42" t="str">
        <f>IF(AND(E312=Data!R141,Data!AA141&lt;&gt;""),Data!AA141,"")</f>
        <v/>
      </c>
      <c r="K312" s="64" t="str">
        <f>IF(AND(E312=Data!R141,Data!AE141&lt;&gt;""),Data!AE141,"")</f>
        <v/>
      </c>
      <c r="L312" s="65" t="e">
        <f>IF(E312=Data!#REF!,Data!#REF!,"")</f>
        <v>#REF!</v>
      </c>
      <c r="M312" s="65" t="e">
        <f>IF(E312=Data!#REF!,Data!#REF!,"")</f>
        <v>#REF!</v>
      </c>
      <c r="N312" s="66" t="e">
        <f>IF(AND(Data!#REF!&lt;&gt;"",Data!#REF!="Accept&amp;#233;"),Data!#REF!,"")</f>
        <v>#REF!</v>
      </c>
    </row>
    <row r="313" spans="1:14" ht="19.5" hidden="1" customHeight="1" x14ac:dyDescent="0.3">
      <c r="A313" s="59" t="str">
        <f>IF(AND(Data!R142&lt;&gt;"",Data!L142="Accept&amp;#233;"),Data!G142,"")</f>
        <v/>
      </c>
      <c r="B313" s="59" t="str">
        <f>IF(AND(Data!R142&lt;&gt;"",Data!L142="Accept&amp;#233;"),Data!L142,"")</f>
        <v/>
      </c>
      <c r="C313" s="60" t="str">
        <f t="shared" si="8"/>
        <v/>
      </c>
      <c r="D313" s="42" t="str">
        <f>IF(AND(Data!Q142&lt;&gt;"",Data!L142="Accept&amp;#233;"),Data!Q142,"")</f>
        <v/>
      </c>
      <c r="E313" s="61" t="str">
        <f>IF(AND(Data!R142&lt;&gt;"",Data!L142="Accept&amp;#233;"),Data!R142,"")</f>
        <v/>
      </c>
      <c r="F313" s="62" t="str">
        <f>IF(AND(Data!R142&lt;&gt;"",Data!L142="Accept&amp;#233;"),Data!S142,"")</f>
        <v/>
      </c>
      <c r="G313" s="63" t="str">
        <f>IF(Data!R142='Delivery Plan'!E313,Data!U142,"")</f>
        <v/>
      </c>
      <c r="H313" s="51"/>
      <c r="I313" s="60" t="str">
        <f t="shared" si="9"/>
        <v/>
      </c>
      <c r="J313" s="42" t="str">
        <f>IF(AND(E313=Data!R142,Data!AA142&lt;&gt;""),Data!AA142,"")</f>
        <v/>
      </c>
      <c r="K313" s="64" t="str">
        <f>IF(AND(E313=Data!R142,Data!AE142&lt;&gt;""),Data!AE142,"")</f>
        <v/>
      </c>
      <c r="L313" s="65" t="e">
        <f>IF(E313=Data!#REF!,Data!#REF!,"")</f>
        <v>#REF!</v>
      </c>
      <c r="M313" s="65" t="e">
        <f>IF(E313=Data!#REF!,Data!#REF!,"")</f>
        <v>#REF!</v>
      </c>
      <c r="N313" s="66" t="e">
        <f>IF(AND(Data!#REF!&lt;&gt;"",Data!#REF!="Accept&amp;#233;"),Data!#REF!,"")</f>
        <v>#REF!</v>
      </c>
    </row>
    <row r="314" spans="1:14" ht="19.5" hidden="1" customHeight="1" x14ac:dyDescent="0.3">
      <c r="A314" s="59" t="str">
        <f>IF(AND(Data!R143&lt;&gt;"",Data!L143="Accept&amp;#233;"),Data!G143,"")</f>
        <v/>
      </c>
      <c r="B314" s="59" t="str">
        <f>IF(AND(Data!R143&lt;&gt;"",Data!L143="Accept&amp;#233;"),Data!L143,"")</f>
        <v/>
      </c>
      <c r="C314" s="60" t="str">
        <f t="shared" si="8"/>
        <v/>
      </c>
      <c r="D314" s="42" t="str">
        <f>IF(AND(Data!Q143&lt;&gt;"",Data!L143="Accept&amp;#233;"),Data!Q143,"")</f>
        <v/>
      </c>
      <c r="E314" s="61" t="str">
        <f>IF(AND(Data!R143&lt;&gt;"",Data!L143="Accept&amp;#233;"),Data!R143,"")</f>
        <v/>
      </c>
      <c r="F314" s="62" t="str">
        <f>IF(AND(Data!R143&lt;&gt;"",Data!L143="Accept&amp;#233;"),Data!S143,"")</f>
        <v/>
      </c>
      <c r="G314" s="63" t="str">
        <f>IF(Data!R143='Delivery Plan'!E314,Data!U143,"")</f>
        <v/>
      </c>
      <c r="H314" s="51"/>
      <c r="I314" s="60" t="str">
        <f t="shared" si="9"/>
        <v/>
      </c>
      <c r="J314" s="42" t="str">
        <f>IF(AND(E314=Data!R143,Data!AA143&lt;&gt;""),Data!AA143,"")</f>
        <v/>
      </c>
      <c r="K314" s="64" t="str">
        <f>IF(AND(E314=Data!R143,Data!AE143&lt;&gt;""),Data!AE143,"")</f>
        <v/>
      </c>
      <c r="L314" s="65" t="e">
        <f>IF(E314=Data!#REF!,Data!#REF!,"")</f>
        <v>#REF!</v>
      </c>
      <c r="M314" s="65" t="e">
        <f>IF(E314=Data!#REF!,Data!#REF!,"")</f>
        <v>#REF!</v>
      </c>
      <c r="N314" s="66" t="e">
        <f>IF(AND(Data!#REF!&lt;&gt;"",Data!#REF!="Accept&amp;#233;"),Data!#REF!,"")</f>
        <v>#REF!</v>
      </c>
    </row>
    <row r="315" spans="1:14" ht="19.5" hidden="1" customHeight="1" x14ac:dyDescent="0.3">
      <c r="A315" s="59" t="str">
        <f>IF(AND(Data!R144&lt;&gt;"",Data!L144="Accept&amp;#233;"),Data!G144,"")</f>
        <v/>
      </c>
      <c r="B315" s="59" t="str">
        <f>IF(AND(Data!R144&lt;&gt;"",Data!L144="Accept&amp;#233;"),Data!L144,"")</f>
        <v/>
      </c>
      <c r="C315" s="60" t="str">
        <f t="shared" si="8"/>
        <v/>
      </c>
      <c r="D315" s="42" t="str">
        <f>IF(AND(Data!Q144&lt;&gt;"",Data!L144="Accept&amp;#233;"),Data!Q144,"")</f>
        <v/>
      </c>
      <c r="E315" s="61" t="str">
        <f>IF(AND(Data!R144&lt;&gt;"",Data!L144="Accept&amp;#233;"),Data!R144,"")</f>
        <v/>
      </c>
      <c r="F315" s="62" t="str">
        <f>IF(AND(Data!R144&lt;&gt;"",Data!L144="Accept&amp;#233;"),Data!S144,"")</f>
        <v/>
      </c>
      <c r="G315" s="63" t="str">
        <f>IF(Data!R144='Delivery Plan'!E315,Data!U144,"")</f>
        <v/>
      </c>
      <c r="H315" s="51"/>
      <c r="I315" s="60" t="str">
        <f t="shared" si="9"/>
        <v/>
      </c>
      <c r="J315" s="42" t="str">
        <f>IF(AND(E315=Data!R144,Data!AA144&lt;&gt;""),Data!AA144,"")</f>
        <v/>
      </c>
      <c r="K315" s="64" t="str">
        <f>IF(AND(E315=Data!R144,Data!AE144&lt;&gt;""),Data!AE144,"")</f>
        <v/>
      </c>
      <c r="L315" s="65" t="e">
        <f>IF(E315=Data!#REF!,Data!#REF!,"")</f>
        <v>#REF!</v>
      </c>
      <c r="M315" s="65" t="e">
        <f>IF(E315=Data!#REF!,Data!#REF!,"")</f>
        <v>#REF!</v>
      </c>
      <c r="N315" s="66" t="e">
        <f>IF(AND(Data!#REF!&lt;&gt;"",Data!#REF!="Accept&amp;#233;"),Data!#REF!,"")</f>
        <v>#REF!</v>
      </c>
    </row>
    <row r="316" spans="1:14" ht="19.5" hidden="1" customHeight="1" x14ac:dyDescent="0.3">
      <c r="A316" s="59" t="str">
        <f>IF(AND(Data!R145&lt;&gt;"",Data!L145="Accept&amp;#233;"),Data!G145,"")</f>
        <v/>
      </c>
      <c r="B316" s="59" t="str">
        <f>IF(AND(Data!R145&lt;&gt;"",Data!L145="Accept&amp;#233;"),Data!L145,"")</f>
        <v/>
      </c>
      <c r="C316" s="60" t="str">
        <f t="shared" si="8"/>
        <v/>
      </c>
      <c r="D316" s="42" t="str">
        <f>IF(AND(Data!Q145&lt;&gt;"",Data!L145="Accept&amp;#233;"),Data!Q145,"")</f>
        <v/>
      </c>
      <c r="E316" s="61" t="str">
        <f>IF(AND(Data!R145&lt;&gt;"",Data!L145="Accept&amp;#233;"),Data!R145,"")</f>
        <v/>
      </c>
      <c r="F316" s="62" t="str">
        <f>IF(AND(Data!R145&lt;&gt;"",Data!L145="Accept&amp;#233;"),Data!S145,"")</f>
        <v/>
      </c>
      <c r="G316" s="63" t="str">
        <f>IF(Data!R145='Delivery Plan'!E316,Data!U145,"")</f>
        <v/>
      </c>
      <c r="H316" s="51"/>
      <c r="I316" s="60" t="str">
        <f t="shared" si="9"/>
        <v/>
      </c>
      <c r="J316" s="42" t="str">
        <f>IF(AND(E316=Data!R145,Data!AA145&lt;&gt;""),Data!AA145,"")</f>
        <v/>
      </c>
      <c r="K316" s="64" t="str">
        <f>IF(AND(E316=Data!R145,Data!AE145&lt;&gt;""),Data!AE145,"")</f>
        <v/>
      </c>
      <c r="L316" s="65" t="e">
        <f>IF(E316=Data!#REF!,Data!#REF!,"")</f>
        <v>#REF!</v>
      </c>
      <c r="M316" s="65" t="e">
        <f>IF(E316=Data!#REF!,Data!#REF!,"")</f>
        <v>#REF!</v>
      </c>
      <c r="N316" s="66" t="e">
        <f>IF(AND(Data!#REF!&lt;&gt;"",Data!#REF!="Accept&amp;#233;"),Data!#REF!,"")</f>
        <v>#REF!</v>
      </c>
    </row>
    <row r="317" spans="1:14" ht="19.5" hidden="1" customHeight="1" x14ac:dyDescent="0.3">
      <c r="A317" s="59" t="str">
        <f>IF(AND(Data!R147&lt;&gt;"",Data!L147="Accept&amp;#233;"),Data!G147,"")</f>
        <v/>
      </c>
      <c r="B317" s="59" t="str">
        <f>IF(AND(Data!R147&lt;&gt;"",Data!L147="Accept&amp;#233;"),Data!L147,"")</f>
        <v/>
      </c>
      <c r="C317" s="60" t="str">
        <f t="shared" si="8"/>
        <v/>
      </c>
      <c r="D317" s="42" t="str">
        <f>IF(AND(Data!Q147&lt;&gt;"",Data!L147="Accept&amp;#233;"),Data!Q147,"")</f>
        <v/>
      </c>
      <c r="E317" s="61" t="str">
        <f>IF(AND(Data!R147&lt;&gt;"",Data!L147="Accept&amp;#233;"),Data!R147,"")</f>
        <v/>
      </c>
      <c r="F317" s="62" t="str">
        <f>IF(AND(Data!R147&lt;&gt;"",Data!L147="Accept&amp;#233;"),Data!S147,"")</f>
        <v/>
      </c>
      <c r="G317" s="63">
        <f>IF(Data!R147='Delivery Plan'!E317,Data!U147,"")</f>
        <v>0</v>
      </c>
      <c r="H317" s="51"/>
      <c r="I317" s="60" t="str">
        <f t="shared" si="9"/>
        <v/>
      </c>
      <c r="J317" s="42" t="str">
        <f>IF(AND(E317=Data!R147,Data!AA147&lt;&gt;""),Data!AA147,"")</f>
        <v/>
      </c>
      <c r="K317" s="64" t="str">
        <f>IF(AND(E317=Data!R147,Data!AE147&lt;&gt;""),Data!AE147,"")</f>
        <v/>
      </c>
      <c r="L317" s="65" t="e">
        <f>IF(E317=Data!#REF!,Data!#REF!,"")</f>
        <v>#REF!</v>
      </c>
      <c r="M317" s="65" t="e">
        <f>IF(E317=Data!#REF!,Data!#REF!,"")</f>
        <v>#REF!</v>
      </c>
      <c r="N317" s="66" t="e">
        <f>IF(AND(Data!#REF!&lt;&gt;"",Data!#REF!="Accept&amp;#233;"),Data!#REF!,"")</f>
        <v>#REF!</v>
      </c>
    </row>
    <row r="318" spans="1:14" ht="19.5" hidden="1" customHeight="1" x14ac:dyDescent="0.3">
      <c r="A318" s="59" t="str">
        <f>IF(AND(Data!R148&lt;&gt;"",Data!L148="Accept&amp;#233;"),Data!G148,"")</f>
        <v/>
      </c>
      <c r="B318" s="59" t="str">
        <f>IF(AND(Data!R148&lt;&gt;"",Data!L148="Accept&amp;#233;"),Data!L148,"")</f>
        <v/>
      </c>
      <c r="C318" s="60" t="str">
        <f t="shared" si="8"/>
        <v/>
      </c>
      <c r="D318" s="42" t="str">
        <f>IF(AND(Data!Q148&lt;&gt;"",Data!L148="Accept&amp;#233;"),Data!Q148,"")</f>
        <v/>
      </c>
      <c r="E318" s="61" t="str">
        <f>IF(AND(Data!R148&lt;&gt;"",Data!L148="Accept&amp;#233;"),Data!R148,"")</f>
        <v/>
      </c>
      <c r="F318" s="62" t="str">
        <f>IF(AND(Data!R148&lt;&gt;"",Data!L148="Accept&amp;#233;"),Data!S148,"")</f>
        <v/>
      </c>
      <c r="G318" s="63">
        <f>IF(Data!R148='Delivery Plan'!E318,Data!U148,"")</f>
        <v>0</v>
      </c>
      <c r="H318" s="51"/>
      <c r="I318" s="60" t="str">
        <f t="shared" si="9"/>
        <v/>
      </c>
      <c r="J318" s="42" t="str">
        <f>IF(AND(E318=Data!R148,Data!AA148&lt;&gt;""),Data!AA148,"")</f>
        <v/>
      </c>
      <c r="K318" s="64" t="str">
        <f>IF(AND(E318=Data!R148,Data!AE148&lt;&gt;""),Data!AE148,"")</f>
        <v/>
      </c>
      <c r="L318" s="65" t="e">
        <f>IF(E318=Data!#REF!,Data!#REF!,"")</f>
        <v>#REF!</v>
      </c>
      <c r="M318" s="65" t="e">
        <f>IF(E318=Data!#REF!,Data!#REF!,"")</f>
        <v>#REF!</v>
      </c>
      <c r="N318" s="66" t="e">
        <f>IF(AND(Data!#REF!&lt;&gt;"",Data!#REF!="Accept&amp;#233;"),Data!#REF!,"")</f>
        <v>#REF!</v>
      </c>
    </row>
    <row r="319" spans="1:14" ht="19.5" hidden="1" customHeight="1" x14ac:dyDescent="0.3">
      <c r="A319" s="59" t="str">
        <f>IF(AND(Data!R149&lt;&gt;"",Data!L149="Accept&amp;#233;"),Data!G149,"")</f>
        <v/>
      </c>
      <c r="B319" s="59" t="str">
        <f>IF(AND(Data!R149&lt;&gt;"",Data!L149="Accept&amp;#233;"),Data!L149,"")</f>
        <v/>
      </c>
      <c r="C319" s="60" t="str">
        <f t="shared" si="8"/>
        <v/>
      </c>
      <c r="D319" s="42" t="str">
        <f>IF(AND(Data!Q149&lt;&gt;"",Data!L149="Accept&amp;#233;"),Data!Q149,"")</f>
        <v/>
      </c>
      <c r="E319" s="61" t="str">
        <f>IF(AND(Data!R149&lt;&gt;"",Data!L149="Accept&amp;#233;"),Data!R149,"")</f>
        <v/>
      </c>
      <c r="F319" s="62" t="str">
        <f>IF(AND(Data!R149&lt;&gt;"",Data!L149="Accept&amp;#233;"),Data!S149,"")</f>
        <v/>
      </c>
      <c r="G319" s="63">
        <f>IF(Data!R149='Delivery Plan'!E319,Data!U149,"")</f>
        <v>0</v>
      </c>
      <c r="H319" s="51"/>
      <c r="I319" s="60" t="str">
        <f t="shared" si="9"/>
        <v/>
      </c>
      <c r="J319" s="42" t="str">
        <f>IF(AND(E319=Data!R149,Data!AA149&lt;&gt;""),Data!AA149,"")</f>
        <v/>
      </c>
      <c r="K319" s="64" t="str">
        <f>IF(AND(E319=Data!R149,Data!AE149&lt;&gt;""),Data!AE149,"")</f>
        <v/>
      </c>
      <c r="L319" s="65" t="e">
        <f>IF(E319=Data!#REF!,Data!#REF!,"")</f>
        <v>#REF!</v>
      </c>
      <c r="M319" s="65" t="e">
        <f>IF(E319=Data!#REF!,Data!#REF!,"")</f>
        <v>#REF!</v>
      </c>
      <c r="N319" s="66" t="e">
        <f>IF(AND(Data!#REF!&lt;&gt;"",Data!#REF!="Accept&amp;#233;"),Data!#REF!,"")</f>
        <v>#REF!</v>
      </c>
    </row>
    <row r="320" spans="1:14" ht="19.5" hidden="1" customHeight="1" x14ac:dyDescent="0.3">
      <c r="A320" s="59" t="str">
        <f>IF(AND(Data!R150&lt;&gt;"",Data!L150="Accept&amp;#233;"),Data!G150,"")</f>
        <v/>
      </c>
      <c r="B320" s="59" t="str">
        <f>IF(AND(Data!R150&lt;&gt;"",Data!L150="Accept&amp;#233;"),Data!L150,"")</f>
        <v/>
      </c>
      <c r="C320" s="60" t="str">
        <f t="shared" si="8"/>
        <v/>
      </c>
      <c r="D320" s="42" t="str">
        <f>IF(AND(Data!Q150&lt;&gt;"",Data!L150="Accept&amp;#233;"),Data!Q150,"")</f>
        <v/>
      </c>
      <c r="E320" s="61" t="str">
        <f>IF(AND(Data!R150&lt;&gt;"",Data!L150="Accept&amp;#233;"),Data!R150,"")</f>
        <v/>
      </c>
      <c r="F320" s="62" t="str">
        <f>IF(AND(Data!R150&lt;&gt;"",Data!L150="Accept&amp;#233;"),Data!S150,"")</f>
        <v/>
      </c>
      <c r="G320" s="63" t="str">
        <f>IF(Data!R150='Delivery Plan'!E320,Data!U150,"")</f>
        <v/>
      </c>
      <c r="H320" s="51"/>
      <c r="I320" s="60" t="str">
        <f t="shared" si="9"/>
        <v/>
      </c>
      <c r="J320" s="42" t="str">
        <f>IF(AND(E320=Data!R150,Data!AA150&lt;&gt;""),Data!AA150,"")</f>
        <v/>
      </c>
      <c r="K320" s="64" t="str">
        <f>IF(AND(E320=Data!R150,Data!AE150&lt;&gt;""),Data!AE150,"")</f>
        <v/>
      </c>
      <c r="L320" s="65" t="e">
        <f>IF(E320=Data!#REF!,Data!#REF!,"")</f>
        <v>#REF!</v>
      </c>
      <c r="M320" s="65" t="e">
        <f>IF(E320=Data!#REF!,Data!#REF!,"")</f>
        <v>#REF!</v>
      </c>
      <c r="N320" s="66" t="e">
        <f>IF(AND(Data!#REF!&lt;&gt;"",Data!#REF!="Accept&amp;#233;"),Data!#REF!,"")</f>
        <v>#REF!</v>
      </c>
    </row>
    <row r="321" spans="1:14" ht="19.5" hidden="1" customHeight="1" x14ac:dyDescent="0.3">
      <c r="A321" s="59" t="e">
        <f>IF(AND(Data!#REF!&lt;&gt;"",Data!#REF!="Accept&amp;#233;"),Data!#REF!,"")</f>
        <v>#REF!</v>
      </c>
      <c r="B321" s="59" t="e">
        <f>IF(AND(Data!#REF!&lt;&gt;"",Data!#REF!="Accept&amp;#233;"),Data!#REF!,"")</f>
        <v>#REF!</v>
      </c>
      <c r="C321" s="60" t="e">
        <f t="shared" si="8"/>
        <v>#REF!</v>
      </c>
      <c r="D321" s="42" t="e">
        <f>IF(AND(Data!#REF!&lt;&gt;"",Data!#REF!="Accept&amp;#233;"),Data!#REF!,"")</f>
        <v>#REF!</v>
      </c>
      <c r="E321" s="61" t="e">
        <f>IF(AND(Data!#REF!&lt;&gt;"",Data!#REF!="Accept&amp;#233;"),Data!#REF!,"")</f>
        <v>#REF!</v>
      </c>
      <c r="F321" s="62" t="e">
        <f>IF(AND(Data!#REF!&lt;&gt;"",Data!#REF!="Accept&amp;#233;"),Data!#REF!,"")</f>
        <v>#REF!</v>
      </c>
      <c r="G321" s="63" t="e">
        <f>IF(Data!#REF!='Delivery Plan'!E321,Data!#REF!,"")</f>
        <v>#REF!</v>
      </c>
      <c r="H321" s="51"/>
      <c r="I321" s="60" t="e">
        <f t="shared" si="9"/>
        <v>#REF!</v>
      </c>
      <c r="J321" s="42" t="e">
        <f>IF(AND(E321=Data!#REF!,Data!#REF!&lt;&gt;""),Data!#REF!,"")</f>
        <v>#REF!</v>
      </c>
      <c r="K321" s="64" t="e">
        <f>IF(AND(E321=Data!#REF!,Data!#REF!&lt;&gt;""),Data!#REF!,"")</f>
        <v>#REF!</v>
      </c>
      <c r="L321" s="65" t="e">
        <f>IF(E321=Data!#REF!,Data!#REF!,"")</f>
        <v>#REF!</v>
      </c>
      <c r="M321" s="65" t="e">
        <f>IF(E321=Data!#REF!,Data!#REF!,"")</f>
        <v>#REF!</v>
      </c>
      <c r="N321" s="66" t="e">
        <f>IF(AND(Data!#REF!&lt;&gt;"",Data!#REF!="Accept&amp;#233;"),Data!#REF!,"")</f>
        <v>#REF!</v>
      </c>
    </row>
    <row r="322" spans="1:14" ht="19.5" hidden="1" customHeight="1" x14ac:dyDescent="0.3">
      <c r="A322" s="59" t="e">
        <f>IF(AND(Data!#REF!&lt;&gt;"",Data!#REF!="Accept&amp;#233;"),Data!#REF!,"")</f>
        <v>#REF!</v>
      </c>
      <c r="B322" s="59" t="e">
        <f>IF(AND(Data!#REF!&lt;&gt;"",Data!#REF!="Accept&amp;#233;"),Data!#REF!,"")</f>
        <v>#REF!</v>
      </c>
      <c r="C322" s="60" t="e">
        <f t="shared" si="8"/>
        <v>#REF!</v>
      </c>
      <c r="D322" s="42" t="e">
        <f>IF(AND(Data!#REF!&lt;&gt;"",Data!#REF!="Accept&amp;#233;"),Data!#REF!,"")</f>
        <v>#REF!</v>
      </c>
      <c r="E322" s="61" t="e">
        <f>IF(AND(Data!#REF!&lt;&gt;"",Data!#REF!="Accept&amp;#233;"),Data!#REF!,"")</f>
        <v>#REF!</v>
      </c>
      <c r="F322" s="62" t="e">
        <f>IF(AND(Data!#REF!&lt;&gt;"",Data!#REF!="Accept&amp;#233;"),Data!#REF!,"")</f>
        <v>#REF!</v>
      </c>
      <c r="G322" s="63" t="e">
        <f>IF(Data!#REF!='Delivery Plan'!E322,Data!#REF!,"")</f>
        <v>#REF!</v>
      </c>
      <c r="H322" s="51"/>
      <c r="I322" s="60" t="e">
        <f t="shared" si="9"/>
        <v>#REF!</v>
      </c>
      <c r="J322" s="42" t="e">
        <f>IF(AND(E322=Data!#REF!,Data!#REF!&lt;&gt;""),Data!#REF!,"")</f>
        <v>#REF!</v>
      </c>
      <c r="K322" s="64" t="e">
        <f>IF(AND(E322=Data!#REF!,Data!#REF!&lt;&gt;""),Data!#REF!,"")</f>
        <v>#REF!</v>
      </c>
      <c r="L322" s="65" t="e">
        <f>IF(E322=Data!#REF!,Data!#REF!,"")</f>
        <v>#REF!</v>
      </c>
      <c r="M322" s="65" t="e">
        <f>IF(E322=Data!#REF!,Data!#REF!,"")</f>
        <v>#REF!</v>
      </c>
      <c r="N322" s="66" t="e">
        <f>IF(AND(Data!#REF!&lt;&gt;"",Data!#REF!="Accept&amp;#233;"),Data!#REF!,"")</f>
        <v>#REF!</v>
      </c>
    </row>
    <row r="323" spans="1:14" ht="19.5" hidden="1" customHeight="1" x14ac:dyDescent="0.3">
      <c r="A323" s="59" t="e">
        <f>IF(AND(Data!#REF!&lt;&gt;"",Data!#REF!="Accept&amp;#233;"),Data!#REF!,"")</f>
        <v>#REF!</v>
      </c>
      <c r="B323" s="59" t="e">
        <f>IF(AND(Data!#REF!&lt;&gt;"",Data!#REF!="Accept&amp;#233;"),Data!#REF!,"")</f>
        <v>#REF!</v>
      </c>
      <c r="C323" s="60" t="e">
        <f t="shared" si="8"/>
        <v>#REF!</v>
      </c>
      <c r="D323" s="42" t="e">
        <f>IF(AND(Data!#REF!&lt;&gt;"",Data!#REF!="Accept&amp;#233;"),Data!#REF!,"")</f>
        <v>#REF!</v>
      </c>
      <c r="E323" s="61" t="e">
        <f>IF(AND(Data!#REF!&lt;&gt;"",Data!#REF!="Accept&amp;#233;"),Data!#REF!,"")</f>
        <v>#REF!</v>
      </c>
      <c r="F323" s="62" t="e">
        <f>IF(AND(Data!#REF!&lt;&gt;"",Data!#REF!="Accept&amp;#233;"),Data!#REF!,"")</f>
        <v>#REF!</v>
      </c>
      <c r="G323" s="63" t="e">
        <f>IF(Data!#REF!='Delivery Plan'!E323,Data!#REF!,"")</f>
        <v>#REF!</v>
      </c>
      <c r="H323" s="51"/>
      <c r="I323" s="60" t="e">
        <f t="shared" si="9"/>
        <v>#REF!</v>
      </c>
      <c r="J323" s="42" t="e">
        <f>IF(AND(E323=Data!#REF!,Data!#REF!&lt;&gt;""),Data!#REF!,"")</f>
        <v>#REF!</v>
      </c>
      <c r="K323" s="64" t="e">
        <f>IF(AND(E323=Data!#REF!,Data!#REF!&lt;&gt;""),Data!#REF!,"")</f>
        <v>#REF!</v>
      </c>
      <c r="L323" s="65" t="e">
        <f>IF(E323=Data!#REF!,Data!#REF!,"")</f>
        <v>#REF!</v>
      </c>
      <c r="M323" s="65" t="e">
        <f>IF(E323=Data!#REF!,Data!#REF!,"")</f>
        <v>#REF!</v>
      </c>
      <c r="N323" s="66" t="e">
        <f>IF(AND(Data!#REF!&lt;&gt;"",Data!#REF!="Accept&amp;#233;"),Data!#REF!,"")</f>
        <v>#REF!</v>
      </c>
    </row>
    <row r="324" spans="1:14" ht="19.5" hidden="1" customHeight="1" x14ac:dyDescent="0.3">
      <c r="A324" s="59" t="e">
        <f>IF(AND(Data!#REF!&lt;&gt;"",Data!#REF!="Accept&amp;#233;"),Data!#REF!,"")</f>
        <v>#REF!</v>
      </c>
      <c r="B324" s="59" t="e">
        <f>IF(AND(Data!#REF!&lt;&gt;"",Data!#REF!="Accept&amp;#233;"),Data!#REF!,"")</f>
        <v>#REF!</v>
      </c>
      <c r="C324" s="60" t="e">
        <f t="shared" ref="C324:C387" si="10">IF(D324&lt;&gt;"","S"&amp;TEXT(WEEKNUM(D324),"00"),"")</f>
        <v>#REF!</v>
      </c>
      <c r="D324" s="42" t="e">
        <f>IF(AND(Data!#REF!&lt;&gt;"",Data!#REF!="Accept&amp;#233;"),Data!#REF!,"")</f>
        <v>#REF!</v>
      </c>
      <c r="E324" s="61" t="e">
        <f>IF(AND(Data!#REF!&lt;&gt;"",Data!#REF!="Accept&amp;#233;"),Data!#REF!,"")</f>
        <v>#REF!</v>
      </c>
      <c r="F324" s="62" t="e">
        <f>IF(AND(Data!#REF!&lt;&gt;"",Data!#REF!="Accept&amp;#233;"),Data!#REF!,"")</f>
        <v>#REF!</v>
      </c>
      <c r="G324" s="63" t="e">
        <f>IF(Data!#REF!='Delivery Plan'!E324,Data!#REF!,"")</f>
        <v>#REF!</v>
      </c>
      <c r="H324" s="51"/>
      <c r="I324" s="60" t="e">
        <f t="shared" ref="I324:I387" si="11">IF(J324&lt;&gt;"","S"&amp;TEXT(WEEKNUM(J324),"00"),"")</f>
        <v>#REF!</v>
      </c>
      <c r="J324" s="42" t="e">
        <f>IF(AND(E324=Data!#REF!,Data!#REF!&lt;&gt;""),Data!#REF!,"")</f>
        <v>#REF!</v>
      </c>
      <c r="K324" s="64" t="e">
        <f>IF(AND(E324=Data!#REF!,Data!#REF!&lt;&gt;""),Data!#REF!,"")</f>
        <v>#REF!</v>
      </c>
      <c r="L324" s="65" t="e">
        <f>IF(E324=Data!#REF!,Data!#REF!,"")</f>
        <v>#REF!</v>
      </c>
      <c r="M324" s="65" t="e">
        <f>IF(E324=Data!#REF!,Data!#REF!,"")</f>
        <v>#REF!</v>
      </c>
      <c r="N324" s="66" t="e">
        <f>IF(AND(Data!#REF!&lt;&gt;"",Data!#REF!="Accept&amp;#233;"),Data!#REF!,"")</f>
        <v>#REF!</v>
      </c>
    </row>
    <row r="325" spans="1:14" ht="19.5" hidden="1" customHeight="1" x14ac:dyDescent="0.3">
      <c r="A325" s="59" t="e">
        <f>IF(AND(Data!#REF!&lt;&gt;"",Data!#REF!="Accept&amp;#233;"),Data!#REF!,"")</f>
        <v>#REF!</v>
      </c>
      <c r="B325" s="59" t="e">
        <f>IF(AND(Data!#REF!&lt;&gt;"",Data!#REF!="Accept&amp;#233;"),Data!#REF!,"")</f>
        <v>#REF!</v>
      </c>
      <c r="C325" s="60" t="e">
        <f t="shared" si="10"/>
        <v>#REF!</v>
      </c>
      <c r="D325" s="42" t="e">
        <f>IF(AND(Data!#REF!&lt;&gt;"",Data!#REF!="Accept&amp;#233;"),Data!#REF!,"")</f>
        <v>#REF!</v>
      </c>
      <c r="E325" s="61" t="e">
        <f>IF(AND(Data!#REF!&lt;&gt;"",Data!#REF!="Accept&amp;#233;"),Data!#REF!,"")</f>
        <v>#REF!</v>
      </c>
      <c r="F325" s="62" t="e">
        <f>IF(AND(Data!#REF!&lt;&gt;"",Data!#REF!="Accept&amp;#233;"),Data!#REF!,"")</f>
        <v>#REF!</v>
      </c>
      <c r="G325" s="63" t="e">
        <f>IF(Data!#REF!='Delivery Plan'!E325,Data!#REF!,"")</f>
        <v>#REF!</v>
      </c>
      <c r="H325" s="51"/>
      <c r="I325" s="60" t="e">
        <f t="shared" si="11"/>
        <v>#REF!</v>
      </c>
      <c r="J325" s="42" t="e">
        <f>IF(AND(E325=Data!#REF!,Data!#REF!&lt;&gt;""),Data!#REF!,"")</f>
        <v>#REF!</v>
      </c>
      <c r="K325" s="64" t="e">
        <f>IF(AND(E325=Data!#REF!,Data!#REF!&lt;&gt;""),Data!#REF!,"")</f>
        <v>#REF!</v>
      </c>
      <c r="L325" s="65" t="e">
        <f>IF(E325=Data!#REF!,Data!#REF!,"")</f>
        <v>#REF!</v>
      </c>
      <c r="M325" s="65" t="e">
        <f>IF(E325=Data!#REF!,Data!#REF!,"")</f>
        <v>#REF!</v>
      </c>
      <c r="N325" s="66" t="e">
        <f>IF(AND(Data!#REF!&lt;&gt;"",Data!#REF!="Accept&amp;#233;"),Data!#REF!,"")</f>
        <v>#REF!</v>
      </c>
    </row>
    <row r="326" spans="1:14" ht="19.5" hidden="1" customHeight="1" x14ac:dyDescent="0.3">
      <c r="A326" s="59" t="e">
        <f>IF(AND(Data!#REF!&lt;&gt;"",Data!#REF!="Accept&amp;#233;"),Data!#REF!,"")</f>
        <v>#REF!</v>
      </c>
      <c r="B326" s="59" t="e">
        <f>IF(AND(Data!#REF!&lt;&gt;"",Data!#REF!="Accept&amp;#233;"),Data!#REF!,"")</f>
        <v>#REF!</v>
      </c>
      <c r="C326" s="60" t="e">
        <f t="shared" si="10"/>
        <v>#REF!</v>
      </c>
      <c r="D326" s="42" t="e">
        <f>IF(AND(Data!#REF!&lt;&gt;"",Data!#REF!="Accept&amp;#233;"),Data!#REF!,"")</f>
        <v>#REF!</v>
      </c>
      <c r="E326" s="61" t="e">
        <f>IF(AND(Data!#REF!&lt;&gt;"",Data!#REF!="Accept&amp;#233;"),Data!#REF!,"")</f>
        <v>#REF!</v>
      </c>
      <c r="F326" s="62" t="e">
        <f>IF(AND(Data!#REF!&lt;&gt;"",Data!#REF!="Accept&amp;#233;"),Data!#REF!,"")</f>
        <v>#REF!</v>
      </c>
      <c r="G326" s="63" t="e">
        <f>IF(Data!#REF!='Delivery Plan'!E326,Data!#REF!,"")</f>
        <v>#REF!</v>
      </c>
      <c r="H326" s="51"/>
      <c r="I326" s="60" t="e">
        <f t="shared" si="11"/>
        <v>#REF!</v>
      </c>
      <c r="J326" s="42" t="e">
        <f>IF(AND(E326=Data!#REF!,Data!#REF!&lt;&gt;""),Data!#REF!,"")</f>
        <v>#REF!</v>
      </c>
      <c r="K326" s="64" t="e">
        <f>IF(AND(E326=Data!#REF!,Data!#REF!&lt;&gt;""),Data!#REF!,"")</f>
        <v>#REF!</v>
      </c>
      <c r="L326" s="65" t="e">
        <f>IF(E326=Data!#REF!,Data!#REF!,"")</f>
        <v>#REF!</v>
      </c>
      <c r="M326" s="65" t="e">
        <f>IF(E326=Data!#REF!,Data!#REF!,"")</f>
        <v>#REF!</v>
      </c>
      <c r="N326" s="66" t="e">
        <f>IF(AND(Data!#REF!&lt;&gt;"",Data!#REF!="Accept&amp;#233;"),Data!#REF!,"")</f>
        <v>#REF!</v>
      </c>
    </row>
    <row r="327" spans="1:14" ht="19.5" hidden="1" customHeight="1" x14ac:dyDescent="0.3">
      <c r="A327" s="59" t="e">
        <f>IF(AND(Data!#REF!&lt;&gt;"",Data!#REF!="Accept&amp;#233;"),Data!#REF!,"")</f>
        <v>#REF!</v>
      </c>
      <c r="B327" s="59" t="e">
        <f>IF(AND(Data!#REF!&lt;&gt;"",Data!#REF!="Accept&amp;#233;"),Data!#REF!,"")</f>
        <v>#REF!</v>
      </c>
      <c r="C327" s="60" t="e">
        <f t="shared" si="10"/>
        <v>#REF!</v>
      </c>
      <c r="D327" s="42" t="e">
        <f>IF(AND(Data!#REF!&lt;&gt;"",Data!#REF!="Accept&amp;#233;"),Data!#REF!,"")</f>
        <v>#REF!</v>
      </c>
      <c r="E327" s="61" t="e">
        <f>IF(AND(Data!#REF!&lt;&gt;"",Data!#REF!="Accept&amp;#233;"),Data!#REF!,"")</f>
        <v>#REF!</v>
      </c>
      <c r="F327" s="62" t="e">
        <f>IF(AND(Data!#REF!&lt;&gt;"",Data!#REF!="Accept&amp;#233;"),Data!#REF!,"")</f>
        <v>#REF!</v>
      </c>
      <c r="G327" s="63" t="e">
        <f>IF(Data!#REF!='Delivery Plan'!E327,Data!#REF!,"")</f>
        <v>#REF!</v>
      </c>
      <c r="H327" s="51"/>
      <c r="I327" s="60" t="e">
        <f t="shared" si="11"/>
        <v>#REF!</v>
      </c>
      <c r="J327" s="42" t="e">
        <f>IF(AND(E327=Data!#REF!,Data!#REF!&lt;&gt;""),Data!#REF!,"")</f>
        <v>#REF!</v>
      </c>
      <c r="K327" s="64" t="e">
        <f>IF(AND(E327=Data!#REF!,Data!#REF!&lt;&gt;""),Data!#REF!,"")</f>
        <v>#REF!</v>
      </c>
      <c r="L327" s="65" t="e">
        <f>IF(E327=Data!#REF!,Data!#REF!,"")</f>
        <v>#REF!</v>
      </c>
      <c r="M327" s="65" t="e">
        <f>IF(E327=Data!#REF!,Data!#REF!,"")</f>
        <v>#REF!</v>
      </c>
      <c r="N327" s="66" t="e">
        <f>IF(AND(Data!#REF!&lt;&gt;"",Data!#REF!="Accept&amp;#233;"),Data!#REF!,"")</f>
        <v>#REF!</v>
      </c>
    </row>
    <row r="328" spans="1:14" ht="19.5" hidden="1" customHeight="1" x14ac:dyDescent="0.3">
      <c r="A328" s="59" t="e">
        <f>IF(AND(Data!#REF!&lt;&gt;"",Data!#REF!="Accept&amp;#233;"),Data!#REF!,"")</f>
        <v>#REF!</v>
      </c>
      <c r="B328" s="59" t="e">
        <f>IF(AND(Data!#REF!&lt;&gt;"",Data!#REF!="Accept&amp;#233;"),Data!#REF!,"")</f>
        <v>#REF!</v>
      </c>
      <c r="C328" s="60" t="e">
        <f t="shared" si="10"/>
        <v>#REF!</v>
      </c>
      <c r="D328" s="42" t="e">
        <f>IF(AND(Data!#REF!&lt;&gt;"",Data!#REF!="Accept&amp;#233;"),Data!#REF!,"")</f>
        <v>#REF!</v>
      </c>
      <c r="E328" s="61" t="e">
        <f>IF(AND(Data!#REF!&lt;&gt;"",Data!#REF!="Accept&amp;#233;"),Data!#REF!,"")</f>
        <v>#REF!</v>
      </c>
      <c r="F328" s="62" t="e">
        <f>IF(AND(Data!#REF!&lt;&gt;"",Data!#REF!="Accept&amp;#233;"),Data!#REF!,"")</f>
        <v>#REF!</v>
      </c>
      <c r="G328" s="63" t="e">
        <f>IF(Data!#REF!='Delivery Plan'!E328,Data!#REF!,"")</f>
        <v>#REF!</v>
      </c>
      <c r="H328" s="51"/>
      <c r="I328" s="60" t="e">
        <f t="shared" si="11"/>
        <v>#REF!</v>
      </c>
      <c r="J328" s="42" t="e">
        <f>IF(AND(E328=Data!#REF!,Data!#REF!&lt;&gt;""),Data!#REF!,"")</f>
        <v>#REF!</v>
      </c>
      <c r="K328" s="64" t="e">
        <f>IF(AND(E328=Data!#REF!,Data!#REF!&lt;&gt;""),Data!#REF!,"")</f>
        <v>#REF!</v>
      </c>
      <c r="L328" s="65" t="e">
        <f>IF(E328=Data!#REF!,Data!#REF!,"")</f>
        <v>#REF!</v>
      </c>
      <c r="M328" s="65" t="e">
        <f>IF(E328=Data!#REF!,Data!#REF!,"")</f>
        <v>#REF!</v>
      </c>
      <c r="N328" s="66" t="e">
        <f>IF(AND(Data!#REF!&lt;&gt;"",Data!#REF!="Accept&amp;#233;"),Data!#REF!,"")</f>
        <v>#REF!</v>
      </c>
    </row>
    <row r="329" spans="1:14" ht="19.5" hidden="1" customHeight="1" x14ac:dyDescent="0.3">
      <c r="A329" s="59" t="e">
        <f>IF(AND(Data!#REF!&lt;&gt;"",Data!#REF!="Accept&amp;#233;"),Data!#REF!,"")</f>
        <v>#REF!</v>
      </c>
      <c r="B329" s="59" t="e">
        <f>IF(AND(Data!#REF!&lt;&gt;"",Data!#REF!="Accept&amp;#233;"),Data!#REF!,"")</f>
        <v>#REF!</v>
      </c>
      <c r="C329" s="60" t="e">
        <f t="shared" si="10"/>
        <v>#REF!</v>
      </c>
      <c r="D329" s="42" t="e">
        <f>IF(AND(Data!#REF!&lt;&gt;"",Data!#REF!="Accept&amp;#233;"),Data!#REF!,"")</f>
        <v>#REF!</v>
      </c>
      <c r="E329" s="61" t="e">
        <f>IF(AND(Data!#REF!&lt;&gt;"",Data!#REF!="Accept&amp;#233;"),Data!#REF!,"")</f>
        <v>#REF!</v>
      </c>
      <c r="F329" s="62" t="e">
        <f>IF(AND(Data!#REF!&lt;&gt;"",Data!#REF!="Accept&amp;#233;"),Data!#REF!,"")</f>
        <v>#REF!</v>
      </c>
      <c r="G329" s="63" t="e">
        <f>IF(Data!#REF!='Delivery Plan'!E329,Data!#REF!,"")</f>
        <v>#REF!</v>
      </c>
      <c r="H329" s="51"/>
      <c r="I329" s="60" t="e">
        <f t="shared" si="11"/>
        <v>#REF!</v>
      </c>
      <c r="J329" s="42" t="e">
        <f>IF(AND(E329=Data!#REF!,Data!#REF!&lt;&gt;""),Data!#REF!,"")</f>
        <v>#REF!</v>
      </c>
      <c r="K329" s="64" t="e">
        <f>IF(AND(E329=Data!#REF!,Data!#REF!&lt;&gt;""),Data!#REF!,"")</f>
        <v>#REF!</v>
      </c>
      <c r="L329" s="65" t="e">
        <f>IF(E329=Data!#REF!,Data!#REF!,"")</f>
        <v>#REF!</v>
      </c>
      <c r="M329" s="65" t="e">
        <f>IF(E329=Data!#REF!,Data!#REF!,"")</f>
        <v>#REF!</v>
      </c>
      <c r="N329" s="66" t="e">
        <f>IF(AND(Data!#REF!&lt;&gt;"",Data!#REF!="Accept&amp;#233;"),Data!#REF!,"")</f>
        <v>#REF!</v>
      </c>
    </row>
    <row r="330" spans="1:14" ht="19.5" hidden="1" customHeight="1" x14ac:dyDescent="0.3">
      <c r="A330" s="59" t="e">
        <f>IF(AND(Data!#REF!&lt;&gt;"",Data!#REF!="Accept&amp;#233;"),Data!#REF!,"")</f>
        <v>#REF!</v>
      </c>
      <c r="B330" s="59" t="e">
        <f>IF(AND(Data!#REF!&lt;&gt;"",Data!#REF!="Accept&amp;#233;"),Data!#REF!,"")</f>
        <v>#REF!</v>
      </c>
      <c r="C330" s="60" t="e">
        <f t="shared" si="10"/>
        <v>#REF!</v>
      </c>
      <c r="D330" s="42" t="e">
        <f>IF(AND(Data!#REF!&lt;&gt;"",Data!#REF!="Accept&amp;#233;"),Data!#REF!,"")</f>
        <v>#REF!</v>
      </c>
      <c r="E330" s="61" t="e">
        <f>IF(AND(Data!#REF!&lt;&gt;"",Data!#REF!="Accept&amp;#233;"),Data!#REF!,"")</f>
        <v>#REF!</v>
      </c>
      <c r="F330" s="62" t="e">
        <f>IF(AND(Data!#REF!&lt;&gt;"",Data!#REF!="Accept&amp;#233;"),Data!#REF!,"")</f>
        <v>#REF!</v>
      </c>
      <c r="G330" s="63" t="e">
        <f>IF(Data!#REF!='Delivery Plan'!E330,Data!#REF!,"")</f>
        <v>#REF!</v>
      </c>
      <c r="H330" s="51"/>
      <c r="I330" s="60" t="e">
        <f t="shared" si="11"/>
        <v>#REF!</v>
      </c>
      <c r="J330" s="42" t="e">
        <f>IF(AND(E330=Data!#REF!,Data!#REF!&lt;&gt;""),Data!#REF!,"")</f>
        <v>#REF!</v>
      </c>
      <c r="K330" s="64" t="e">
        <f>IF(AND(E330=Data!#REF!,Data!#REF!&lt;&gt;""),Data!#REF!,"")</f>
        <v>#REF!</v>
      </c>
      <c r="L330" s="65" t="e">
        <f>IF(E330=Data!#REF!,Data!#REF!,"")</f>
        <v>#REF!</v>
      </c>
      <c r="M330" s="65" t="e">
        <f>IF(E330=Data!#REF!,Data!#REF!,"")</f>
        <v>#REF!</v>
      </c>
      <c r="N330" s="66" t="e">
        <f>IF(AND(Data!#REF!&lt;&gt;"",Data!#REF!="Accept&amp;#233;"),Data!#REF!,"")</f>
        <v>#REF!</v>
      </c>
    </row>
    <row r="331" spans="1:14" ht="19.5" hidden="1" customHeight="1" x14ac:dyDescent="0.3">
      <c r="A331" s="59" t="e">
        <f>IF(AND(Data!#REF!&lt;&gt;"",Data!#REF!="Accept&amp;#233;"),Data!#REF!,"")</f>
        <v>#REF!</v>
      </c>
      <c r="B331" s="59" t="e">
        <f>IF(AND(Data!#REF!&lt;&gt;"",Data!#REF!="Accept&amp;#233;"),Data!#REF!,"")</f>
        <v>#REF!</v>
      </c>
      <c r="C331" s="60" t="e">
        <f t="shared" si="10"/>
        <v>#REF!</v>
      </c>
      <c r="D331" s="42" t="e">
        <f>IF(AND(Data!#REF!&lt;&gt;"",Data!#REF!="Accept&amp;#233;"),Data!#REF!,"")</f>
        <v>#REF!</v>
      </c>
      <c r="E331" s="61" t="e">
        <f>IF(AND(Data!#REF!&lt;&gt;"",Data!#REF!="Accept&amp;#233;"),Data!#REF!,"")</f>
        <v>#REF!</v>
      </c>
      <c r="F331" s="62" t="e">
        <f>IF(AND(Data!#REF!&lt;&gt;"",Data!#REF!="Accept&amp;#233;"),Data!#REF!,"")</f>
        <v>#REF!</v>
      </c>
      <c r="G331" s="63" t="e">
        <f>IF(Data!#REF!='Delivery Plan'!E331,Data!#REF!,"")</f>
        <v>#REF!</v>
      </c>
      <c r="H331" s="51"/>
      <c r="I331" s="60" t="e">
        <f t="shared" si="11"/>
        <v>#REF!</v>
      </c>
      <c r="J331" s="42" t="e">
        <f>IF(AND(E331=Data!#REF!,Data!#REF!&lt;&gt;""),Data!#REF!,"")</f>
        <v>#REF!</v>
      </c>
      <c r="K331" s="64" t="e">
        <f>IF(AND(E331=Data!#REF!,Data!#REF!&lt;&gt;""),Data!#REF!,"")</f>
        <v>#REF!</v>
      </c>
      <c r="L331" s="65" t="e">
        <f>IF(E331=Data!#REF!,Data!#REF!,"")</f>
        <v>#REF!</v>
      </c>
      <c r="M331" s="65" t="e">
        <f>IF(E331=Data!#REF!,Data!#REF!,"")</f>
        <v>#REF!</v>
      </c>
      <c r="N331" s="66" t="e">
        <f>IF(AND(Data!#REF!&lt;&gt;"",Data!#REF!="Accept&amp;#233;"),Data!#REF!,"")</f>
        <v>#REF!</v>
      </c>
    </row>
    <row r="332" spans="1:14" ht="19.5" hidden="1" customHeight="1" x14ac:dyDescent="0.3">
      <c r="A332" s="59" t="e">
        <f>IF(AND(Data!#REF!&lt;&gt;"",Data!#REF!="Accept&amp;#233;"),Data!#REF!,"")</f>
        <v>#REF!</v>
      </c>
      <c r="B332" s="59" t="e">
        <f>IF(AND(Data!#REF!&lt;&gt;"",Data!#REF!="Accept&amp;#233;"),Data!#REF!,"")</f>
        <v>#REF!</v>
      </c>
      <c r="C332" s="60" t="e">
        <f t="shared" si="10"/>
        <v>#REF!</v>
      </c>
      <c r="D332" s="42" t="e">
        <f>IF(AND(Data!#REF!&lt;&gt;"",Data!#REF!="Accept&amp;#233;"),Data!#REF!,"")</f>
        <v>#REF!</v>
      </c>
      <c r="E332" s="61" t="e">
        <f>IF(AND(Data!#REF!&lt;&gt;"",Data!#REF!="Accept&amp;#233;"),Data!#REF!,"")</f>
        <v>#REF!</v>
      </c>
      <c r="F332" s="62" t="e">
        <f>IF(AND(Data!#REF!&lt;&gt;"",Data!#REF!="Accept&amp;#233;"),Data!#REF!,"")</f>
        <v>#REF!</v>
      </c>
      <c r="G332" s="63" t="e">
        <f>IF(Data!#REF!='Delivery Plan'!E332,Data!#REF!,"")</f>
        <v>#REF!</v>
      </c>
      <c r="H332" s="51"/>
      <c r="I332" s="60" t="e">
        <f t="shared" si="11"/>
        <v>#REF!</v>
      </c>
      <c r="J332" s="42" t="e">
        <f>IF(AND(E332=Data!#REF!,Data!#REF!&lt;&gt;""),Data!#REF!,"")</f>
        <v>#REF!</v>
      </c>
      <c r="K332" s="64" t="e">
        <f>IF(AND(E332=Data!#REF!,Data!#REF!&lt;&gt;""),Data!#REF!,"")</f>
        <v>#REF!</v>
      </c>
      <c r="L332" s="65" t="e">
        <f>IF(E332=Data!#REF!,Data!#REF!,"")</f>
        <v>#REF!</v>
      </c>
      <c r="M332" s="65" t="e">
        <f>IF(E332=Data!#REF!,Data!#REF!,"")</f>
        <v>#REF!</v>
      </c>
      <c r="N332" s="66" t="e">
        <f>IF(AND(Data!#REF!&lt;&gt;"",Data!#REF!="Accept&amp;#233;"),Data!#REF!,"")</f>
        <v>#REF!</v>
      </c>
    </row>
    <row r="333" spans="1:14" ht="19.5" hidden="1" customHeight="1" x14ac:dyDescent="0.3">
      <c r="A333" s="59" t="e">
        <f>IF(AND(Data!#REF!&lt;&gt;"",Data!#REF!="Accept&amp;#233;"),Data!#REF!,"")</f>
        <v>#REF!</v>
      </c>
      <c r="B333" s="59" t="e">
        <f>IF(AND(Data!#REF!&lt;&gt;"",Data!#REF!="Accept&amp;#233;"),Data!#REF!,"")</f>
        <v>#REF!</v>
      </c>
      <c r="C333" s="60" t="e">
        <f t="shared" si="10"/>
        <v>#REF!</v>
      </c>
      <c r="D333" s="42" t="e">
        <f>IF(AND(Data!#REF!&lt;&gt;"",Data!#REF!="Accept&amp;#233;"),Data!#REF!,"")</f>
        <v>#REF!</v>
      </c>
      <c r="E333" s="61" t="e">
        <f>IF(AND(Data!#REF!&lt;&gt;"",Data!#REF!="Accept&amp;#233;"),Data!#REF!,"")</f>
        <v>#REF!</v>
      </c>
      <c r="F333" s="62" t="e">
        <f>IF(AND(Data!#REF!&lt;&gt;"",Data!#REF!="Accept&amp;#233;"),Data!#REF!,"")</f>
        <v>#REF!</v>
      </c>
      <c r="G333" s="63" t="e">
        <f>IF(Data!#REF!='Delivery Plan'!E333,Data!#REF!,"")</f>
        <v>#REF!</v>
      </c>
      <c r="H333" s="51"/>
      <c r="I333" s="60" t="e">
        <f t="shared" si="11"/>
        <v>#REF!</v>
      </c>
      <c r="J333" s="42" t="e">
        <f>IF(AND(E333=Data!#REF!,Data!#REF!&lt;&gt;""),Data!#REF!,"")</f>
        <v>#REF!</v>
      </c>
      <c r="K333" s="64" t="e">
        <f>IF(AND(E333=Data!#REF!,Data!#REF!&lt;&gt;""),Data!#REF!,"")</f>
        <v>#REF!</v>
      </c>
      <c r="L333" s="65" t="e">
        <f>IF(E333=Data!#REF!,Data!#REF!,"")</f>
        <v>#REF!</v>
      </c>
      <c r="M333" s="65" t="e">
        <f>IF(E333=Data!#REF!,Data!#REF!,"")</f>
        <v>#REF!</v>
      </c>
      <c r="N333" s="66" t="e">
        <f>IF(AND(Data!#REF!&lt;&gt;"",Data!#REF!="Accept&amp;#233;"),Data!#REF!,"")</f>
        <v>#REF!</v>
      </c>
    </row>
    <row r="334" spans="1:14" ht="19.5" hidden="1" customHeight="1" x14ac:dyDescent="0.3">
      <c r="A334" s="59" t="e">
        <f>IF(AND(Data!#REF!&lt;&gt;"",Data!#REF!="Accept&amp;#233;"),Data!#REF!,"")</f>
        <v>#REF!</v>
      </c>
      <c r="B334" s="59" t="e">
        <f>IF(AND(Data!#REF!&lt;&gt;"",Data!#REF!="Accept&amp;#233;"),Data!#REF!,"")</f>
        <v>#REF!</v>
      </c>
      <c r="C334" s="60" t="e">
        <f t="shared" si="10"/>
        <v>#REF!</v>
      </c>
      <c r="D334" s="42" t="e">
        <f>IF(AND(Data!#REF!&lt;&gt;"",Data!#REF!="Accept&amp;#233;"),Data!#REF!,"")</f>
        <v>#REF!</v>
      </c>
      <c r="E334" s="61" t="e">
        <f>IF(AND(Data!#REF!&lt;&gt;"",Data!#REF!="Accept&amp;#233;"),Data!#REF!,"")</f>
        <v>#REF!</v>
      </c>
      <c r="F334" s="62" t="e">
        <f>IF(AND(Data!#REF!&lt;&gt;"",Data!#REF!="Accept&amp;#233;"),Data!#REF!,"")</f>
        <v>#REF!</v>
      </c>
      <c r="G334" s="63" t="e">
        <f>IF(Data!#REF!='Delivery Plan'!E334,Data!#REF!,"")</f>
        <v>#REF!</v>
      </c>
      <c r="H334" s="51"/>
      <c r="I334" s="60" t="e">
        <f t="shared" si="11"/>
        <v>#REF!</v>
      </c>
      <c r="J334" s="42" t="e">
        <f>IF(AND(E334=Data!#REF!,Data!#REF!&lt;&gt;""),Data!#REF!,"")</f>
        <v>#REF!</v>
      </c>
      <c r="K334" s="64" t="e">
        <f>IF(AND(E334=Data!#REF!,Data!#REF!&lt;&gt;""),Data!#REF!,"")</f>
        <v>#REF!</v>
      </c>
      <c r="L334" s="65" t="e">
        <f>IF(E334=Data!#REF!,Data!#REF!,"")</f>
        <v>#REF!</v>
      </c>
      <c r="M334" s="65" t="e">
        <f>IF(E334=Data!#REF!,Data!#REF!,"")</f>
        <v>#REF!</v>
      </c>
      <c r="N334" s="66" t="e">
        <f>IF(AND(Data!#REF!&lt;&gt;"",Data!#REF!="Accept&amp;#233;"),Data!#REF!,"")</f>
        <v>#REF!</v>
      </c>
    </row>
    <row r="335" spans="1:14" ht="19.5" hidden="1" customHeight="1" x14ac:dyDescent="0.3">
      <c r="A335" s="59" t="e">
        <f>IF(AND(Data!#REF!&lt;&gt;"",Data!#REF!="Accept&amp;#233;"),Data!#REF!,"")</f>
        <v>#REF!</v>
      </c>
      <c r="B335" s="59" t="e">
        <f>IF(AND(Data!#REF!&lt;&gt;"",Data!#REF!="Accept&amp;#233;"),Data!#REF!,"")</f>
        <v>#REF!</v>
      </c>
      <c r="C335" s="60" t="e">
        <f t="shared" si="10"/>
        <v>#REF!</v>
      </c>
      <c r="D335" s="42" t="e">
        <f>IF(AND(Data!#REF!&lt;&gt;"",Data!#REF!="Accept&amp;#233;"),Data!#REF!,"")</f>
        <v>#REF!</v>
      </c>
      <c r="E335" s="61" t="e">
        <f>IF(AND(Data!#REF!&lt;&gt;"",Data!#REF!="Accept&amp;#233;"),Data!#REF!,"")</f>
        <v>#REF!</v>
      </c>
      <c r="F335" s="62" t="e">
        <f>IF(AND(Data!#REF!&lt;&gt;"",Data!#REF!="Accept&amp;#233;"),Data!#REF!,"")</f>
        <v>#REF!</v>
      </c>
      <c r="G335" s="63" t="e">
        <f>IF(Data!#REF!='Delivery Plan'!E335,Data!#REF!,"")</f>
        <v>#REF!</v>
      </c>
      <c r="H335" s="51"/>
      <c r="I335" s="60" t="e">
        <f t="shared" si="11"/>
        <v>#REF!</v>
      </c>
      <c r="J335" s="42" t="e">
        <f>IF(AND(E335=Data!#REF!,Data!#REF!&lt;&gt;""),Data!#REF!,"")</f>
        <v>#REF!</v>
      </c>
      <c r="K335" s="64" t="e">
        <f>IF(AND(E335=Data!#REF!,Data!#REF!&lt;&gt;""),Data!#REF!,"")</f>
        <v>#REF!</v>
      </c>
      <c r="L335" s="65" t="e">
        <f>IF(E335=Data!#REF!,Data!#REF!,"")</f>
        <v>#REF!</v>
      </c>
      <c r="M335" s="65" t="e">
        <f>IF(E335=Data!#REF!,Data!#REF!,"")</f>
        <v>#REF!</v>
      </c>
      <c r="N335" s="66" t="e">
        <f>IF(AND(Data!#REF!&lt;&gt;"",Data!#REF!="Accept&amp;#233;"),Data!#REF!,"")</f>
        <v>#REF!</v>
      </c>
    </row>
    <row r="336" spans="1:14" ht="19.5" hidden="1" customHeight="1" x14ac:dyDescent="0.3">
      <c r="A336" s="59" t="e">
        <f>IF(AND(Data!#REF!&lt;&gt;"",Data!#REF!="Accept&amp;#233;"),Data!#REF!,"")</f>
        <v>#REF!</v>
      </c>
      <c r="B336" s="59" t="e">
        <f>IF(AND(Data!#REF!&lt;&gt;"",Data!#REF!="Accept&amp;#233;"),Data!#REF!,"")</f>
        <v>#REF!</v>
      </c>
      <c r="C336" s="60" t="e">
        <f t="shared" si="10"/>
        <v>#REF!</v>
      </c>
      <c r="D336" s="42" t="e">
        <f>IF(AND(Data!#REF!&lt;&gt;"",Data!#REF!="Accept&amp;#233;"),Data!#REF!,"")</f>
        <v>#REF!</v>
      </c>
      <c r="E336" s="61" t="e">
        <f>IF(AND(Data!#REF!&lt;&gt;"",Data!#REF!="Accept&amp;#233;"),Data!#REF!,"")</f>
        <v>#REF!</v>
      </c>
      <c r="F336" s="62" t="e">
        <f>IF(AND(Data!#REF!&lt;&gt;"",Data!#REF!="Accept&amp;#233;"),Data!#REF!,"")</f>
        <v>#REF!</v>
      </c>
      <c r="G336" s="63" t="e">
        <f>IF(Data!#REF!='Delivery Plan'!E336,Data!#REF!,"")</f>
        <v>#REF!</v>
      </c>
      <c r="H336" s="51"/>
      <c r="I336" s="60" t="e">
        <f t="shared" si="11"/>
        <v>#REF!</v>
      </c>
      <c r="J336" s="42" t="e">
        <f>IF(AND(E336=Data!#REF!,Data!#REF!&lt;&gt;""),Data!#REF!,"")</f>
        <v>#REF!</v>
      </c>
      <c r="K336" s="64" t="e">
        <f>IF(AND(E336=Data!#REF!,Data!#REF!&lt;&gt;""),Data!#REF!,"")</f>
        <v>#REF!</v>
      </c>
      <c r="L336" s="65" t="e">
        <f>IF(E336=Data!#REF!,Data!#REF!,"")</f>
        <v>#REF!</v>
      </c>
      <c r="M336" s="65" t="e">
        <f>IF(E336=Data!#REF!,Data!#REF!,"")</f>
        <v>#REF!</v>
      </c>
      <c r="N336" s="66" t="e">
        <f>IF(AND(Data!#REF!&lt;&gt;"",Data!#REF!="Accept&amp;#233;"),Data!#REF!,"")</f>
        <v>#REF!</v>
      </c>
    </row>
    <row r="337" spans="1:14" ht="19.5" hidden="1" customHeight="1" x14ac:dyDescent="0.3">
      <c r="A337" s="59" t="e">
        <f>IF(AND(Data!#REF!&lt;&gt;"",Data!#REF!="Accept&amp;#233;"),Data!#REF!,"")</f>
        <v>#REF!</v>
      </c>
      <c r="B337" s="59" t="e">
        <f>IF(AND(Data!#REF!&lt;&gt;"",Data!#REF!="Accept&amp;#233;"),Data!#REF!,"")</f>
        <v>#REF!</v>
      </c>
      <c r="C337" s="60" t="e">
        <f t="shared" si="10"/>
        <v>#REF!</v>
      </c>
      <c r="D337" s="42" t="e">
        <f>IF(AND(Data!#REF!&lt;&gt;"",Data!#REF!="Accept&amp;#233;"),Data!#REF!,"")</f>
        <v>#REF!</v>
      </c>
      <c r="E337" s="61" t="e">
        <f>IF(AND(Data!#REF!&lt;&gt;"",Data!#REF!="Accept&amp;#233;"),Data!#REF!,"")</f>
        <v>#REF!</v>
      </c>
      <c r="F337" s="62" t="e">
        <f>IF(AND(Data!#REF!&lt;&gt;"",Data!#REF!="Accept&amp;#233;"),Data!#REF!,"")</f>
        <v>#REF!</v>
      </c>
      <c r="G337" s="63" t="e">
        <f>IF(Data!#REF!='Delivery Plan'!E337,Data!#REF!,"")</f>
        <v>#REF!</v>
      </c>
      <c r="H337" s="51"/>
      <c r="I337" s="60" t="e">
        <f t="shared" si="11"/>
        <v>#REF!</v>
      </c>
      <c r="J337" s="42" t="e">
        <f>IF(AND(E337=Data!#REF!,Data!#REF!&lt;&gt;""),Data!#REF!,"")</f>
        <v>#REF!</v>
      </c>
      <c r="K337" s="64" t="e">
        <f>IF(AND(E337=Data!#REF!,Data!#REF!&lt;&gt;""),Data!#REF!,"")</f>
        <v>#REF!</v>
      </c>
      <c r="L337" s="65" t="e">
        <f>IF(E337=Data!#REF!,Data!#REF!,"")</f>
        <v>#REF!</v>
      </c>
      <c r="M337" s="65" t="e">
        <f>IF(E337=Data!#REF!,Data!#REF!,"")</f>
        <v>#REF!</v>
      </c>
      <c r="N337" s="66" t="e">
        <f>IF(AND(Data!#REF!&lt;&gt;"",Data!#REF!="Accept&amp;#233;"),Data!#REF!,"")</f>
        <v>#REF!</v>
      </c>
    </row>
    <row r="338" spans="1:14" ht="19.5" hidden="1" customHeight="1" x14ac:dyDescent="0.3">
      <c r="A338" s="59" t="e">
        <f>IF(AND(Data!#REF!&lt;&gt;"",Data!#REF!="Accept&amp;#233;"),Data!#REF!,"")</f>
        <v>#REF!</v>
      </c>
      <c r="B338" s="59" t="e">
        <f>IF(AND(Data!#REF!&lt;&gt;"",Data!#REF!="Accept&amp;#233;"),Data!#REF!,"")</f>
        <v>#REF!</v>
      </c>
      <c r="C338" s="60" t="e">
        <f t="shared" si="10"/>
        <v>#REF!</v>
      </c>
      <c r="D338" s="42" t="e">
        <f>IF(AND(Data!#REF!&lt;&gt;"",Data!#REF!="Accept&amp;#233;"),Data!#REF!,"")</f>
        <v>#REF!</v>
      </c>
      <c r="E338" s="61" t="e">
        <f>IF(AND(Data!#REF!&lt;&gt;"",Data!#REF!="Accept&amp;#233;"),Data!#REF!,"")</f>
        <v>#REF!</v>
      </c>
      <c r="F338" s="62" t="e">
        <f>IF(AND(Data!#REF!&lt;&gt;"",Data!#REF!="Accept&amp;#233;"),Data!#REF!,"")</f>
        <v>#REF!</v>
      </c>
      <c r="G338" s="63" t="e">
        <f>IF(Data!#REF!='Delivery Plan'!E338,Data!#REF!,"")</f>
        <v>#REF!</v>
      </c>
      <c r="H338" s="51"/>
      <c r="I338" s="60" t="e">
        <f t="shared" si="11"/>
        <v>#REF!</v>
      </c>
      <c r="J338" s="42" t="e">
        <f>IF(AND(E338=Data!#REF!,Data!#REF!&lt;&gt;""),Data!#REF!,"")</f>
        <v>#REF!</v>
      </c>
      <c r="K338" s="64" t="e">
        <f>IF(AND(E338=Data!#REF!,Data!#REF!&lt;&gt;""),Data!#REF!,"")</f>
        <v>#REF!</v>
      </c>
      <c r="L338" s="65" t="e">
        <f>IF(E338=Data!#REF!,Data!#REF!,"")</f>
        <v>#REF!</v>
      </c>
      <c r="M338" s="65" t="e">
        <f>IF(E338=Data!#REF!,Data!#REF!,"")</f>
        <v>#REF!</v>
      </c>
      <c r="N338" s="66" t="e">
        <f>IF(AND(Data!#REF!&lt;&gt;"",Data!#REF!="Accept&amp;#233;"),Data!#REF!,"")</f>
        <v>#REF!</v>
      </c>
    </row>
    <row r="339" spans="1:14" ht="19.5" hidden="1" customHeight="1" x14ac:dyDescent="0.3">
      <c r="A339" s="59" t="e">
        <f>IF(AND(Data!#REF!&lt;&gt;"",Data!#REF!="Accept&amp;#233;"),Data!#REF!,"")</f>
        <v>#REF!</v>
      </c>
      <c r="B339" s="59" t="e">
        <f>IF(AND(Data!#REF!&lt;&gt;"",Data!#REF!="Accept&amp;#233;"),Data!#REF!,"")</f>
        <v>#REF!</v>
      </c>
      <c r="C339" s="60" t="e">
        <f t="shared" si="10"/>
        <v>#REF!</v>
      </c>
      <c r="D339" s="42" t="e">
        <f>IF(AND(Data!#REF!&lt;&gt;"",Data!#REF!="Accept&amp;#233;"),Data!#REF!,"")</f>
        <v>#REF!</v>
      </c>
      <c r="E339" s="61" t="e">
        <f>IF(AND(Data!#REF!&lt;&gt;"",Data!#REF!="Accept&amp;#233;"),Data!#REF!,"")</f>
        <v>#REF!</v>
      </c>
      <c r="F339" s="62" t="e">
        <f>IF(AND(Data!#REF!&lt;&gt;"",Data!#REF!="Accept&amp;#233;"),Data!#REF!,"")</f>
        <v>#REF!</v>
      </c>
      <c r="G339" s="63" t="e">
        <f>IF(Data!#REF!='Delivery Plan'!E339,Data!#REF!,"")</f>
        <v>#REF!</v>
      </c>
      <c r="H339" s="51"/>
      <c r="I339" s="60" t="e">
        <f t="shared" si="11"/>
        <v>#REF!</v>
      </c>
      <c r="J339" s="42" t="e">
        <f>IF(AND(E339=Data!#REF!,Data!#REF!&lt;&gt;""),Data!#REF!,"")</f>
        <v>#REF!</v>
      </c>
      <c r="K339" s="64" t="e">
        <f>IF(AND(E339=Data!#REF!,Data!#REF!&lt;&gt;""),Data!#REF!,"")</f>
        <v>#REF!</v>
      </c>
      <c r="L339" s="65" t="e">
        <f>IF(E339=Data!#REF!,Data!#REF!,"")</f>
        <v>#REF!</v>
      </c>
      <c r="M339" s="65" t="e">
        <f>IF(E339=Data!#REF!,Data!#REF!,"")</f>
        <v>#REF!</v>
      </c>
      <c r="N339" s="66" t="e">
        <f>IF(AND(Data!#REF!&lt;&gt;"",Data!#REF!="Accept&amp;#233;"),Data!#REF!,"")</f>
        <v>#REF!</v>
      </c>
    </row>
    <row r="340" spans="1:14" ht="19.5" hidden="1" customHeight="1" x14ac:dyDescent="0.3">
      <c r="A340" s="59" t="e">
        <f>IF(AND(Data!#REF!&lt;&gt;"",Data!#REF!="Accept&amp;#233;"),Data!#REF!,"")</f>
        <v>#REF!</v>
      </c>
      <c r="B340" s="59" t="e">
        <f>IF(AND(Data!#REF!&lt;&gt;"",Data!#REF!="Accept&amp;#233;"),Data!#REF!,"")</f>
        <v>#REF!</v>
      </c>
      <c r="C340" s="60" t="e">
        <f t="shared" si="10"/>
        <v>#REF!</v>
      </c>
      <c r="D340" s="42" t="e">
        <f>IF(AND(Data!#REF!&lt;&gt;"",Data!#REF!="Accept&amp;#233;"),Data!#REF!,"")</f>
        <v>#REF!</v>
      </c>
      <c r="E340" s="61" t="e">
        <f>IF(AND(Data!#REF!&lt;&gt;"",Data!#REF!="Accept&amp;#233;"),Data!#REF!,"")</f>
        <v>#REF!</v>
      </c>
      <c r="F340" s="62" t="e">
        <f>IF(AND(Data!#REF!&lt;&gt;"",Data!#REF!="Accept&amp;#233;"),Data!#REF!,"")</f>
        <v>#REF!</v>
      </c>
      <c r="G340" s="63" t="e">
        <f>IF(Data!#REF!='Delivery Plan'!E340,Data!#REF!,"")</f>
        <v>#REF!</v>
      </c>
      <c r="H340" s="51"/>
      <c r="I340" s="60" t="e">
        <f t="shared" si="11"/>
        <v>#REF!</v>
      </c>
      <c r="J340" s="42" t="e">
        <f>IF(AND(E340=Data!#REF!,Data!#REF!&lt;&gt;""),Data!#REF!,"")</f>
        <v>#REF!</v>
      </c>
      <c r="K340" s="64" t="e">
        <f>IF(AND(E340=Data!#REF!,Data!#REF!&lt;&gt;""),Data!#REF!,"")</f>
        <v>#REF!</v>
      </c>
      <c r="L340" s="65" t="e">
        <f>IF(E340=Data!#REF!,Data!#REF!,"")</f>
        <v>#REF!</v>
      </c>
      <c r="M340" s="65" t="e">
        <f>IF(E340=Data!#REF!,Data!#REF!,"")</f>
        <v>#REF!</v>
      </c>
      <c r="N340" s="66" t="e">
        <f>IF(AND(Data!#REF!&lt;&gt;"",Data!#REF!="Accept&amp;#233;"),Data!#REF!,"")</f>
        <v>#REF!</v>
      </c>
    </row>
    <row r="341" spans="1:14" ht="19.5" hidden="1" customHeight="1" x14ac:dyDescent="0.3">
      <c r="A341" s="59" t="e">
        <f>IF(AND(Data!#REF!&lt;&gt;"",Data!#REF!="Accept&amp;#233;"),Data!#REF!,"")</f>
        <v>#REF!</v>
      </c>
      <c r="B341" s="59" t="e">
        <f>IF(AND(Data!#REF!&lt;&gt;"",Data!#REF!="Accept&amp;#233;"),Data!#REF!,"")</f>
        <v>#REF!</v>
      </c>
      <c r="C341" s="60" t="e">
        <f t="shared" si="10"/>
        <v>#REF!</v>
      </c>
      <c r="D341" s="42" t="e">
        <f>IF(AND(Data!#REF!&lt;&gt;"",Data!#REF!="Accept&amp;#233;"),Data!#REF!,"")</f>
        <v>#REF!</v>
      </c>
      <c r="E341" s="61" t="e">
        <f>IF(AND(Data!#REF!&lt;&gt;"",Data!#REF!="Accept&amp;#233;"),Data!#REF!,"")</f>
        <v>#REF!</v>
      </c>
      <c r="F341" s="62" t="e">
        <f>IF(AND(Data!#REF!&lt;&gt;"",Data!#REF!="Accept&amp;#233;"),Data!#REF!,"")</f>
        <v>#REF!</v>
      </c>
      <c r="G341" s="63" t="e">
        <f>IF(Data!#REF!='Delivery Plan'!E341,Data!#REF!,"")</f>
        <v>#REF!</v>
      </c>
      <c r="H341" s="51"/>
      <c r="I341" s="60" t="e">
        <f t="shared" si="11"/>
        <v>#REF!</v>
      </c>
      <c r="J341" s="42" t="e">
        <f>IF(AND(E341=Data!#REF!,Data!#REF!&lt;&gt;""),Data!#REF!,"")</f>
        <v>#REF!</v>
      </c>
      <c r="K341" s="64" t="e">
        <f>IF(AND(E341=Data!#REF!,Data!#REF!&lt;&gt;""),Data!#REF!,"")</f>
        <v>#REF!</v>
      </c>
      <c r="L341" s="65" t="e">
        <f>IF(E341=Data!#REF!,Data!#REF!,"")</f>
        <v>#REF!</v>
      </c>
      <c r="M341" s="65" t="e">
        <f>IF(E341=Data!#REF!,Data!#REF!,"")</f>
        <v>#REF!</v>
      </c>
      <c r="N341" s="66" t="e">
        <f>IF(AND(Data!#REF!&lt;&gt;"",Data!#REF!="Accept&amp;#233;"),Data!#REF!,"")</f>
        <v>#REF!</v>
      </c>
    </row>
    <row r="342" spans="1:14" ht="19.5" hidden="1" customHeight="1" x14ac:dyDescent="0.3">
      <c r="A342" s="59" t="e">
        <f>IF(AND(Data!#REF!&lt;&gt;"",Data!#REF!="Accept&amp;#233;"),Data!#REF!,"")</f>
        <v>#REF!</v>
      </c>
      <c r="B342" s="59" t="e">
        <f>IF(AND(Data!#REF!&lt;&gt;"",Data!#REF!="Accept&amp;#233;"),Data!#REF!,"")</f>
        <v>#REF!</v>
      </c>
      <c r="C342" s="60" t="e">
        <f t="shared" si="10"/>
        <v>#REF!</v>
      </c>
      <c r="D342" s="42" t="e">
        <f>IF(AND(Data!#REF!&lt;&gt;"",Data!#REF!="Accept&amp;#233;"),Data!#REF!,"")</f>
        <v>#REF!</v>
      </c>
      <c r="E342" s="61" t="e">
        <f>IF(AND(Data!#REF!&lt;&gt;"",Data!#REF!="Accept&amp;#233;"),Data!#REF!,"")</f>
        <v>#REF!</v>
      </c>
      <c r="F342" s="62" t="e">
        <f>IF(AND(Data!#REF!&lt;&gt;"",Data!#REF!="Accept&amp;#233;"),Data!#REF!,"")</f>
        <v>#REF!</v>
      </c>
      <c r="G342" s="63" t="e">
        <f>IF(Data!#REF!='Delivery Plan'!E342,Data!#REF!,"")</f>
        <v>#REF!</v>
      </c>
      <c r="H342" s="51"/>
      <c r="I342" s="60" t="e">
        <f t="shared" si="11"/>
        <v>#REF!</v>
      </c>
      <c r="J342" s="42" t="e">
        <f>IF(AND(E342=Data!#REF!,Data!#REF!&lt;&gt;""),Data!#REF!,"")</f>
        <v>#REF!</v>
      </c>
      <c r="K342" s="64" t="e">
        <f>IF(AND(E342=Data!#REF!,Data!#REF!&lt;&gt;""),Data!#REF!,"")</f>
        <v>#REF!</v>
      </c>
      <c r="L342" s="65" t="e">
        <f>IF(E342=Data!#REF!,Data!#REF!,"")</f>
        <v>#REF!</v>
      </c>
      <c r="M342" s="65" t="e">
        <f>IF(E342=Data!#REF!,Data!#REF!,"")</f>
        <v>#REF!</v>
      </c>
      <c r="N342" s="66" t="e">
        <f>IF(AND(Data!#REF!&lt;&gt;"",Data!#REF!="Accept&amp;#233;"),Data!#REF!,"")</f>
        <v>#REF!</v>
      </c>
    </row>
    <row r="343" spans="1:14" ht="19.5" hidden="1" customHeight="1" x14ac:dyDescent="0.3">
      <c r="A343" s="59" t="e">
        <f>IF(AND(Data!#REF!&lt;&gt;"",Data!#REF!="Accept&amp;#233;"),Data!#REF!,"")</f>
        <v>#REF!</v>
      </c>
      <c r="B343" s="59" t="e">
        <f>IF(AND(Data!#REF!&lt;&gt;"",Data!#REF!="Accept&amp;#233;"),Data!#REF!,"")</f>
        <v>#REF!</v>
      </c>
      <c r="C343" s="60" t="e">
        <f t="shared" si="10"/>
        <v>#REF!</v>
      </c>
      <c r="D343" s="42" t="e">
        <f>IF(AND(Data!#REF!&lt;&gt;"",Data!#REF!="Accept&amp;#233;"),Data!#REF!,"")</f>
        <v>#REF!</v>
      </c>
      <c r="E343" s="61" t="e">
        <f>IF(AND(Data!#REF!&lt;&gt;"",Data!#REF!="Accept&amp;#233;"),Data!#REF!,"")</f>
        <v>#REF!</v>
      </c>
      <c r="F343" s="62" t="e">
        <f>IF(AND(Data!#REF!&lt;&gt;"",Data!#REF!="Accept&amp;#233;"),Data!#REF!,"")</f>
        <v>#REF!</v>
      </c>
      <c r="G343" s="63" t="e">
        <f>IF(Data!#REF!='Delivery Plan'!E343,Data!#REF!,"")</f>
        <v>#REF!</v>
      </c>
      <c r="H343" s="51"/>
      <c r="I343" s="60" t="e">
        <f t="shared" si="11"/>
        <v>#REF!</v>
      </c>
      <c r="J343" s="42" t="e">
        <f>IF(AND(E343=Data!#REF!,Data!#REF!&lt;&gt;""),Data!#REF!,"")</f>
        <v>#REF!</v>
      </c>
      <c r="K343" s="64" t="e">
        <f>IF(AND(E343=Data!#REF!,Data!#REF!&lt;&gt;""),Data!#REF!,"")</f>
        <v>#REF!</v>
      </c>
      <c r="L343" s="65" t="e">
        <f>IF(E343=Data!#REF!,Data!#REF!,"")</f>
        <v>#REF!</v>
      </c>
      <c r="M343" s="65" t="e">
        <f>IF(E343=Data!#REF!,Data!#REF!,"")</f>
        <v>#REF!</v>
      </c>
      <c r="N343" s="66" t="e">
        <f>IF(AND(Data!#REF!&lt;&gt;"",Data!#REF!="Accept&amp;#233;"),Data!#REF!,"")</f>
        <v>#REF!</v>
      </c>
    </row>
    <row r="344" spans="1:14" ht="19.5" hidden="1" customHeight="1" x14ac:dyDescent="0.3">
      <c r="A344" s="59" t="e">
        <f>IF(AND(Data!#REF!&lt;&gt;"",Data!#REF!="Accept&amp;#233;"),Data!#REF!,"")</f>
        <v>#REF!</v>
      </c>
      <c r="B344" s="59" t="e">
        <f>IF(AND(Data!#REF!&lt;&gt;"",Data!#REF!="Accept&amp;#233;"),Data!#REF!,"")</f>
        <v>#REF!</v>
      </c>
      <c r="C344" s="60" t="e">
        <f t="shared" si="10"/>
        <v>#REF!</v>
      </c>
      <c r="D344" s="42" t="e">
        <f>IF(AND(Data!#REF!&lt;&gt;"",Data!#REF!="Accept&amp;#233;"),Data!#REF!,"")</f>
        <v>#REF!</v>
      </c>
      <c r="E344" s="61" t="e">
        <f>IF(AND(Data!#REF!&lt;&gt;"",Data!#REF!="Accept&amp;#233;"),Data!#REF!,"")</f>
        <v>#REF!</v>
      </c>
      <c r="F344" s="62" t="e">
        <f>IF(AND(Data!#REF!&lt;&gt;"",Data!#REF!="Accept&amp;#233;"),Data!#REF!,"")</f>
        <v>#REF!</v>
      </c>
      <c r="G344" s="63" t="e">
        <f>IF(Data!#REF!='Delivery Plan'!E344,Data!#REF!,"")</f>
        <v>#REF!</v>
      </c>
      <c r="H344" s="51"/>
      <c r="I344" s="60" t="e">
        <f t="shared" si="11"/>
        <v>#REF!</v>
      </c>
      <c r="J344" s="42" t="e">
        <f>IF(AND(E344=Data!#REF!,Data!#REF!&lt;&gt;""),Data!#REF!,"")</f>
        <v>#REF!</v>
      </c>
      <c r="K344" s="64" t="e">
        <f>IF(AND(E344=Data!#REF!,Data!#REF!&lt;&gt;""),Data!#REF!,"")</f>
        <v>#REF!</v>
      </c>
      <c r="L344" s="65" t="e">
        <f>IF(E344=Data!#REF!,Data!#REF!,"")</f>
        <v>#REF!</v>
      </c>
      <c r="M344" s="65" t="e">
        <f>IF(E344=Data!#REF!,Data!#REF!,"")</f>
        <v>#REF!</v>
      </c>
      <c r="N344" s="66" t="e">
        <f>IF(AND(Data!#REF!&lt;&gt;"",Data!#REF!="Accept&amp;#233;"),Data!#REF!,"")</f>
        <v>#REF!</v>
      </c>
    </row>
    <row r="345" spans="1:14" ht="19.5" hidden="1" customHeight="1" x14ac:dyDescent="0.3">
      <c r="A345" s="59" t="e">
        <f>IF(AND(Data!#REF!&lt;&gt;"",Data!#REF!="Accept&amp;#233;"),Data!#REF!,"")</f>
        <v>#REF!</v>
      </c>
      <c r="B345" s="59" t="e">
        <f>IF(AND(Data!#REF!&lt;&gt;"",Data!#REF!="Accept&amp;#233;"),Data!#REF!,"")</f>
        <v>#REF!</v>
      </c>
      <c r="C345" s="60" t="e">
        <f t="shared" si="10"/>
        <v>#REF!</v>
      </c>
      <c r="D345" s="42" t="e">
        <f>IF(AND(Data!#REF!&lt;&gt;"",Data!#REF!="Accept&amp;#233;"),Data!#REF!,"")</f>
        <v>#REF!</v>
      </c>
      <c r="E345" s="61" t="e">
        <f>IF(AND(Data!#REF!&lt;&gt;"",Data!#REF!="Accept&amp;#233;"),Data!#REF!,"")</f>
        <v>#REF!</v>
      </c>
      <c r="F345" s="62" t="e">
        <f>IF(AND(Data!#REF!&lt;&gt;"",Data!#REF!="Accept&amp;#233;"),Data!#REF!,"")</f>
        <v>#REF!</v>
      </c>
      <c r="G345" s="63" t="e">
        <f>IF(Data!#REF!='Delivery Plan'!E345,Data!#REF!,"")</f>
        <v>#REF!</v>
      </c>
      <c r="H345" s="51"/>
      <c r="I345" s="60" t="e">
        <f t="shared" si="11"/>
        <v>#REF!</v>
      </c>
      <c r="J345" s="42" t="e">
        <f>IF(AND(E345=Data!#REF!,Data!#REF!&lt;&gt;""),Data!#REF!,"")</f>
        <v>#REF!</v>
      </c>
      <c r="K345" s="64" t="e">
        <f>IF(AND(E345=Data!#REF!,Data!#REF!&lt;&gt;""),Data!#REF!,"")</f>
        <v>#REF!</v>
      </c>
      <c r="L345" s="65" t="e">
        <f>IF(E345=Data!#REF!,Data!#REF!,"")</f>
        <v>#REF!</v>
      </c>
      <c r="M345" s="65" t="e">
        <f>IF(E345=Data!#REF!,Data!#REF!,"")</f>
        <v>#REF!</v>
      </c>
      <c r="N345" s="66" t="e">
        <f>IF(AND(Data!#REF!&lt;&gt;"",Data!#REF!="Accept&amp;#233;"),Data!#REF!,"")</f>
        <v>#REF!</v>
      </c>
    </row>
    <row r="346" spans="1:14" ht="19.5" hidden="1" customHeight="1" x14ac:dyDescent="0.3">
      <c r="A346" s="59" t="e">
        <f>IF(AND(Data!#REF!&lt;&gt;"",Data!#REF!="Accept&amp;#233;"),Data!#REF!,"")</f>
        <v>#REF!</v>
      </c>
      <c r="B346" s="59" t="e">
        <f>IF(AND(Data!#REF!&lt;&gt;"",Data!#REF!="Accept&amp;#233;"),Data!#REF!,"")</f>
        <v>#REF!</v>
      </c>
      <c r="C346" s="60" t="e">
        <f t="shared" si="10"/>
        <v>#REF!</v>
      </c>
      <c r="D346" s="42" t="e">
        <f>IF(AND(Data!#REF!&lt;&gt;"",Data!#REF!="Accept&amp;#233;"),Data!#REF!,"")</f>
        <v>#REF!</v>
      </c>
      <c r="E346" s="61" t="e">
        <f>IF(AND(Data!#REF!&lt;&gt;"",Data!#REF!="Accept&amp;#233;"),Data!#REF!,"")</f>
        <v>#REF!</v>
      </c>
      <c r="F346" s="62" t="e">
        <f>IF(AND(Data!#REF!&lt;&gt;"",Data!#REF!="Accept&amp;#233;"),Data!#REF!,"")</f>
        <v>#REF!</v>
      </c>
      <c r="G346" s="63" t="e">
        <f>IF(Data!#REF!='Delivery Plan'!E346,Data!#REF!,"")</f>
        <v>#REF!</v>
      </c>
      <c r="H346" s="51"/>
      <c r="I346" s="60" t="e">
        <f t="shared" si="11"/>
        <v>#REF!</v>
      </c>
      <c r="J346" s="42" t="e">
        <f>IF(AND(E346=Data!#REF!,Data!#REF!&lt;&gt;""),Data!#REF!,"")</f>
        <v>#REF!</v>
      </c>
      <c r="K346" s="64" t="e">
        <f>IF(AND(E346=Data!#REF!,Data!#REF!&lt;&gt;""),Data!#REF!,"")</f>
        <v>#REF!</v>
      </c>
      <c r="L346" s="65" t="e">
        <f>IF(E346=Data!#REF!,Data!#REF!,"")</f>
        <v>#REF!</v>
      </c>
      <c r="M346" s="65" t="e">
        <f>IF(E346=Data!#REF!,Data!#REF!,"")</f>
        <v>#REF!</v>
      </c>
      <c r="N346" s="66" t="e">
        <f>IF(AND(Data!#REF!&lt;&gt;"",Data!#REF!="Accept&amp;#233;"),Data!#REF!,"")</f>
        <v>#REF!</v>
      </c>
    </row>
    <row r="347" spans="1:14" ht="19.5" hidden="1" customHeight="1" x14ac:dyDescent="0.3">
      <c r="A347" s="59" t="e">
        <f>IF(AND(Data!#REF!&lt;&gt;"",Data!#REF!="Accept&amp;#233;"),Data!#REF!,"")</f>
        <v>#REF!</v>
      </c>
      <c r="B347" s="59" t="e">
        <f>IF(AND(Data!#REF!&lt;&gt;"",Data!#REF!="Accept&amp;#233;"),Data!#REF!,"")</f>
        <v>#REF!</v>
      </c>
      <c r="C347" s="60" t="e">
        <f t="shared" si="10"/>
        <v>#REF!</v>
      </c>
      <c r="D347" s="42" t="e">
        <f>IF(AND(Data!#REF!&lt;&gt;"",Data!#REF!="Accept&amp;#233;"),Data!#REF!,"")</f>
        <v>#REF!</v>
      </c>
      <c r="E347" s="61" t="e">
        <f>IF(AND(Data!#REF!&lt;&gt;"",Data!#REF!="Accept&amp;#233;"),Data!#REF!,"")</f>
        <v>#REF!</v>
      </c>
      <c r="F347" s="62" t="e">
        <f>IF(AND(Data!#REF!&lt;&gt;"",Data!#REF!="Accept&amp;#233;"),Data!#REF!,"")</f>
        <v>#REF!</v>
      </c>
      <c r="G347" s="63" t="e">
        <f>IF(Data!#REF!='Delivery Plan'!E347,Data!#REF!,"")</f>
        <v>#REF!</v>
      </c>
      <c r="H347" s="51"/>
      <c r="I347" s="60" t="e">
        <f t="shared" si="11"/>
        <v>#REF!</v>
      </c>
      <c r="J347" s="42" t="e">
        <f>IF(AND(E347=Data!#REF!,Data!#REF!&lt;&gt;""),Data!#REF!,"")</f>
        <v>#REF!</v>
      </c>
      <c r="K347" s="64" t="e">
        <f>IF(AND(E347=Data!#REF!,Data!#REF!&lt;&gt;""),Data!#REF!,"")</f>
        <v>#REF!</v>
      </c>
      <c r="L347" s="65" t="e">
        <f>IF(E347=Data!#REF!,Data!#REF!,"")</f>
        <v>#REF!</v>
      </c>
      <c r="M347" s="65" t="e">
        <f>IF(E347=Data!#REF!,Data!#REF!,"")</f>
        <v>#REF!</v>
      </c>
      <c r="N347" s="66" t="e">
        <f>IF(AND(Data!#REF!&lt;&gt;"",Data!#REF!="Accept&amp;#233;"),Data!#REF!,"")</f>
        <v>#REF!</v>
      </c>
    </row>
    <row r="348" spans="1:14" ht="19.5" hidden="1" customHeight="1" x14ac:dyDescent="0.3">
      <c r="A348" s="59" t="e">
        <f>IF(AND(Data!#REF!&lt;&gt;"",Data!#REF!="Accept&amp;#233;"),Data!#REF!,"")</f>
        <v>#REF!</v>
      </c>
      <c r="B348" s="59" t="e">
        <f>IF(AND(Data!#REF!&lt;&gt;"",Data!#REF!="Accept&amp;#233;"),Data!#REF!,"")</f>
        <v>#REF!</v>
      </c>
      <c r="C348" s="60" t="e">
        <f t="shared" si="10"/>
        <v>#REF!</v>
      </c>
      <c r="D348" s="42" t="e">
        <f>IF(AND(Data!#REF!&lt;&gt;"",Data!#REF!="Accept&amp;#233;"),Data!#REF!,"")</f>
        <v>#REF!</v>
      </c>
      <c r="E348" s="61" t="e">
        <f>IF(AND(Data!#REF!&lt;&gt;"",Data!#REF!="Accept&amp;#233;"),Data!#REF!,"")</f>
        <v>#REF!</v>
      </c>
      <c r="F348" s="62" t="e">
        <f>IF(AND(Data!#REF!&lt;&gt;"",Data!#REF!="Accept&amp;#233;"),Data!#REF!,"")</f>
        <v>#REF!</v>
      </c>
      <c r="G348" s="63" t="e">
        <f>IF(Data!#REF!='Delivery Plan'!E348,Data!#REF!,"")</f>
        <v>#REF!</v>
      </c>
      <c r="H348" s="51"/>
      <c r="I348" s="60" t="e">
        <f t="shared" si="11"/>
        <v>#REF!</v>
      </c>
      <c r="J348" s="42" t="e">
        <f>IF(AND(E348=Data!#REF!,Data!#REF!&lt;&gt;""),Data!#REF!,"")</f>
        <v>#REF!</v>
      </c>
      <c r="K348" s="64" t="e">
        <f>IF(AND(E348=Data!#REF!,Data!#REF!&lt;&gt;""),Data!#REF!,"")</f>
        <v>#REF!</v>
      </c>
      <c r="L348" s="65" t="e">
        <f>IF(E348=Data!#REF!,Data!#REF!,"")</f>
        <v>#REF!</v>
      </c>
      <c r="M348" s="65" t="e">
        <f>IF(E348=Data!#REF!,Data!#REF!,"")</f>
        <v>#REF!</v>
      </c>
      <c r="N348" s="66" t="e">
        <f>IF(AND(Data!#REF!&lt;&gt;"",Data!#REF!="Accept&amp;#233;"),Data!#REF!,"")</f>
        <v>#REF!</v>
      </c>
    </row>
    <row r="349" spans="1:14" ht="19.5" hidden="1" customHeight="1" x14ac:dyDescent="0.3">
      <c r="A349" s="59" t="e">
        <f>IF(AND(Data!#REF!&lt;&gt;"",Data!#REF!="Accept&amp;#233;"),Data!#REF!,"")</f>
        <v>#REF!</v>
      </c>
      <c r="B349" s="59" t="e">
        <f>IF(AND(Data!#REF!&lt;&gt;"",Data!#REF!="Accept&amp;#233;"),Data!#REF!,"")</f>
        <v>#REF!</v>
      </c>
      <c r="C349" s="60" t="e">
        <f t="shared" si="10"/>
        <v>#REF!</v>
      </c>
      <c r="D349" s="42" t="e">
        <f>IF(AND(Data!#REF!&lt;&gt;"",Data!#REF!="Accept&amp;#233;"),Data!#REF!,"")</f>
        <v>#REF!</v>
      </c>
      <c r="E349" s="61" t="e">
        <f>IF(AND(Data!#REF!&lt;&gt;"",Data!#REF!="Accept&amp;#233;"),Data!#REF!,"")</f>
        <v>#REF!</v>
      </c>
      <c r="F349" s="62" t="e">
        <f>IF(AND(Data!#REF!&lt;&gt;"",Data!#REF!="Accept&amp;#233;"),Data!#REF!,"")</f>
        <v>#REF!</v>
      </c>
      <c r="G349" s="63" t="e">
        <f>IF(Data!#REF!='Delivery Plan'!E349,Data!#REF!,"")</f>
        <v>#REF!</v>
      </c>
      <c r="H349" s="51"/>
      <c r="I349" s="60" t="e">
        <f t="shared" si="11"/>
        <v>#REF!</v>
      </c>
      <c r="J349" s="42" t="e">
        <f>IF(AND(E349=Data!#REF!,Data!#REF!&lt;&gt;""),Data!#REF!,"")</f>
        <v>#REF!</v>
      </c>
      <c r="K349" s="64" t="e">
        <f>IF(AND(E349=Data!#REF!,Data!#REF!&lt;&gt;""),Data!#REF!,"")</f>
        <v>#REF!</v>
      </c>
      <c r="L349" s="65" t="e">
        <f>IF(E349=Data!#REF!,Data!#REF!,"")</f>
        <v>#REF!</v>
      </c>
      <c r="M349" s="65" t="e">
        <f>IF(E349=Data!#REF!,Data!#REF!,"")</f>
        <v>#REF!</v>
      </c>
      <c r="N349" s="66" t="e">
        <f>IF(AND(Data!#REF!&lt;&gt;"",Data!#REF!="Accept&amp;#233;"),Data!#REF!,"")</f>
        <v>#REF!</v>
      </c>
    </row>
    <row r="350" spans="1:14" ht="19.5" hidden="1" customHeight="1" x14ac:dyDescent="0.3">
      <c r="A350" s="59" t="e">
        <f>IF(AND(Data!#REF!&lt;&gt;"",Data!#REF!="Accept&amp;#233;"),Data!#REF!,"")</f>
        <v>#REF!</v>
      </c>
      <c r="B350" s="59" t="e">
        <f>IF(AND(Data!#REF!&lt;&gt;"",Data!#REF!="Accept&amp;#233;"),Data!#REF!,"")</f>
        <v>#REF!</v>
      </c>
      <c r="C350" s="60" t="e">
        <f t="shared" si="10"/>
        <v>#REF!</v>
      </c>
      <c r="D350" s="42" t="e">
        <f>IF(AND(Data!#REF!&lt;&gt;"",Data!#REF!="Accept&amp;#233;"),Data!#REF!,"")</f>
        <v>#REF!</v>
      </c>
      <c r="E350" s="61" t="e">
        <f>IF(AND(Data!#REF!&lt;&gt;"",Data!#REF!="Accept&amp;#233;"),Data!#REF!,"")</f>
        <v>#REF!</v>
      </c>
      <c r="F350" s="62" t="e">
        <f>IF(AND(Data!#REF!&lt;&gt;"",Data!#REF!="Accept&amp;#233;"),Data!#REF!,"")</f>
        <v>#REF!</v>
      </c>
      <c r="G350" s="63" t="e">
        <f>IF(Data!#REF!='Delivery Plan'!E350,Data!#REF!,"")</f>
        <v>#REF!</v>
      </c>
      <c r="H350" s="51"/>
      <c r="I350" s="60" t="e">
        <f t="shared" si="11"/>
        <v>#REF!</v>
      </c>
      <c r="J350" s="42" t="e">
        <f>IF(AND(E350=Data!#REF!,Data!#REF!&lt;&gt;""),Data!#REF!,"")</f>
        <v>#REF!</v>
      </c>
      <c r="K350" s="64" t="e">
        <f>IF(AND(E350=Data!#REF!,Data!#REF!&lt;&gt;""),Data!#REF!,"")</f>
        <v>#REF!</v>
      </c>
      <c r="L350" s="65" t="e">
        <f>IF(E350=Data!#REF!,Data!#REF!,"")</f>
        <v>#REF!</v>
      </c>
      <c r="M350" s="65" t="e">
        <f>IF(E350=Data!#REF!,Data!#REF!,"")</f>
        <v>#REF!</v>
      </c>
      <c r="N350" s="66" t="e">
        <f>IF(AND(Data!#REF!&lt;&gt;"",Data!#REF!="Accept&amp;#233;"),Data!#REF!,"")</f>
        <v>#REF!</v>
      </c>
    </row>
    <row r="351" spans="1:14" ht="19.5" hidden="1" customHeight="1" x14ac:dyDescent="0.3">
      <c r="A351" s="59" t="e">
        <f>IF(AND(Data!#REF!&lt;&gt;"",Data!#REF!="Accept&amp;#233;"),Data!#REF!,"")</f>
        <v>#REF!</v>
      </c>
      <c r="B351" s="59" t="e">
        <f>IF(AND(Data!#REF!&lt;&gt;"",Data!#REF!="Accept&amp;#233;"),Data!#REF!,"")</f>
        <v>#REF!</v>
      </c>
      <c r="C351" s="60" t="e">
        <f t="shared" si="10"/>
        <v>#REF!</v>
      </c>
      <c r="D351" s="42" t="e">
        <f>IF(AND(Data!#REF!&lt;&gt;"",Data!#REF!="Accept&amp;#233;"),Data!#REF!,"")</f>
        <v>#REF!</v>
      </c>
      <c r="E351" s="61" t="e">
        <f>IF(AND(Data!#REF!&lt;&gt;"",Data!#REF!="Accept&amp;#233;"),Data!#REF!,"")</f>
        <v>#REF!</v>
      </c>
      <c r="F351" s="62" t="e">
        <f>IF(AND(Data!#REF!&lt;&gt;"",Data!#REF!="Accept&amp;#233;"),Data!#REF!,"")</f>
        <v>#REF!</v>
      </c>
      <c r="G351" s="63" t="e">
        <f>IF(Data!#REF!='Delivery Plan'!E351,Data!#REF!,"")</f>
        <v>#REF!</v>
      </c>
      <c r="H351" s="51"/>
      <c r="I351" s="60" t="e">
        <f t="shared" si="11"/>
        <v>#REF!</v>
      </c>
      <c r="J351" s="42" t="e">
        <f>IF(AND(E351=Data!#REF!,Data!#REF!&lt;&gt;""),Data!#REF!,"")</f>
        <v>#REF!</v>
      </c>
      <c r="K351" s="64" t="e">
        <f>IF(AND(E351=Data!#REF!,Data!#REF!&lt;&gt;""),Data!#REF!,"")</f>
        <v>#REF!</v>
      </c>
      <c r="L351" s="65" t="e">
        <f>IF(E351=Data!#REF!,Data!#REF!,"")</f>
        <v>#REF!</v>
      </c>
      <c r="M351" s="65" t="e">
        <f>IF(E351=Data!#REF!,Data!#REF!,"")</f>
        <v>#REF!</v>
      </c>
      <c r="N351" s="66" t="e">
        <f>IF(AND(Data!#REF!&lt;&gt;"",Data!#REF!="Accept&amp;#233;"),Data!#REF!,"")</f>
        <v>#REF!</v>
      </c>
    </row>
    <row r="352" spans="1:14" ht="19.5" hidden="1" customHeight="1" x14ac:dyDescent="0.3">
      <c r="A352" s="59" t="e">
        <f>IF(AND(Data!#REF!&lt;&gt;"",Data!#REF!="Accept&amp;#233;"),Data!#REF!,"")</f>
        <v>#REF!</v>
      </c>
      <c r="B352" s="59" t="e">
        <f>IF(AND(Data!#REF!&lt;&gt;"",Data!#REF!="Accept&amp;#233;"),Data!#REF!,"")</f>
        <v>#REF!</v>
      </c>
      <c r="C352" s="60" t="e">
        <f t="shared" si="10"/>
        <v>#REF!</v>
      </c>
      <c r="D352" s="42" t="e">
        <f>IF(AND(Data!#REF!&lt;&gt;"",Data!#REF!="Accept&amp;#233;"),Data!#REF!,"")</f>
        <v>#REF!</v>
      </c>
      <c r="E352" s="61" t="e">
        <f>IF(AND(Data!#REF!&lt;&gt;"",Data!#REF!="Accept&amp;#233;"),Data!#REF!,"")</f>
        <v>#REF!</v>
      </c>
      <c r="F352" s="62" t="e">
        <f>IF(AND(Data!#REF!&lt;&gt;"",Data!#REF!="Accept&amp;#233;"),Data!#REF!,"")</f>
        <v>#REF!</v>
      </c>
      <c r="G352" s="63" t="e">
        <f>IF(Data!#REF!='Delivery Plan'!E352,Data!#REF!,"")</f>
        <v>#REF!</v>
      </c>
      <c r="H352" s="51"/>
      <c r="I352" s="60" t="e">
        <f t="shared" si="11"/>
        <v>#REF!</v>
      </c>
      <c r="J352" s="42" t="e">
        <f>IF(AND(E352=Data!#REF!,Data!#REF!&lt;&gt;""),Data!#REF!,"")</f>
        <v>#REF!</v>
      </c>
      <c r="K352" s="64" t="e">
        <f>IF(AND(E352=Data!#REF!,Data!#REF!&lt;&gt;""),Data!#REF!,"")</f>
        <v>#REF!</v>
      </c>
      <c r="L352" s="65" t="e">
        <f>IF(E352=Data!#REF!,Data!#REF!,"")</f>
        <v>#REF!</v>
      </c>
      <c r="M352" s="65" t="e">
        <f>IF(E352=Data!#REF!,Data!#REF!,"")</f>
        <v>#REF!</v>
      </c>
      <c r="N352" s="66" t="e">
        <f>IF(AND(Data!#REF!&lt;&gt;"",Data!#REF!="Accept&amp;#233;"),Data!#REF!,"")</f>
        <v>#REF!</v>
      </c>
    </row>
    <row r="353" spans="1:14" ht="19.5" hidden="1" customHeight="1" x14ac:dyDescent="0.3">
      <c r="A353" s="59" t="e">
        <f>IF(AND(Data!#REF!&lt;&gt;"",Data!#REF!="Accept&amp;#233;"),Data!#REF!,"")</f>
        <v>#REF!</v>
      </c>
      <c r="B353" s="59" t="e">
        <f>IF(AND(Data!#REF!&lt;&gt;"",Data!#REF!="Accept&amp;#233;"),Data!#REF!,"")</f>
        <v>#REF!</v>
      </c>
      <c r="C353" s="60" t="e">
        <f t="shared" si="10"/>
        <v>#REF!</v>
      </c>
      <c r="D353" s="42" t="e">
        <f>IF(AND(Data!#REF!&lt;&gt;"",Data!#REF!="Accept&amp;#233;"),Data!#REF!,"")</f>
        <v>#REF!</v>
      </c>
      <c r="E353" s="61" t="e">
        <f>IF(AND(Data!#REF!&lt;&gt;"",Data!#REF!="Accept&amp;#233;"),Data!#REF!,"")</f>
        <v>#REF!</v>
      </c>
      <c r="F353" s="62" t="e">
        <f>IF(AND(Data!#REF!&lt;&gt;"",Data!#REF!="Accept&amp;#233;"),Data!#REF!,"")</f>
        <v>#REF!</v>
      </c>
      <c r="G353" s="63" t="e">
        <f>IF(Data!#REF!='Delivery Plan'!E353,Data!#REF!,"")</f>
        <v>#REF!</v>
      </c>
      <c r="H353" s="51"/>
      <c r="I353" s="60" t="e">
        <f t="shared" si="11"/>
        <v>#REF!</v>
      </c>
      <c r="J353" s="42" t="e">
        <f>IF(AND(E353=Data!#REF!,Data!#REF!&lt;&gt;""),Data!#REF!,"")</f>
        <v>#REF!</v>
      </c>
      <c r="K353" s="64" t="e">
        <f>IF(AND(E353=Data!#REF!,Data!#REF!&lt;&gt;""),Data!#REF!,"")</f>
        <v>#REF!</v>
      </c>
      <c r="L353" s="65" t="e">
        <f>IF(E353=Data!#REF!,Data!#REF!,"")</f>
        <v>#REF!</v>
      </c>
      <c r="M353" s="65" t="e">
        <f>IF(E353=Data!#REF!,Data!#REF!,"")</f>
        <v>#REF!</v>
      </c>
      <c r="N353" s="66" t="e">
        <f>IF(AND(Data!#REF!&lt;&gt;"",Data!#REF!="Accept&amp;#233;"),Data!#REF!,"")</f>
        <v>#REF!</v>
      </c>
    </row>
    <row r="354" spans="1:14" ht="19.5" hidden="1" customHeight="1" x14ac:dyDescent="0.3">
      <c r="A354" s="59" t="e">
        <f>IF(AND(Data!#REF!&lt;&gt;"",Data!#REF!="Accept&amp;#233;"),Data!#REF!,"")</f>
        <v>#REF!</v>
      </c>
      <c r="B354" s="59" t="e">
        <f>IF(AND(Data!#REF!&lt;&gt;"",Data!#REF!="Accept&amp;#233;"),Data!#REF!,"")</f>
        <v>#REF!</v>
      </c>
      <c r="C354" s="60" t="e">
        <f t="shared" si="10"/>
        <v>#REF!</v>
      </c>
      <c r="D354" s="42" t="e">
        <f>IF(AND(Data!#REF!&lt;&gt;"",Data!#REF!="Accept&amp;#233;"),Data!#REF!,"")</f>
        <v>#REF!</v>
      </c>
      <c r="E354" s="61" t="e">
        <f>IF(AND(Data!#REF!&lt;&gt;"",Data!#REF!="Accept&amp;#233;"),Data!#REF!,"")</f>
        <v>#REF!</v>
      </c>
      <c r="F354" s="62" t="e">
        <f>IF(AND(Data!#REF!&lt;&gt;"",Data!#REF!="Accept&amp;#233;"),Data!#REF!,"")</f>
        <v>#REF!</v>
      </c>
      <c r="G354" s="63" t="e">
        <f>IF(Data!#REF!='Delivery Plan'!E354,Data!#REF!,"")</f>
        <v>#REF!</v>
      </c>
      <c r="H354" s="51"/>
      <c r="I354" s="60" t="e">
        <f t="shared" si="11"/>
        <v>#REF!</v>
      </c>
      <c r="J354" s="42" t="e">
        <f>IF(AND(E354=Data!#REF!,Data!#REF!&lt;&gt;""),Data!#REF!,"")</f>
        <v>#REF!</v>
      </c>
      <c r="K354" s="64" t="e">
        <f>IF(AND(E354=Data!#REF!,Data!#REF!&lt;&gt;""),Data!#REF!,"")</f>
        <v>#REF!</v>
      </c>
      <c r="L354" s="65" t="e">
        <f>IF(E354=Data!#REF!,Data!#REF!,"")</f>
        <v>#REF!</v>
      </c>
      <c r="M354" s="65" t="e">
        <f>IF(E354=Data!#REF!,Data!#REF!,"")</f>
        <v>#REF!</v>
      </c>
      <c r="N354" s="66" t="e">
        <f>IF(AND(Data!#REF!&lt;&gt;"",Data!#REF!="Accept&amp;#233;"),Data!#REF!,"")</f>
        <v>#REF!</v>
      </c>
    </row>
    <row r="355" spans="1:14" ht="19.5" hidden="1" customHeight="1" x14ac:dyDescent="0.3">
      <c r="A355" s="59" t="e">
        <f>IF(AND(Data!#REF!&lt;&gt;"",Data!#REF!="Accept&amp;#233;"),Data!#REF!,"")</f>
        <v>#REF!</v>
      </c>
      <c r="B355" s="59" t="e">
        <f>IF(AND(Data!#REF!&lt;&gt;"",Data!#REF!="Accept&amp;#233;"),Data!#REF!,"")</f>
        <v>#REF!</v>
      </c>
      <c r="C355" s="60" t="e">
        <f t="shared" si="10"/>
        <v>#REF!</v>
      </c>
      <c r="D355" s="42" t="e">
        <f>IF(AND(Data!#REF!&lt;&gt;"",Data!#REF!="Accept&amp;#233;"),Data!#REF!,"")</f>
        <v>#REF!</v>
      </c>
      <c r="E355" s="61" t="e">
        <f>IF(AND(Data!#REF!&lt;&gt;"",Data!#REF!="Accept&amp;#233;"),Data!#REF!,"")</f>
        <v>#REF!</v>
      </c>
      <c r="F355" s="62" t="e">
        <f>IF(AND(Data!#REF!&lt;&gt;"",Data!#REF!="Accept&amp;#233;"),Data!#REF!,"")</f>
        <v>#REF!</v>
      </c>
      <c r="G355" s="63" t="e">
        <f>IF(Data!#REF!='Delivery Plan'!E355,Data!#REF!,"")</f>
        <v>#REF!</v>
      </c>
      <c r="H355" s="51"/>
      <c r="I355" s="60" t="e">
        <f t="shared" si="11"/>
        <v>#REF!</v>
      </c>
      <c r="J355" s="42" t="e">
        <f>IF(AND(E355=Data!#REF!,Data!#REF!&lt;&gt;""),Data!#REF!,"")</f>
        <v>#REF!</v>
      </c>
      <c r="K355" s="64" t="e">
        <f>IF(AND(E355=Data!#REF!,Data!#REF!&lt;&gt;""),Data!#REF!,"")</f>
        <v>#REF!</v>
      </c>
      <c r="L355" s="65" t="e">
        <f>IF(E355=Data!#REF!,Data!#REF!,"")</f>
        <v>#REF!</v>
      </c>
      <c r="M355" s="65" t="e">
        <f>IF(E355=Data!#REF!,Data!#REF!,"")</f>
        <v>#REF!</v>
      </c>
      <c r="N355" s="66" t="e">
        <f>IF(AND(Data!#REF!&lt;&gt;"",Data!#REF!="Accept&amp;#233;"),Data!#REF!,"")</f>
        <v>#REF!</v>
      </c>
    </row>
    <row r="356" spans="1:14" ht="19.5" hidden="1" customHeight="1" x14ac:dyDescent="0.3">
      <c r="A356" s="59" t="e">
        <f>IF(AND(Data!#REF!&lt;&gt;"",Data!#REF!="Accept&amp;#233;"),Data!#REF!,"")</f>
        <v>#REF!</v>
      </c>
      <c r="B356" s="59" t="e">
        <f>IF(AND(Data!#REF!&lt;&gt;"",Data!#REF!="Accept&amp;#233;"),Data!#REF!,"")</f>
        <v>#REF!</v>
      </c>
      <c r="C356" s="60" t="e">
        <f t="shared" si="10"/>
        <v>#REF!</v>
      </c>
      <c r="D356" s="42" t="e">
        <f>IF(AND(Data!#REF!&lt;&gt;"",Data!#REF!="Accept&amp;#233;"),Data!#REF!,"")</f>
        <v>#REF!</v>
      </c>
      <c r="E356" s="61" t="e">
        <f>IF(AND(Data!#REF!&lt;&gt;"",Data!#REF!="Accept&amp;#233;"),Data!#REF!,"")</f>
        <v>#REF!</v>
      </c>
      <c r="F356" s="62" t="e">
        <f>IF(AND(Data!#REF!&lt;&gt;"",Data!#REF!="Accept&amp;#233;"),Data!#REF!,"")</f>
        <v>#REF!</v>
      </c>
      <c r="G356" s="63" t="e">
        <f>IF(Data!#REF!='Delivery Plan'!E356,Data!#REF!,"")</f>
        <v>#REF!</v>
      </c>
      <c r="H356" s="51"/>
      <c r="I356" s="60" t="e">
        <f t="shared" si="11"/>
        <v>#REF!</v>
      </c>
      <c r="J356" s="42" t="e">
        <f>IF(AND(E356=Data!#REF!,Data!#REF!&lt;&gt;""),Data!#REF!,"")</f>
        <v>#REF!</v>
      </c>
      <c r="K356" s="64" t="e">
        <f>IF(AND(E356=Data!#REF!,Data!#REF!&lt;&gt;""),Data!#REF!,"")</f>
        <v>#REF!</v>
      </c>
      <c r="L356" s="65" t="e">
        <f>IF(E356=Data!#REF!,Data!#REF!,"")</f>
        <v>#REF!</v>
      </c>
      <c r="M356" s="65" t="e">
        <f>IF(E356=Data!#REF!,Data!#REF!,"")</f>
        <v>#REF!</v>
      </c>
      <c r="N356" s="66" t="e">
        <f>IF(AND(Data!#REF!&lt;&gt;"",Data!#REF!="Accept&amp;#233;"),Data!#REF!,"")</f>
        <v>#REF!</v>
      </c>
    </row>
    <row r="357" spans="1:14" ht="19.5" hidden="1" customHeight="1" x14ac:dyDescent="0.3">
      <c r="A357" s="59" t="e">
        <f>IF(AND(Data!#REF!&lt;&gt;"",Data!#REF!="Accept&amp;#233;"),Data!#REF!,"")</f>
        <v>#REF!</v>
      </c>
      <c r="B357" s="59" t="e">
        <f>IF(AND(Data!#REF!&lt;&gt;"",Data!#REF!="Accept&amp;#233;"),Data!#REF!,"")</f>
        <v>#REF!</v>
      </c>
      <c r="C357" s="60" t="e">
        <f t="shared" si="10"/>
        <v>#REF!</v>
      </c>
      <c r="D357" s="42" t="e">
        <f>IF(AND(Data!#REF!&lt;&gt;"",Data!#REF!="Accept&amp;#233;"),Data!#REF!,"")</f>
        <v>#REF!</v>
      </c>
      <c r="E357" s="61" t="e">
        <f>IF(AND(Data!#REF!&lt;&gt;"",Data!#REF!="Accept&amp;#233;"),Data!#REF!,"")</f>
        <v>#REF!</v>
      </c>
      <c r="F357" s="62" t="e">
        <f>IF(AND(Data!#REF!&lt;&gt;"",Data!#REF!="Accept&amp;#233;"),Data!#REF!,"")</f>
        <v>#REF!</v>
      </c>
      <c r="G357" s="63" t="e">
        <f>IF(Data!#REF!='Delivery Plan'!E357,Data!#REF!,"")</f>
        <v>#REF!</v>
      </c>
      <c r="H357" s="51"/>
      <c r="I357" s="60" t="e">
        <f t="shared" si="11"/>
        <v>#REF!</v>
      </c>
      <c r="J357" s="42" t="e">
        <f>IF(AND(E357=Data!#REF!,Data!#REF!&lt;&gt;""),Data!#REF!,"")</f>
        <v>#REF!</v>
      </c>
      <c r="K357" s="64" t="e">
        <f>IF(AND(E357=Data!#REF!,Data!#REF!&lt;&gt;""),Data!#REF!,"")</f>
        <v>#REF!</v>
      </c>
      <c r="L357" s="65" t="e">
        <f>IF(E357=Data!#REF!,Data!#REF!,"")</f>
        <v>#REF!</v>
      </c>
      <c r="M357" s="65" t="e">
        <f>IF(E357=Data!#REF!,Data!#REF!,"")</f>
        <v>#REF!</v>
      </c>
      <c r="N357" s="66" t="e">
        <f>IF(AND(Data!#REF!&lt;&gt;"",Data!#REF!="Accept&amp;#233;"),Data!#REF!,"")</f>
        <v>#REF!</v>
      </c>
    </row>
    <row r="358" spans="1:14" ht="19.5" hidden="1" customHeight="1" x14ac:dyDescent="0.3">
      <c r="A358" s="59" t="e">
        <f>IF(AND(Data!#REF!&lt;&gt;"",Data!#REF!="Accept&amp;#233;"),Data!#REF!,"")</f>
        <v>#REF!</v>
      </c>
      <c r="B358" s="59" t="e">
        <f>IF(AND(Data!#REF!&lt;&gt;"",Data!#REF!="Accept&amp;#233;"),Data!#REF!,"")</f>
        <v>#REF!</v>
      </c>
      <c r="C358" s="60" t="e">
        <f t="shared" si="10"/>
        <v>#REF!</v>
      </c>
      <c r="D358" s="42" t="e">
        <f>IF(AND(Data!#REF!&lt;&gt;"",Data!#REF!="Accept&amp;#233;"),Data!#REF!,"")</f>
        <v>#REF!</v>
      </c>
      <c r="E358" s="61" t="e">
        <f>IF(AND(Data!#REF!&lt;&gt;"",Data!#REF!="Accept&amp;#233;"),Data!#REF!,"")</f>
        <v>#REF!</v>
      </c>
      <c r="F358" s="62" t="e">
        <f>IF(AND(Data!#REF!&lt;&gt;"",Data!#REF!="Accept&amp;#233;"),Data!#REF!,"")</f>
        <v>#REF!</v>
      </c>
      <c r="G358" s="63" t="e">
        <f>IF(Data!#REF!='Delivery Plan'!E358,Data!#REF!,"")</f>
        <v>#REF!</v>
      </c>
      <c r="H358" s="51"/>
      <c r="I358" s="60" t="e">
        <f t="shared" si="11"/>
        <v>#REF!</v>
      </c>
      <c r="J358" s="42" t="e">
        <f>IF(AND(E358=Data!#REF!,Data!#REF!&lt;&gt;""),Data!#REF!,"")</f>
        <v>#REF!</v>
      </c>
      <c r="K358" s="64" t="e">
        <f>IF(AND(E358=Data!#REF!,Data!#REF!&lt;&gt;""),Data!#REF!,"")</f>
        <v>#REF!</v>
      </c>
      <c r="L358" s="65" t="e">
        <f>IF(E358=Data!#REF!,Data!#REF!,"")</f>
        <v>#REF!</v>
      </c>
      <c r="M358" s="65" t="e">
        <f>IF(E358=Data!#REF!,Data!#REF!,"")</f>
        <v>#REF!</v>
      </c>
      <c r="N358" s="66" t="e">
        <f>IF(AND(Data!#REF!&lt;&gt;"",Data!#REF!="Accept&amp;#233;"),Data!#REF!,"")</f>
        <v>#REF!</v>
      </c>
    </row>
    <row r="359" spans="1:14" ht="19.5" hidden="1" customHeight="1" x14ac:dyDescent="0.3">
      <c r="A359" s="59" t="e">
        <f>IF(AND(Data!#REF!&lt;&gt;"",Data!#REF!="Accept&amp;#233;"),Data!#REF!,"")</f>
        <v>#REF!</v>
      </c>
      <c r="B359" s="59" t="e">
        <f>IF(AND(Data!#REF!&lt;&gt;"",Data!#REF!="Accept&amp;#233;"),Data!#REF!,"")</f>
        <v>#REF!</v>
      </c>
      <c r="C359" s="60" t="e">
        <f t="shared" si="10"/>
        <v>#REF!</v>
      </c>
      <c r="D359" s="42" t="e">
        <f>IF(AND(Data!#REF!&lt;&gt;"",Data!#REF!="Accept&amp;#233;"),Data!#REF!,"")</f>
        <v>#REF!</v>
      </c>
      <c r="E359" s="61" t="e">
        <f>IF(AND(Data!#REF!&lt;&gt;"",Data!#REF!="Accept&amp;#233;"),Data!#REF!,"")</f>
        <v>#REF!</v>
      </c>
      <c r="F359" s="62" t="e">
        <f>IF(AND(Data!#REF!&lt;&gt;"",Data!#REF!="Accept&amp;#233;"),Data!#REF!,"")</f>
        <v>#REF!</v>
      </c>
      <c r="G359" s="63" t="e">
        <f>IF(Data!#REF!='Delivery Plan'!E359,Data!#REF!,"")</f>
        <v>#REF!</v>
      </c>
      <c r="H359" s="51"/>
      <c r="I359" s="60" t="e">
        <f t="shared" si="11"/>
        <v>#REF!</v>
      </c>
      <c r="J359" s="42" t="e">
        <f>IF(AND(E359=Data!#REF!,Data!#REF!&lt;&gt;""),Data!#REF!,"")</f>
        <v>#REF!</v>
      </c>
      <c r="K359" s="64" t="e">
        <f>IF(AND(E359=Data!#REF!,Data!#REF!&lt;&gt;""),Data!#REF!,"")</f>
        <v>#REF!</v>
      </c>
      <c r="L359" s="65" t="e">
        <f>IF(E359=Data!#REF!,Data!#REF!,"")</f>
        <v>#REF!</v>
      </c>
      <c r="M359" s="65" t="e">
        <f>IF(E359=Data!#REF!,Data!#REF!,"")</f>
        <v>#REF!</v>
      </c>
      <c r="N359" s="66" t="e">
        <f>IF(AND(Data!#REF!&lt;&gt;"",Data!#REF!="Accept&amp;#233;"),Data!#REF!,"")</f>
        <v>#REF!</v>
      </c>
    </row>
    <row r="360" spans="1:14" ht="19.5" hidden="1" customHeight="1" x14ac:dyDescent="0.3">
      <c r="A360" s="59" t="e">
        <f>IF(AND(Data!#REF!&lt;&gt;"",Data!#REF!="Accept&amp;#233;"),Data!#REF!,"")</f>
        <v>#REF!</v>
      </c>
      <c r="B360" s="59" t="e">
        <f>IF(AND(Data!#REF!&lt;&gt;"",Data!#REF!="Accept&amp;#233;"),Data!#REF!,"")</f>
        <v>#REF!</v>
      </c>
      <c r="C360" s="60" t="e">
        <f t="shared" si="10"/>
        <v>#REF!</v>
      </c>
      <c r="D360" s="42" t="e">
        <f>IF(AND(Data!#REF!&lt;&gt;"",Data!#REF!="Accept&amp;#233;"),Data!#REF!,"")</f>
        <v>#REF!</v>
      </c>
      <c r="E360" s="61" t="e">
        <f>IF(AND(Data!#REF!&lt;&gt;"",Data!#REF!="Accept&amp;#233;"),Data!#REF!,"")</f>
        <v>#REF!</v>
      </c>
      <c r="F360" s="62" t="e">
        <f>IF(AND(Data!#REF!&lt;&gt;"",Data!#REF!="Accept&amp;#233;"),Data!#REF!,"")</f>
        <v>#REF!</v>
      </c>
      <c r="G360" s="63" t="e">
        <f>IF(Data!#REF!='Delivery Plan'!E360,Data!#REF!,"")</f>
        <v>#REF!</v>
      </c>
      <c r="H360" s="51"/>
      <c r="I360" s="60" t="e">
        <f t="shared" si="11"/>
        <v>#REF!</v>
      </c>
      <c r="J360" s="42" t="e">
        <f>IF(AND(E360=Data!#REF!,Data!#REF!&lt;&gt;""),Data!#REF!,"")</f>
        <v>#REF!</v>
      </c>
      <c r="K360" s="64" t="e">
        <f>IF(AND(E360=Data!#REF!,Data!#REF!&lt;&gt;""),Data!#REF!,"")</f>
        <v>#REF!</v>
      </c>
      <c r="L360" s="65" t="e">
        <f>IF(E360=Data!#REF!,Data!#REF!,"")</f>
        <v>#REF!</v>
      </c>
      <c r="M360" s="65" t="e">
        <f>IF(E360=Data!#REF!,Data!#REF!,"")</f>
        <v>#REF!</v>
      </c>
      <c r="N360" s="66" t="e">
        <f>IF(AND(Data!#REF!&lt;&gt;"",Data!#REF!="Accept&amp;#233;"),Data!#REF!,"")</f>
        <v>#REF!</v>
      </c>
    </row>
    <row r="361" spans="1:14" ht="19.5" hidden="1" customHeight="1" x14ac:dyDescent="0.3">
      <c r="A361" s="59" t="e">
        <f>IF(AND(Data!#REF!&lt;&gt;"",Data!#REF!="Accept&amp;#233;"),Data!#REF!,"")</f>
        <v>#REF!</v>
      </c>
      <c r="B361" s="59" t="e">
        <f>IF(AND(Data!#REF!&lt;&gt;"",Data!#REF!="Accept&amp;#233;"),Data!#REF!,"")</f>
        <v>#REF!</v>
      </c>
      <c r="C361" s="60" t="e">
        <f t="shared" si="10"/>
        <v>#REF!</v>
      </c>
      <c r="D361" s="42" t="e">
        <f>IF(AND(Data!#REF!&lt;&gt;"",Data!#REF!="Accept&amp;#233;"),Data!#REF!,"")</f>
        <v>#REF!</v>
      </c>
      <c r="E361" s="61" t="e">
        <f>IF(AND(Data!#REF!&lt;&gt;"",Data!#REF!="Accept&amp;#233;"),Data!#REF!,"")</f>
        <v>#REF!</v>
      </c>
      <c r="F361" s="62" t="e">
        <f>IF(AND(Data!#REF!&lt;&gt;"",Data!#REF!="Accept&amp;#233;"),Data!#REF!,"")</f>
        <v>#REF!</v>
      </c>
      <c r="G361" s="63" t="e">
        <f>IF(Data!#REF!='Delivery Plan'!E361,Data!#REF!,"")</f>
        <v>#REF!</v>
      </c>
      <c r="H361" s="51"/>
      <c r="I361" s="60" t="e">
        <f t="shared" si="11"/>
        <v>#REF!</v>
      </c>
      <c r="J361" s="42" t="e">
        <f>IF(AND(E361=Data!#REF!,Data!#REF!&lt;&gt;""),Data!#REF!,"")</f>
        <v>#REF!</v>
      </c>
      <c r="K361" s="64" t="e">
        <f>IF(AND(E361=Data!#REF!,Data!#REF!&lt;&gt;""),Data!#REF!,"")</f>
        <v>#REF!</v>
      </c>
      <c r="L361" s="65" t="e">
        <f>IF(E361=Data!#REF!,Data!#REF!,"")</f>
        <v>#REF!</v>
      </c>
      <c r="M361" s="65" t="e">
        <f>IF(E361=Data!#REF!,Data!#REF!,"")</f>
        <v>#REF!</v>
      </c>
      <c r="N361" s="66" t="e">
        <f>IF(AND(Data!#REF!&lt;&gt;"",Data!#REF!="Accept&amp;#233;"),Data!#REF!,"")</f>
        <v>#REF!</v>
      </c>
    </row>
    <row r="362" spans="1:14" ht="19.5" hidden="1" customHeight="1" x14ac:dyDescent="0.3">
      <c r="A362" s="59" t="e">
        <f>IF(AND(Data!#REF!&lt;&gt;"",Data!#REF!="Accept&amp;#233;"),Data!#REF!,"")</f>
        <v>#REF!</v>
      </c>
      <c r="B362" s="59" t="e">
        <f>IF(AND(Data!#REF!&lt;&gt;"",Data!#REF!="Accept&amp;#233;"),Data!#REF!,"")</f>
        <v>#REF!</v>
      </c>
      <c r="C362" s="60" t="e">
        <f t="shared" si="10"/>
        <v>#REF!</v>
      </c>
      <c r="D362" s="42" t="e">
        <f>IF(AND(Data!#REF!&lt;&gt;"",Data!#REF!="Accept&amp;#233;"),Data!#REF!,"")</f>
        <v>#REF!</v>
      </c>
      <c r="E362" s="61" t="e">
        <f>IF(AND(Data!#REF!&lt;&gt;"",Data!#REF!="Accept&amp;#233;"),Data!#REF!,"")</f>
        <v>#REF!</v>
      </c>
      <c r="F362" s="62" t="e">
        <f>IF(AND(Data!#REF!&lt;&gt;"",Data!#REF!="Accept&amp;#233;"),Data!#REF!,"")</f>
        <v>#REF!</v>
      </c>
      <c r="G362" s="63" t="e">
        <f>IF(Data!#REF!='Delivery Plan'!E362,Data!#REF!,"")</f>
        <v>#REF!</v>
      </c>
      <c r="H362" s="51"/>
      <c r="I362" s="60" t="e">
        <f t="shared" si="11"/>
        <v>#REF!</v>
      </c>
      <c r="J362" s="42" t="e">
        <f>IF(AND(E362=Data!#REF!,Data!#REF!&lt;&gt;""),Data!#REF!,"")</f>
        <v>#REF!</v>
      </c>
      <c r="K362" s="64" t="e">
        <f>IF(AND(E362=Data!#REF!,Data!#REF!&lt;&gt;""),Data!#REF!,"")</f>
        <v>#REF!</v>
      </c>
      <c r="L362" s="65" t="e">
        <f>IF(E362=Data!#REF!,Data!#REF!,"")</f>
        <v>#REF!</v>
      </c>
      <c r="M362" s="65" t="e">
        <f>IF(E362=Data!#REF!,Data!#REF!,"")</f>
        <v>#REF!</v>
      </c>
      <c r="N362" s="66" t="e">
        <f>IF(AND(Data!#REF!&lt;&gt;"",Data!#REF!="Accept&amp;#233;"),Data!#REF!,"")</f>
        <v>#REF!</v>
      </c>
    </row>
    <row r="363" spans="1:14" ht="19.5" hidden="1" customHeight="1" x14ac:dyDescent="0.3">
      <c r="A363" s="59" t="e">
        <f>IF(AND(Data!#REF!&lt;&gt;"",Data!#REF!="Accept&amp;#233;"),Data!#REF!,"")</f>
        <v>#REF!</v>
      </c>
      <c r="B363" s="59" t="e">
        <f>IF(AND(Data!#REF!&lt;&gt;"",Data!#REF!="Accept&amp;#233;"),Data!#REF!,"")</f>
        <v>#REF!</v>
      </c>
      <c r="C363" s="60" t="e">
        <f t="shared" si="10"/>
        <v>#REF!</v>
      </c>
      <c r="D363" s="42" t="e">
        <f>IF(AND(Data!#REF!&lt;&gt;"",Data!#REF!="Accept&amp;#233;"),Data!#REF!,"")</f>
        <v>#REF!</v>
      </c>
      <c r="E363" s="61" t="e">
        <f>IF(AND(Data!#REF!&lt;&gt;"",Data!#REF!="Accept&amp;#233;"),Data!#REF!,"")</f>
        <v>#REF!</v>
      </c>
      <c r="F363" s="62" t="e">
        <f>IF(AND(Data!#REF!&lt;&gt;"",Data!#REF!="Accept&amp;#233;"),Data!#REF!,"")</f>
        <v>#REF!</v>
      </c>
      <c r="G363" s="63" t="e">
        <f>IF(Data!#REF!='Delivery Plan'!E363,Data!#REF!,"")</f>
        <v>#REF!</v>
      </c>
      <c r="H363" s="51"/>
      <c r="I363" s="60" t="e">
        <f t="shared" si="11"/>
        <v>#REF!</v>
      </c>
      <c r="J363" s="42" t="e">
        <f>IF(AND(E363=Data!#REF!,Data!#REF!&lt;&gt;""),Data!#REF!,"")</f>
        <v>#REF!</v>
      </c>
      <c r="K363" s="64" t="e">
        <f>IF(AND(E363=Data!#REF!,Data!#REF!&lt;&gt;""),Data!#REF!,"")</f>
        <v>#REF!</v>
      </c>
      <c r="L363" s="65" t="e">
        <f>IF(E363=Data!#REF!,Data!#REF!,"")</f>
        <v>#REF!</v>
      </c>
      <c r="M363" s="65" t="e">
        <f>IF(E363=Data!#REF!,Data!#REF!,"")</f>
        <v>#REF!</v>
      </c>
      <c r="N363" s="66" t="e">
        <f>IF(AND(Data!#REF!&lt;&gt;"",Data!#REF!="Accept&amp;#233;"),Data!#REF!,"")</f>
        <v>#REF!</v>
      </c>
    </row>
    <row r="364" spans="1:14" ht="19.5" hidden="1" customHeight="1" x14ac:dyDescent="0.3">
      <c r="A364" s="59" t="e">
        <f>IF(AND(Data!#REF!&lt;&gt;"",Data!#REF!="Accept&amp;#233;"),Data!#REF!,"")</f>
        <v>#REF!</v>
      </c>
      <c r="B364" s="59" t="e">
        <f>IF(AND(Data!#REF!&lt;&gt;"",Data!#REF!="Accept&amp;#233;"),Data!#REF!,"")</f>
        <v>#REF!</v>
      </c>
      <c r="C364" s="60" t="e">
        <f t="shared" si="10"/>
        <v>#REF!</v>
      </c>
      <c r="D364" s="42" t="e">
        <f>IF(AND(Data!#REF!&lt;&gt;"",Data!#REF!="Accept&amp;#233;"),Data!#REF!,"")</f>
        <v>#REF!</v>
      </c>
      <c r="E364" s="61" t="e">
        <f>IF(AND(Data!#REF!&lt;&gt;"",Data!#REF!="Accept&amp;#233;"),Data!#REF!,"")</f>
        <v>#REF!</v>
      </c>
      <c r="F364" s="62" t="e">
        <f>IF(AND(Data!#REF!&lt;&gt;"",Data!#REF!="Accept&amp;#233;"),Data!#REF!,"")</f>
        <v>#REF!</v>
      </c>
      <c r="G364" s="63" t="e">
        <f>IF(Data!#REF!='Delivery Plan'!E364,Data!#REF!,"")</f>
        <v>#REF!</v>
      </c>
      <c r="H364" s="51"/>
      <c r="I364" s="60" t="e">
        <f t="shared" si="11"/>
        <v>#REF!</v>
      </c>
      <c r="J364" s="42" t="e">
        <f>IF(AND(E364=Data!#REF!,Data!#REF!&lt;&gt;""),Data!#REF!,"")</f>
        <v>#REF!</v>
      </c>
      <c r="K364" s="64" t="e">
        <f>IF(AND(E364=Data!#REF!,Data!#REF!&lt;&gt;""),Data!#REF!,"")</f>
        <v>#REF!</v>
      </c>
      <c r="L364" s="65" t="e">
        <f>IF(E364=Data!#REF!,Data!#REF!,"")</f>
        <v>#REF!</v>
      </c>
      <c r="M364" s="65" t="e">
        <f>IF(E364=Data!#REF!,Data!#REF!,"")</f>
        <v>#REF!</v>
      </c>
      <c r="N364" s="66" t="e">
        <f>IF(AND(Data!#REF!&lt;&gt;"",Data!#REF!="Accept&amp;#233;"),Data!#REF!,"")</f>
        <v>#REF!</v>
      </c>
    </row>
    <row r="365" spans="1:14" ht="19.5" hidden="1" customHeight="1" x14ac:dyDescent="0.3">
      <c r="A365" s="59" t="e">
        <f>IF(AND(Data!#REF!&lt;&gt;"",Data!#REF!="Accept&amp;#233;"),Data!#REF!,"")</f>
        <v>#REF!</v>
      </c>
      <c r="B365" s="59" t="e">
        <f>IF(AND(Data!#REF!&lt;&gt;"",Data!#REF!="Accept&amp;#233;"),Data!#REF!,"")</f>
        <v>#REF!</v>
      </c>
      <c r="C365" s="60" t="e">
        <f t="shared" si="10"/>
        <v>#REF!</v>
      </c>
      <c r="D365" s="42" t="e">
        <f>IF(AND(Data!#REF!&lt;&gt;"",Data!#REF!="Accept&amp;#233;"),Data!#REF!,"")</f>
        <v>#REF!</v>
      </c>
      <c r="E365" s="61" t="e">
        <f>IF(AND(Data!#REF!&lt;&gt;"",Data!#REF!="Accept&amp;#233;"),Data!#REF!,"")</f>
        <v>#REF!</v>
      </c>
      <c r="F365" s="62" t="e">
        <f>IF(AND(Data!#REF!&lt;&gt;"",Data!#REF!="Accept&amp;#233;"),Data!#REF!,"")</f>
        <v>#REF!</v>
      </c>
      <c r="G365" s="63" t="e">
        <f>IF(Data!#REF!='Delivery Plan'!E365,Data!#REF!,"")</f>
        <v>#REF!</v>
      </c>
      <c r="H365" s="51"/>
      <c r="I365" s="60" t="e">
        <f t="shared" si="11"/>
        <v>#REF!</v>
      </c>
      <c r="J365" s="42" t="e">
        <f>IF(AND(E365=Data!#REF!,Data!#REF!&lt;&gt;""),Data!#REF!,"")</f>
        <v>#REF!</v>
      </c>
      <c r="K365" s="64" t="e">
        <f>IF(AND(E365=Data!#REF!,Data!#REF!&lt;&gt;""),Data!#REF!,"")</f>
        <v>#REF!</v>
      </c>
      <c r="L365" s="65" t="e">
        <f>IF(E365=Data!#REF!,Data!#REF!,"")</f>
        <v>#REF!</v>
      </c>
      <c r="M365" s="65" t="e">
        <f>IF(E365=Data!#REF!,Data!#REF!,"")</f>
        <v>#REF!</v>
      </c>
      <c r="N365" s="66" t="e">
        <f>IF(AND(Data!#REF!&lt;&gt;"",Data!#REF!="Accept&amp;#233;"),Data!#REF!,"")</f>
        <v>#REF!</v>
      </c>
    </row>
    <row r="366" spans="1:14" ht="19.5" hidden="1" customHeight="1" x14ac:dyDescent="0.3">
      <c r="A366" s="59" t="e">
        <f>IF(AND(Data!#REF!&lt;&gt;"",Data!#REF!="Accept&amp;#233;"),Data!#REF!,"")</f>
        <v>#REF!</v>
      </c>
      <c r="B366" s="59" t="e">
        <f>IF(AND(Data!#REF!&lt;&gt;"",Data!#REF!="Accept&amp;#233;"),Data!#REF!,"")</f>
        <v>#REF!</v>
      </c>
      <c r="C366" s="60" t="e">
        <f t="shared" si="10"/>
        <v>#REF!</v>
      </c>
      <c r="D366" s="42" t="e">
        <f>IF(AND(Data!#REF!&lt;&gt;"",Data!#REF!="Accept&amp;#233;"),Data!#REF!,"")</f>
        <v>#REF!</v>
      </c>
      <c r="E366" s="61" t="e">
        <f>IF(AND(Data!#REF!&lt;&gt;"",Data!#REF!="Accept&amp;#233;"),Data!#REF!,"")</f>
        <v>#REF!</v>
      </c>
      <c r="F366" s="62" t="e">
        <f>IF(AND(Data!#REF!&lt;&gt;"",Data!#REF!="Accept&amp;#233;"),Data!#REF!,"")</f>
        <v>#REF!</v>
      </c>
      <c r="G366" s="63" t="e">
        <f>IF(Data!#REF!='Delivery Plan'!E366,Data!#REF!,"")</f>
        <v>#REF!</v>
      </c>
      <c r="H366" s="51"/>
      <c r="I366" s="60" t="e">
        <f t="shared" si="11"/>
        <v>#REF!</v>
      </c>
      <c r="J366" s="42" t="e">
        <f>IF(AND(E366=Data!#REF!,Data!#REF!&lt;&gt;""),Data!#REF!,"")</f>
        <v>#REF!</v>
      </c>
      <c r="K366" s="64" t="e">
        <f>IF(AND(E366=Data!#REF!,Data!#REF!&lt;&gt;""),Data!#REF!,"")</f>
        <v>#REF!</v>
      </c>
      <c r="L366" s="65" t="e">
        <f>IF(E366=Data!#REF!,Data!#REF!,"")</f>
        <v>#REF!</v>
      </c>
      <c r="M366" s="65" t="e">
        <f>IF(E366=Data!#REF!,Data!#REF!,"")</f>
        <v>#REF!</v>
      </c>
      <c r="N366" s="66" t="e">
        <f>IF(AND(Data!#REF!&lt;&gt;"",Data!#REF!="Accept&amp;#233;"),Data!#REF!,"")</f>
        <v>#REF!</v>
      </c>
    </row>
    <row r="367" spans="1:14" ht="19.5" hidden="1" customHeight="1" x14ac:dyDescent="0.3">
      <c r="A367" s="59" t="e">
        <f>IF(AND(Data!#REF!&lt;&gt;"",Data!#REF!="Accept&amp;#233;"),Data!#REF!,"")</f>
        <v>#REF!</v>
      </c>
      <c r="B367" s="59" t="e">
        <f>IF(AND(Data!#REF!&lt;&gt;"",Data!#REF!="Accept&amp;#233;"),Data!#REF!,"")</f>
        <v>#REF!</v>
      </c>
      <c r="C367" s="60" t="e">
        <f t="shared" si="10"/>
        <v>#REF!</v>
      </c>
      <c r="D367" s="42" t="e">
        <f>IF(AND(Data!#REF!&lt;&gt;"",Data!#REF!="Accept&amp;#233;"),Data!#REF!,"")</f>
        <v>#REF!</v>
      </c>
      <c r="E367" s="61" t="e">
        <f>IF(AND(Data!#REF!&lt;&gt;"",Data!#REF!="Accept&amp;#233;"),Data!#REF!,"")</f>
        <v>#REF!</v>
      </c>
      <c r="F367" s="62" t="e">
        <f>IF(AND(Data!#REF!&lt;&gt;"",Data!#REF!="Accept&amp;#233;"),Data!#REF!,"")</f>
        <v>#REF!</v>
      </c>
      <c r="G367" s="63" t="e">
        <f>IF(Data!#REF!='Delivery Plan'!E367,Data!#REF!,"")</f>
        <v>#REF!</v>
      </c>
      <c r="H367" s="51"/>
      <c r="I367" s="60" t="e">
        <f t="shared" si="11"/>
        <v>#REF!</v>
      </c>
      <c r="J367" s="42" t="e">
        <f>IF(AND(E367=Data!#REF!,Data!#REF!&lt;&gt;""),Data!#REF!,"")</f>
        <v>#REF!</v>
      </c>
      <c r="K367" s="64" t="e">
        <f>IF(AND(E367=Data!#REF!,Data!#REF!&lt;&gt;""),Data!#REF!,"")</f>
        <v>#REF!</v>
      </c>
      <c r="L367" s="65" t="e">
        <f>IF(E367=Data!#REF!,Data!#REF!,"")</f>
        <v>#REF!</v>
      </c>
      <c r="M367" s="65" t="e">
        <f>IF(E367=Data!#REF!,Data!#REF!,"")</f>
        <v>#REF!</v>
      </c>
      <c r="N367" s="66" t="e">
        <f>IF(AND(Data!#REF!&lt;&gt;"",Data!#REF!="Accept&amp;#233;"),Data!#REF!,"")</f>
        <v>#REF!</v>
      </c>
    </row>
    <row r="368" spans="1:14" ht="19.5" hidden="1" customHeight="1" x14ac:dyDescent="0.3">
      <c r="A368" s="59" t="e">
        <f>IF(AND(Data!#REF!&lt;&gt;"",Data!#REF!="Accept&amp;#233;"),Data!#REF!,"")</f>
        <v>#REF!</v>
      </c>
      <c r="B368" s="59" t="e">
        <f>IF(AND(Data!#REF!&lt;&gt;"",Data!#REF!="Accept&amp;#233;"),Data!#REF!,"")</f>
        <v>#REF!</v>
      </c>
      <c r="C368" s="60" t="e">
        <f t="shared" si="10"/>
        <v>#REF!</v>
      </c>
      <c r="D368" s="42" t="e">
        <f>IF(AND(Data!#REF!&lt;&gt;"",Data!#REF!="Accept&amp;#233;"),Data!#REF!,"")</f>
        <v>#REF!</v>
      </c>
      <c r="E368" s="61" t="e">
        <f>IF(AND(Data!#REF!&lt;&gt;"",Data!#REF!="Accept&amp;#233;"),Data!#REF!,"")</f>
        <v>#REF!</v>
      </c>
      <c r="F368" s="62" t="e">
        <f>IF(AND(Data!#REF!&lt;&gt;"",Data!#REF!="Accept&amp;#233;"),Data!#REF!,"")</f>
        <v>#REF!</v>
      </c>
      <c r="G368" s="63" t="e">
        <f>IF(Data!#REF!='Delivery Plan'!E368,Data!#REF!,"")</f>
        <v>#REF!</v>
      </c>
      <c r="H368" s="51"/>
      <c r="I368" s="60" t="e">
        <f t="shared" si="11"/>
        <v>#REF!</v>
      </c>
      <c r="J368" s="42" t="e">
        <f>IF(AND(E368=Data!#REF!,Data!#REF!&lt;&gt;""),Data!#REF!,"")</f>
        <v>#REF!</v>
      </c>
      <c r="K368" s="64" t="e">
        <f>IF(AND(E368=Data!#REF!,Data!#REF!&lt;&gt;""),Data!#REF!,"")</f>
        <v>#REF!</v>
      </c>
      <c r="L368" s="65" t="e">
        <f>IF(E368=Data!#REF!,Data!#REF!,"")</f>
        <v>#REF!</v>
      </c>
      <c r="M368" s="65" t="e">
        <f>IF(E368=Data!#REF!,Data!#REF!,"")</f>
        <v>#REF!</v>
      </c>
      <c r="N368" s="66" t="e">
        <f>IF(AND(Data!#REF!&lt;&gt;"",Data!#REF!="Accept&amp;#233;"),Data!#REF!,"")</f>
        <v>#REF!</v>
      </c>
    </row>
    <row r="369" spans="1:14" ht="19.5" hidden="1" customHeight="1" x14ac:dyDescent="0.3">
      <c r="A369" s="59" t="e">
        <f>IF(AND(Data!#REF!&lt;&gt;"",Data!#REF!="Accept&amp;#233;"),Data!#REF!,"")</f>
        <v>#REF!</v>
      </c>
      <c r="B369" s="59" t="e">
        <f>IF(AND(Data!#REF!&lt;&gt;"",Data!#REF!="Accept&amp;#233;"),Data!#REF!,"")</f>
        <v>#REF!</v>
      </c>
      <c r="C369" s="60" t="e">
        <f t="shared" si="10"/>
        <v>#REF!</v>
      </c>
      <c r="D369" s="42" t="e">
        <f>IF(AND(Data!#REF!&lt;&gt;"",Data!#REF!="Accept&amp;#233;"),Data!#REF!,"")</f>
        <v>#REF!</v>
      </c>
      <c r="E369" s="61" t="e">
        <f>IF(AND(Data!#REF!&lt;&gt;"",Data!#REF!="Accept&amp;#233;"),Data!#REF!,"")</f>
        <v>#REF!</v>
      </c>
      <c r="F369" s="62" t="e">
        <f>IF(AND(Data!#REF!&lt;&gt;"",Data!#REF!="Accept&amp;#233;"),Data!#REF!,"")</f>
        <v>#REF!</v>
      </c>
      <c r="G369" s="63" t="e">
        <f>IF(Data!#REF!='Delivery Plan'!E369,Data!#REF!,"")</f>
        <v>#REF!</v>
      </c>
      <c r="H369" s="51"/>
      <c r="I369" s="60" t="e">
        <f t="shared" si="11"/>
        <v>#REF!</v>
      </c>
      <c r="J369" s="42" t="e">
        <f>IF(AND(E369=Data!#REF!,Data!#REF!&lt;&gt;""),Data!#REF!,"")</f>
        <v>#REF!</v>
      </c>
      <c r="K369" s="64" t="e">
        <f>IF(AND(E369=Data!#REF!,Data!#REF!&lt;&gt;""),Data!#REF!,"")</f>
        <v>#REF!</v>
      </c>
      <c r="L369" s="65" t="e">
        <f>IF(E369=Data!#REF!,Data!#REF!,"")</f>
        <v>#REF!</v>
      </c>
      <c r="M369" s="65" t="e">
        <f>IF(E369=Data!#REF!,Data!#REF!,"")</f>
        <v>#REF!</v>
      </c>
      <c r="N369" s="66" t="e">
        <f>IF(AND(Data!#REF!&lt;&gt;"",Data!#REF!="Accept&amp;#233;"),Data!#REF!,"")</f>
        <v>#REF!</v>
      </c>
    </row>
    <row r="370" spans="1:14" ht="19.5" hidden="1" customHeight="1" x14ac:dyDescent="0.3">
      <c r="A370" s="59" t="e">
        <f>IF(AND(Data!#REF!&lt;&gt;"",Data!#REF!="Accept&amp;#233;"),Data!#REF!,"")</f>
        <v>#REF!</v>
      </c>
      <c r="B370" s="59" t="e">
        <f>IF(AND(Data!#REF!&lt;&gt;"",Data!#REF!="Accept&amp;#233;"),Data!#REF!,"")</f>
        <v>#REF!</v>
      </c>
      <c r="C370" s="60" t="e">
        <f t="shared" si="10"/>
        <v>#REF!</v>
      </c>
      <c r="D370" s="42" t="e">
        <f>IF(AND(Data!#REF!&lt;&gt;"",Data!#REF!="Accept&amp;#233;"),Data!#REF!,"")</f>
        <v>#REF!</v>
      </c>
      <c r="E370" s="61" t="e">
        <f>IF(AND(Data!#REF!&lt;&gt;"",Data!#REF!="Accept&amp;#233;"),Data!#REF!,"")</f>
        <v>#REF!</v>
      </c>
      <c r="F370" s="62" t="e">
        <f>IF(AND(Data!#REF!&lt;&gt;"",Data!#REF!="Accept&amp;#233;"),Data!#REF!,"")</f>
        <v>#REF!</v>
      </c>
      <c r="G370" s="63" t="e">
        <f>IF(Data!#REF!='Delivery Plan'!E370,Data!#REF!,"")</f>
        <v>#REF!</v>
      </c>
      <c r="H370" s="51"/>
      <c r="I370" s="60" t="e">
        <f t="shared" si="11"/>
        <v>#REF!</v>
      </c>
      <c r="J370" s="42" t="e">
        <f>IF(AND(E370=Data!#REF!,Data!#REF!&lt;&gt;""),Data!#REF!,"")</f>
        <v>#REF!</v>
      </c>
      <c r="K370" s="64" t="e">
        <f>IF(AND(E370=Data!#REF!,Data!#REF!&lt;&gt;""),Data!#REF!,"")</f>
        <v>#REF!</v>
      </c>
      <c r="L370" s="65" t="e">
        <f>IF(E370=Data!#REF!,Data!#REF!,"")</f>
        <v>#REF!</v>
      </c>
      <c r="M370" s="65" t="e">
        <f>IF(E370=Data!#REF!,Data!#REF!,"")</f>
        <v>#REF!</v>
      </c>
      <c r="N370" s="66" t="e">
        <f>IF(AND(Data!#REF!&lt;&gt;"",Data!#REF!="Accept&amp;#233;"),Data!#REF!,"")</f>
        <v>#REF!</v>
      </c>
    </row>
    <row r="371" spans="1:14" ht="19.5" hidden="1" customHeight="1" x14ac:dyDescent="0.3">
      <c r="A371" s="59" t="e">
        <f>IF(AND(Data!#REF!&lt;&gt;"",Data!#REF!="Accept&amp;#233;"),Data!#REF!,"")</f>
        <v>#REF!</v>
      </c>
      <c r="B371" s="59" t="e">
        <f>IF(AND(Data!#REF!&lt;&gt;"",Data!#REF!="Accept&amp;#233;"),Data!#REF!,"")</f>
        <v>#REF!</v>
      </c>
      <c r="C371" s="60" t="e">
        <f t="shared" si="10"/>
        <v>#REF!</v>
      </c>
      <c r="D371" s="42" t="e">
        <f>IF(AND(Data!#REF!&lt;&gt;"",Data!#REF!="Accept&amp;#233;"),Data!#REF!,"")</f>
        <v>#REF!</v>
      </c>
      <c r="E371" s="61" t="e">
        <f>IF(AND(Data!#REF!&lt;&gt;"",Data!#REF!="Accept&amp;#233;"),Data!#REF!,"")</f>
        <v>#REF!</v>
      </c>
      <c r="F371" s="62" t="e">
        <f>IF(AND(Data!#REF!&lt;&gt;"",Data!#REF!="Accept&amp;#233;"),Data!#REF!,"")</f>
        <v>#REF!</v>
      </c>
      <c r="G371" s="63" t="e">
        <f>IF(Data!#REF!='Delivery Plan'!E371,Data!#REF!,"")</f>
        <v>#REF!</v>
      </c>
      <c r="H371" s="51"/>
      <c r="I371" s="60" t="e">
        <f t="shared" si="11"/>
        <v>#REF!</v>
      </c>
      <c r="J371" s="42" t="e">
        <f>IF(AND(E371=Data!#REF!,Data!#REF!&lt;&gt;""),Data!#REF!,"")</f>
        <v>#REF!</v>
      </c>
      <c r="K371" s="64" t="e">
        <f>IF(AND(E371=Data!#REF!,Data!#REF!&lt;&gt;""),Data!#REF!,"")</f>
        <v>#REF!</v>
      </c>
      <c r="L371" s="65" t="e">
        <f>IF(E371=Data!#REF!,Data!#REF!,"")</f>
        <v>#REF!</v>
      </c>
      <c r="M371" s="65" t="e">
        <f>IF(E371=Data!#REF!,Data!#REF!,"")</f>
        <v>#REF!</v>
      </c>
      <c r="N371" s="66" t="e">
        <f>IF(AND(Data!#REF!&lt;&gt;"",Data!#REF!="Accept&amp;#233;"),Data!#REF!,"")</f>
        <v>#REF!</v>
      </c>
    </row>
    <row r="372" spans="1:14" ht="19.5" hidden="1" customHeight="1" x14ac:dyDescent="0.3">
      <c r="A372" s="59" t="e">
        <f>IF(AND(Data!#REF!&lt;&gt;"",Data!#REF!="Accept&amp;#233;"),Data!#REF!,"")</f>
        <v>#REF!</v>
      </c>
      <c r="B372" s="59" t="e">
        <f>IF(AND(Data!#REF!&lt;&gt;"",Data!#REF!="Accept&amp;#233;"),Data!#REF!,"")</f>
        <v>#REF!</v>
      </c>
      <c r="C372" s="60" t="e">
        <f t="shared" si="10"/>
        <v>#REF!</v>
      </c>
      <c r="D372" s="42" t="e">
        <f>IF(AND(Data!#REF!&lt;&gt;"",Data!#REF!="Accept&amp;#233;"),Data!#REF!,"")</f>
        <v>#REF!</v>
      </c>
      <c r="E372" s="61" t="e">
        <f>IF(AND(Data!#REF!&lt;&gt;"",Data!#REF!="Accept&amp;#233;"),Data!#REF!,"")</f>
        <v>#REF!</v>
      </c>
      <c r="F372" s="62" t="e">
        <f>IF(AND(Data!#REF!&lt;&gt;"",Data!#REF!="Accept&amp;#233;"),Data!#REF!,"")</f>
        <v>#REF!</v>
      </c>
      <c r="G372" s="63" t="e">
        <f>IF(Data!#REF!='Delivery Plan'!E372,Data!#REF!,"")</f>
        <v>#REF!</v>
      </c>
      <c r="H372" s="51"/>
      <c r="I372" s="60" t="e">
        <f t="shared" si="11"/>
        <v>#REF!</v>
      </c>
      <c r="J372" s="42" t="e">
        <f>IF(AND(E372=Data!#REF!,Data!#REF!&lt;&gt;""),Data!#REF!,"")</f>
        <v>#REF!</v>
      </c>
      <c r="K372" s="64" t="e">
        <f>IF(AND(E372=Data!#REF!,Data!#REF!&lt;&gt;""),Data!#REF!,"")</f>
        <v>#REF!</v>
      </c>
      <c r="L372" s="65" t="e">
        <f>IF(E372=Data!#REF!,Data!#REF!,"")</f>
        <v>#REF!</v>
      </c>
      <c r="M372" s="65" t="e">
        <f>IF(E372=Data!#REF!,Data!#REF!,"")</f>
        <v>#REF!</v>
      </c>
      <c r="N372" s="66" t="e">
        <f>IF(AND(Data!#REF!&lt;&gt;"",Data!#REF!="Accept&amp;#233;"),Data!#REF!,"")</f>
        <v>#REF!</v>
      </c>
    </row>
    <row r="373" spans="1:14" ht="19.5" hidden="1" customHeight="1" x14ac:dyDescent="0.3">
      <c r="A373" s="59" t="e">
        <f>IF(AND(Data!#REF!&lt;&gt;"",Data!#REF!="Accept&amp;#233;"),Data!#REF!,"")</f>
        <v>#REF!</v>
      </c>
      <c r="B373" s="59" t="e">
        <f>IF(AND(Data!#REF!&lt;&gt;"",Data!#REF!="Accept&amp;#233;"),Data!#REF!,"")</f>
        <v>#REF!</v>
      </c>
      <c r="C373" s="60" t="e">
        <f t="shared" si="10"/>
        <v>#REF!</v>
      </c>
      <c r="D373" s="42" t="e">
        <f>IF(AND(Data!#REF!&lt;&gt;"",Data!#REF!="Accept&amp;#233;"),Data!#REF!,"")</f>
        <v>#REF!</v>
      </c>
      <c r="E373" s="61" t="e">
        <f>IF(AND(Data!#REF!&lt;&gt;"",Data!#REF!="Accept&amp;#233;"),Data!#REF!,"")</f>
        <v>#REF!</v>
      </c>
      <c r="F373" s="62" t="e">
        <f>IF(AND(Data!#REF!&lt;&gt;"",Data!#REF!="Accept&amp;#233;"),Data!#REF!,"")</f>
        <v>#REF!</v>
      </c>
      <c r="G373" s="63" t="e">
        <f>IF(Data!#REF!='Delivery Plan'!E373,Data!#REF!,"")</f>
        <v>#REF!</v>
      </c>
      <c r="H373" s="51"/>
      <c r="I373" s="60" t="e">
        <f t="shared" si="11"/>
        <v>#REF!</v>
      </c>
      <c r="J373" s="42" t="e">
        <f>IF(AND(E373=Data!#REF!,Data!#REF!&lt;&gt;""),Data!#REF!,"")</f>
        <v>#REF!</v>
      </c>
      <c r="K373" s="64" t="e">
        <f>IF(AND(E373=Data!#REF!,Data!#REF!&lt;&gt;""),Data!#REF!,"")</f>
        <v>#REF!</v>
      </c>
      <c r="L373" s="65" t="e">
        <f>IF(E373=Data!#REF!,Data!#REF!,"")</f>
        <v>#REF!</v>
      </c>
      <c r="M373" s="65" t="e">
        <f>IF(E373=Data!#REF!,Data!#REF!,"")</f>
        <v>#REF!</v>
      </c>
      <c r="N373" s="66" t="e">
        <f>IF(AND(Data!#REF!&lt;&gt;"",Data!#REF!="Accept&amp;#233;"),Data!#REF!,"")</f>
        <v>#REF!</v>
      </c>
    </row>
    <row r="374" spans="1:14" ht="19.5" hidden="1" customHeight="1" x14ac:dyDescent="0.3">
      <c r="A374" s="59" t="e">
        <f>IF(AND(Data!#REF!&lt;&gt;"",Data!#REF!="Accept&amp;#233;"),Data!#REF!,"")</f>
        <v>#REF!</v>
      </c>
      <c r="B374" s="59" t="e">
        <f>IF(AND(Data!#REF!&lt;&gt;"",Data!#REF!="Accept&amp;#233;"),Data!#REF!,"")</f>
        <v>#REF!</v>
      </c>
      <c r="C374" s="60" t="e">
        <f t="shared" si="10"/>
        <v>#REF!</v>
      </c>
      <c r="D374" s="42" t="e">
        <f>IF(AND(Data!#REF!&lt;&gt;"",Data!#REF!="Accept&amp;#233;"),Data!#REF!,"")</f>
        <v>#REF!</v>
      </c>
      <c r="E374" s="61" t="e">
        <f>IF(AND(Data!#REF!&lt;&gt;"",Data!#REF!="Accept&amp;#233;"),Data!#REF!,"")</f>
        <v>#REF!</v>
      </c>
      <c r="F374" s="62" t="e">
        <f>IF(AND(Data!#REF!&lt;&gt;"",Data!#REF!="Accept&amp;#233;"),Data!#REF!,"")</f>
        <v>#REF!</v>
      </c>
      <c r="G374" s="63" t="e">
        <f>IF(Data!#REF!='Delivery Plan'!E374,Data!#REF!,"")</f>
        <v>#REF!</v>
      </c>
      <c r="H374" s="51"/>
      <c r="I374" s="60" t="e">
        <f t="shared" si="11"/>
        <v>#REF!</v>
      </c>
      <c r="J374" s="42" t="e">
        <f>IF(AND(E374=Data!#REF!,Data!#REF!&lt;&gt;""),Data!#REF!,"")</f>
        <v>#REF!</v>
      </c>
      <c r="K374" s="64" t="e">
        <f>IF(AND(E374=Data!#REF!,Data!#REF!&lt;&gt;""),Data!#REF!,"")</f>
        <v>#REF!</v>
      </c>
      <c r="L374" s="65" t="e">
        <f>IF(E374=Data!#REF!,Data!#REF!,"")</f>
        <v>#REF!</v>
      </c>
      <c r="M374" s="65" t="e">
        <f>IF(E374=Data!#REF!,Data!#REF!,"")</f>
        <v>#REF!</v>
      </c>
      <c r="N374" s="66" t="e">
        <f>IF(AND(Data!#REF!&lt;&gt;"",Data!#REF!="Accept&amp;#233;"),Data!#REF!,"")</f>
        <v>#REF!</v>
      </c>
    </row>
    <row r="375" spans="1:14" ht="19.5" hidden="1" customHeight="1" x14ac:dyDescent="0.3">
      <c r="A375" s="59" t="e">
        <f>IF(AND(Data!#REF!&lt;&gt;"",Data!#REF!="Accept&amp;#233;"),Data!#REF!,"")</f>
        <v>#REF!</v>
      </c>
      <c r="B375" s="59" t="e">
        <f>IF(AND(Data!#REF!&lt;&gt;"",Data!#REF!="Accept&amp;#233;"),Data!#REF!,"")</f>
        <v>#REF!</v>
      </c>
      <c r="C375" s="60" t="e">
        <f t="shared" si="10"/>
        <v>#REF!</v>
      </c>
      <c r="D375" s="42" t="e">
        <f>IF(AND(Data!#REF!&lt;&gt;"",Data!#REF!="Accept&amp;#233;"),Data!#REF!,"")</f>
        <v>#REF!</v>
      </c>
      <c r="E375" s="61" t="e">
        <f>IF(AND(Data!#REF!&lt;&gt;"",Data!#REF!="Accept&amp;#233;"),Data!#REF!,"")</f>
        <v>#REF!</v>
      </c>
      <c r="F375" s="62" t="e">
        <f>IF(AND(Data!#REF!&lt;&gt;"",Data!#REF!="Accept&amp;#233;"),Data!#REF!,"")</f>
        <v>#REF!</v>
      </c>
      <c r="G375" s="63" t="e">
        <f>IF(Data!#REF!='Delivery Plan'!E375,Data!#REF!,"")</f>
        <v>#REF!</v>
      </c>
      <c r="H375" s="51"/>
      <c r="I375" s="60" t="e">
        <f t="shared" si="11"/>
        <v>#REF!</v>
      </c>
      <c r="J375" s="42" t="e">
        <f>IF(AND(E375=Data!#REF!,Data!#REF!&lt;&gt;""),Data!#REF!,"")</f>
        <v>#REF!</v>
      </c>
      <c r="K375" s="64" t="e">
        <f>IF(AND(E375=Data!#REF!,Data!#REF!&lt;&gt;""),Data!#REF!,"")</f>
        <v>#REF!</v>
      </c>
      <c r="L375" s="65" t="e">
        <f>IF(E375=Data!#REF!,Data!#REF!,"")</f>
        <v>#REF!</v>
      </c>
      <c r="M375" s="65" t="e">
        <f>IF(E375=Data!#REF!,Data!#REF!,"")</f>
        <v>#REF!</v>
      </c>
      <c r="N375" s="66" t="e">
        <f>IF(AND(Data!#REF!&lt;&gt;"",Data!#REF!="Accept&amp;#233;"),Data!#REF!,"")</f>
        <v>#REF!</v>
      </c>
    </row>
    <row r="376" spans="1:14" ht="19.5" hidden="1" customHeight="1" x14ac:dyDescent="0.3">
      <c r="A376" s="59" t="e">
        <f>IF(AND(Data!#REF!&lt;&gt;"",Data!#REF!="Accept&amp;#233;"),Data!#REF!,"")</f>
        <v>#REF!</v>
      </c>
      <c r="B376" s="59" t="e">
        <f>IF(AND(Data!#REF!&lt;&gt;"",Data!#REF!="Accept&amp;#233;"),Data!#REF!,"")</f>
        <v>#REF!</v>
      </c>
      <c r="C376" s="60" t="e">
        <f t="shared" si="10"/>
        <v>#REF!</v>
      </c>
      <c r="D376" s="42" t="e">
        <f>IF(AND(Data!#REF!&lt;&gt;"",Data!#REF!="Accept&amp;#233;"),Data!#REF!,"")</f>
        <v>#REF!</v>
      </c>
      <c r="E376" s="61" t="e">
        <f>IF(AND(Data!#REF!&lt;&gt;"",Data!#REF!="Accept&amp;#233;"),Data!#REF!,"")</f>
        <v>#REF!</v>
      </c>
      <c r="F376" s="62" t="e">
        <f>IF(AND(Data!#REF!&lt;&gt;"",Data!#REF!="Accept&amp;#233;"),Data!#REF!,"")</f>
        <v>#REF!</v>
      </c>
      <c r="G376" s="63" t="e">
        <f>IF(Data!#REF!='Delivery Plan'!E376,Data!#REF!,"")</f>
        <v>#REF!</v>
      </c>
      <c r="H376" s="51"/>
      <c r="I376" s="60" t="e">
        <f t="shared" si="11"/>
        <v>#REF!</v>
      </c>
      <c r="J376" s="42" t="e">
        <f>IF(AND(E376=Data!#REF!,Data!#REF!&lt;&gt;""),Data!#REF!,"")</f>
        <v>#REF!</v>
      </c>
      <c r="K376" s="64" t="e">
        <f>IF(AND(E376=Data!#REF!,Data!#REF!&lt;&gt;""),Data!#REF!,"")</f>
        <v>#REF!</v>
      </c>
      <c r="L376" s="65" t="e">
        <f>IF(E376=Data!#REF!,Data!#REF!,"")</f>
        <v>#REF!</v>
      </c>
      <c r="M376" s="65" t="e">
        <f>IF(E376=Data!#REF!,Data!#REF!,"")</f>
        <v>#REF!</v>
      </c>
      <c r="N376" s="66" t="e">
        <f>IF(AND(Data!#REF!&lt;&gt;"",Data!#REF!="Accept&amp;#233;"),Data!#REF!,"")</f>
        <v>#REF!</v>
      </c>
    </row>
    <row r="377" spans="1:14" ht="19.5" hidden="1" customHeight="1" x14ac:dyDescent="0.3">
      <c r="A377" s="59" t="e">
        <f>IF(AND(Data!#REF!&lt;&gt;"",Data!#REF!="Accept&amp;#233;"),Data!#REF!,"")</f>
        <v>#REF!</v>
      </c>
      <c r="B377" s="59" t="e">
        <f>IF(AND(Data!#REF!&lt;&gt;"",Data!#REF!="Accept&amp;#233;"),Data!#REF!,"")</f>
        <v>#REF!</v>
      </c>
      <c r="C377" s="60" t="e">
        <f t="shared" si="10"/>
        <v>#REF!</v>
      </c>
      <c r="D377" s="42" t="e">
        <f>IF(AND(Data!#REF!&lt;&gt;"",Data!#REF!="Accept&amp;#233;"),Data!#REF!,"")</f>
        <v>#REF!</v>
      </c>
      <c r="E377" s="61" t="e">
        <f>IF(AND(Data!#REF!&lt;&gt;"",Data!#REF!="Accept&amp;#233;"),Data!#REF!,"")</f>
        <v>#REF!</v>
      </c>
      <c r="F377" s="62" t="e">
        <f>IF(AND(Data!#REF!&lt;&gt;"",Data!#REF!="Accept&amp;#233;"),Data!#REF!,"")</f>
        <v>#REF!</v>
      </c>
      <c r="G377" s="63" t="e">
        <f>IF(Data!#REF!='Delivery Plan'!E377,Data!#REF!,"")</f>
        <v>#REF!</v>
      </c>
      <c r="H377" s="51"/>
      <c r="I377" s="60" t="e">
        <f t="shared" si="11"/>
        <v>#REF!</v>
      </c>
      <c r="J377" s="42" t="e">
        <f>IF(AND(E377=Data!#REF!,Data!#REF!&lt;&gt;""),Data!#REF!,"")</f>
        <v>#REF!</v>
      </c>
      <c r="K377" s="64" t="e">
        <f>IF(AND(E377=Data!#REF!,Data!#REF!&lt;&gt;""),Data!#REF!,"")</f>
        <v>#REF!</v>
      </c>
      <c r="L377" s="65" t="e">
        <f>IF(E377=Data!#REF!,Data!#REF!,"")</f>
        <v>#REF!</v>
      </c>
      <c r="M377" s="65" t="e">
        <f>IF(E377=Data!#REF!,Data!#REF!,"")</f>
        <v>#REF!</v>
      </c>
      <c r="N377" s="66" t="e">
        <f>IF(AND(Data!#REF!&lt;&gt;"",Data!#REF!="Accept&amp;#233;"),Data!#REF!,"")</f>
        <v>#REF!</v>
      </c>
    </row>
    <row r="378" spans="1:14" ht="19.5" hidden="1" customHeight="1" x14ac:dyDescent="0.3">
      <c r="A378" s="59" t="e">
        <f>IF(AND(Data!#REF!&lt;&gt;"",Data!#REF!="Accept&amp;#233;"),Data!#REF!,"")</f>
        <v>#REF!</v>
      </c>
      <c r="B378" s="59" t="e">
        <f>IF(AND(Data!#REF!&lt;&gt;"",Data!#REF!="Accept&amp;#233;"),Data!#REF!,"")</f>
        <v>#REF!</v>
      </c>
      <c r="C378" s="60" t="e">
        <f t="shared" si="10"/>
        <v>#REF!</v>
      </c>
      <c r="D378" s="42" t="e">
        <f>IF(AND(Data!#REF!&lt;&gt;"",Data!#REF!="Accept&amp;#233;"),Data!#REF!,"")</f>
        <v>#REF!</v>
      </c>
      <c r="E378" s="61" t="e">
        <f>IF(AND(Data!#REF!&lt;&gt;"",Data!#REF!="Accept&amp;#233;"),Data!#REF!,"")</f>
        <v>#REF!</v>
      </c>
      <c r="F378" s="62" t="e">
        <f>IF(AND(Data!#REF!&lt;&gt;"",Data!#REF!="Accept&amp;#233;"),Data!#REF!,"")</f>
        <v>#REF!</v>
      </c>
      <c r="G378" s="63" t="e">
        <f>IF(Data!#REF!='Delivery Plan'!E378,Data!#REF!,"")</f>
        <v>#REF!</v>
      </c>
      <c r="H378" s="51"/>
      <c r="I378" s="60" t="e">
        <f t="shared" si="11"/>
        <v>#REF!</v>
      </c>
      <c r="J378" s="42" t="e">
        <f>IF(AND(E378=Data!#REF!,Data!#REF!&lt;&gt;""),Data!#REF!,"")</f>
        <v>#REF!</v>
      </c>
      <c r="K378" s="64" t="e">
        <f>IF(AND(E378=Data!#REF!,Data!#REF!&lt;&gt;""),Data!#REF!,"")</f>
        <v>#REF!</v>
      </c>
      <c r="L378" s="65" t="e">
        <f>IF(E378=Data!#REF!,Data!#REF!,"")</f>
        <v>#REF!</v>
      </c>
      <c r="M378" s="65" t="e">
        <f>IF(E378=Data!#REF!,Data!#REF!,"")</f>
        <v>#REF!</v>
      </c>
      <c r="N378" s="66" t="e">
        <f>IF(AND(Data!#REF!&lt;&gt;"",Data!#REF!="Accept&amp;#233;"),Data!#REF!,"")</f>
        <v>#REF!</v>
      </c>
    </row>
    <row r="379" spans="1:14" ht="19.5" hidden="1" customHeight="1" x14ac:dyDescent="0.3">
      <c r="A379" s="59" t="e">
        <f>IF(AND(Data!#REF!&lt;&gt;"",Data!#REF!="Accept&amp;#233;"),Data!#REF!,"")</f>
        <v>#REF!</v>
      </c>
      <c r="B379" s="59" t="e">
        <f>IF(AND(Data!#REF!&lt;&gt;"",Data!#REF!="Accept&amp;#233;"),Data!#REF!,"")</f>
        <v>#REF!</v>
      </c>
      <c r="C379" s="60" t="e">
        <f t="shared" si="10"/>
        <v>#REF!</v>
      </c>
      <c r="D379" s="42" t="e">
        <f>IF(AND(Data!#REF!&lt;&gt;"",Data!#REF!="Accept&amp;#233;"),Data!#REF!,"")</f>
        <v>#REF!</v>
      </c>
      <c r="E379" s="61" t="e">
        <f>IF(AND(Data!#REF!&lt;&gt;"",Data!#REF!="Accept&amp;#233;"),Data!#REF!,"")</f>
        <v>#REF!</v>
      </c>
      <c r="F379" s="62" t="e">
        <f>IF(AND(Data!#REF!&lt;&gt;"",Data!#REF!="Accept&amp;#233;"),Data!#REF!,"")</f>
        <v>#REF!</v>
      </c>
      <c r="G379" s="63" t="e">
        <f>IF(Data!#REF!='Delivery Plan'!E379,Data!#REF!,"")</f>
        <v>#REF!</v>
      </c>
      <c r="H379" s="51"/>
      <c r="I379" s="60" t="e">
        <f t="shared" si="11"/>
        <v>#REF!</v>
      </c>
      <c r="J379" s="42" t="e">
        <f>IF(AND(E379=Data!#REF!,Data!#REF!&lt;&gt;""),Data!#REF!,"")</f>
        <v>#REF!</v>
      </c>
      <c r="K379" s="64" t="e">
        <f>IF(AND(E379=Data!#REF!,Data!#REF!&lt;&gt;""),Data!#REF!,"")</f>
        <v>#REF!</v>
      </c>
      <c r="L379" s="65" t="e">
        <f>IF(E379=Data!#REF!,Data!#REF!,"")</f>
        <v>#REF!</v>
      </c>
      <c r="M379" s="65" t="e">
        <f>IF(E379=Data!#REF!,Data!#REF!,"")</f>
        <v>#REF!</v>
      </c>
      <c r="N379" s="66" t="e">
        <f>IF(AND(Data!#REF!&lt;&gt;"",Data!#REF!="Accept&amp;#233;"),Data!#REF!,"")</f>
        <v>#REF!</v>
      </c>
    </row>
    <row r="380" spans="1:14" ht="19.5" hidden="1" customHeight="1" x14ac:dyDescent="0.3">
      <c r="A380" s="59" t="e">
        <f>IF(AND(Data!#REF!&lt;&gt;"",Data!#REF!="Accept&amp;#233;"),Data!#REF!,"")</f>
        <v>#REF!</v>
      </c>
      <c r="B380" s="59" t="e">
        <f>IF(AND(Data!#REF!&lt;&gt;"",Data!#REF!="Accept&amp;#233;"),Data!#REF!,"")</f>
        <v>#REF!</v>
      </c>
      <c r="C380" s="60" t="e">
        <f t="shared" si="10"/>
        <v>#REF!</v>
      </c>
      <c r="D380" s="42" t="e">
        <f>IF(AND(Data!#REF!&lt;&gt;"",Data!#REF!="Accept&amp;#233;"),Data!#REF!,"")</f>
        <v>#REF!</v>
      </c>
      <c r="E380" s="61" t="e">
        <f>IF(AND(Data!#REF!&lt;&gt;"",Data!#REF!="Accept&amp;#233;"),Data!#REF!,"")</f>
        <v>#REF!</v>
      </c>
      <c r="F380" s="62" t="e">
        <f>IF(AND(Data!#REF!&lt;&gt;"",Data!#REF!="Accept&amp;#233;"),Data!#REF!,"")</f>
        <v>#REF!</v>
      </c>
      <c r="G380" s="63" t="e">
        <f>IF(Data!#REF!='Delivery Plan'!E380,Data!#REF!,"")</f>
        <v>#REF!</v>
      </c>
      <c r="H380" s="51"/>
      <c r="I380" s="60" t="e">
        <f t="shared" si="11"/>
        <v>#REF!</v>
      </c>
      <c r="J380" s="42" t="e">
        <f>IF(AND(E380=Data!#REF!,Data!#REF!&lt;&gt;""),Data!#REF!,"")</f>
        <v>#REF!</v>
      </c>
      <c r="K380" s="64" t="e">
        <f>IF(AND(E380=Data!#REF!,Data!#REF!&lt;&gt;""),Data!#REF!,"")</f>
        <v>#REF!</v>
      </c>
      <c r="L380" s="65" t="e">
        <f>IF(E380=Data!#REF!,Data!#REF!,"")</f>
        <v>#REF!</v>
      </c>
      <c r="M380" s="65" t="e">
        <f>IF(E380=Data!#REF!,Data!#REF!,"")</f>
        <v>#REF!</v>
      </c>
      <c r="N380" s="66" t="e">
        <f>IF(AND(Data!#REF!&lt;&gt;"",Data!#REF!="Accept&amp;#233;"),Data!#REF!,"")</f>
        <v>#REF!</v>
      </c>
    </row>
    <row r="381" spans="1:14" ht="19.5" hidden="1" customHeight="1" x14ac:dyDescent="0.3">
      <c r="A381" s="59" t="e">
        <f>IF(AND(Data!#REF!&lt;&gt;"",Data!#REF!="Accept&amp;#233;"),Data!#REF!,"")</f>
        <v>#REF!</v>
      </c>
      <c r="B381" s="59" t="e">
        <f>IF(AND(Data!#REF!&lt;&gt;"",Data!#REF!="Accept&amp;#233;"),Data!#REF!,"")</f>
        <v>#REF!</v>
      </c>
      <c r="C381" s="60" t="e">
        <f t="shared" si="10"/>
        <v>#REF!</v>
      </c>
      <c r="D381" s="42" t="e">
        <f>IF(AND(Data!#REF!&lt;&gt;"",Data!#REF!="Accept&amp;#233;"),Data!#REF!,"")</f>
        <v>#REF!</v>
      </c>
      <c r="E381" s="61" t="e">
        <f>IF(AND(Data!#REF!&lt;&gt;"",Data!#REF!="Accept&amp;#233;"),Data!#REF!,"")</f>
        <v>#REF!</v>
      </c>
      <c r="F381" s="62" t="e">
        <f>IF(AND(Data!#REF!&lt;&gt;"",Data!#REF!="Accept&amp;#233;"),Data!#REF!,"")</f>
        <v>#REF!</v>
      </c>
      <c r="G381" s="63" t="e">
        <f>IF(Data!#REF!='Delivery Plan'!E381,Data!#REF!,"")</f>
        <v>#REF!</v>
      </c>
      <c r="H381" s="51"/>
      <c r="I381" s="60" t="e">
        <f t="shared" si="11"/>
        <v>#REF!</v>
      </c>
      <c r="J381" s="42" t="e">
        <f>IF(AND(E381=Data!#REF!,Data!#REF!&lt;&gt;""),Data!#REF!,"")</f>
        <v>#REF!</v>
      </c>
      <c r="K381" s="64" t="e">
        <f>IF(AND(E381=Data!#REF!,Data!#REF!&lt;&gt;""),Data!#REF!,"")</f>
        <v>#REF!</v>
      </c>
      <c r="L381" s="65" t="e">
        <f>IF(E381=Data!#REF!,Data!#REF!,"")</f>
        <v>#REF!</v>
      </c>
      <c r="M381" s="65" t="e">
        <f>IF(E381=Data!#REF!,Data!#REF!,"")</f>
        <v>#REF!</v>
      </c>
      <c r="N381" s="66" t="e">
        <f>IF(AND(Data!#REF!&lt;&gt;"",Data!#REF!="Accept&amp;#233;"),Data!#REF!,"")</f>
        <v>#REF!</v>
      </c>
    </row>
    <row r="382" spans="1:14" ht="19.5" hidden="1" customHeight="1" x14ac:dyDescent="0.3">
      <c r="A382" s="59" t="e">
        <f>IF(AND(Data!#REF!&lt;&gt;"",Data!#REF!="Accept&amp;#233;"),Data!#REF!,"")</f>
        <v>#REF!</v>
      </c>
      <c r="B382" s="59" t="e">
        <f>IF(AND(Data!#REF!&lt;&gt;"",Data!#REF!="Accept&amp;#233;"),Data!#REF!,"")</f>
        <v>#REF!</v>
      </c>
      <c r="C382" s="60" t="e">
        <f t="shared" si="10"/>
        <v>#REF!</v>
      </c>
      <c r="D382" s="42" t="e">
        <f>IF(AND(Data!#REF!&lt;&gt;"",Data!#REF!="Accept&amp;#233;"),Data!#REF!,"")</f>
        <v>#REF!</v>
      </c>
      <c r="E382" s="61" t="e">
        <f>IF(AND(Data!#REF!&lt;&gt;"",Data!#REF!="Accept&amp;#233;"),Data!#REF!,"")</f>
        <v>#REF!</v>
      </c>
      <c r="F382" s="62" t="e">
        <f>IF(AND(Data!#REF!&lt;&gt;"",Data!#REF!="Accept&amp;#233;"),Data!#REF!,"")</f>
        <v>#REF!</v>
      </c>
      <c r="G382" s="63" t="e">
        <f>IF(Data!#REF!='Delivery Plan'!E382,Data!#REF!,"")</f>
        <v>#REF!</v>
      </c>
      <c r="H382" s="51"/>
      <c r="I382" s="60" t="e">
        <f t="shared" si="11"/>
        <v>#REF!</v>
      </c>
      <c r="J382" s="42" t="e">
        <f>IF(AND(E382=Data!#REF!,Data!#REF!&lt;&gt;""),Data!#REF!,"")</f>
        <v>#REF!</v>
      </c>
      <c r="K382" s="64" t="e">
        <f>IF(AND(E382=Data!#REF!,Data!#REF!&lt;&gt;""),Data!#REF!,"")</f>
        <v>#REF!</v>
      </c>
      <c r="L382" s="65" t="e">
        <f>IF(E382=Data!#REF!,Data!#REF!,"")</f>
        <v>#REF!</v>
      </c>
      <c r="M382" s="65" t="e">
        <f>IF(E382=Data!#REF!,Data!#REF!,"")</f>
        <v>#REF!</v>
      </c>
      <c r="N382" s="66" t="e">
        <f>IF(AND(Data!#REF!&lt;&gt;"",Data!#REF!="Accept&amp;#233;"),Data!#REF!,"")</f>
        <v>#REF!</v>
      </c>
    </row>
    <row r="383" spans="1:14" ht="19.5" hidden="1" customHeight="1" x14ac:dyDescent="0.3">
      <c r="A383" s="59" t="e">
        <f>IF(AND(Data!#REF!&lt;&gt;"",Data!#REF!="Accept&amp;#233;"),Data!#REF!,"")</f>
        <v>#REF!</v>
      </c>
      <c r="B383" s="59" t="e">
        <f>IF(AND(Data!#REF!&lt;&gt;"",Data!#REF!="Accept&amp;#233;"),Data!#REF!,"")</f>
        <v>#REF!</v>
      </c>
      <c r="C383" s="60" t="e">
        <f t="shared" si="10"/>
        <v>#REF!</v>
      </c>
      <c r="D383" s="42" t="e">
        <f>IF(AND(Data!#REF!&lt;&gt;"",Data!#REF!="Accept&amp;#233;"),Data!#REF!,"")</f>
        <v>#REF!</v>
      </c>
      <c r="E383" s="61" t="e">
        <f>IF(AND(Data!#REF!&lt;&gt;"",Data!#REF!="Accept&amp;#233;"),Data!#REF!,"")</f>
        <v>#REF!</v>
      </c>
      <c r="F383" s="62" t="e">
        <f>IF(AND(Data!#REF!&lt;&gt;"",Data!#REF!="Accept&amp;#233;"),Data!#REF!,"")</f>
        <v>#REF!</v>
      </c>
      <c r="G383" s="63" t="e">
        <f>IF(Data!#REF!='Delivery Plan'!E383,Data!#REF!,"")</f>
        <v>#REF!</v>
      </c>
      <c r="H383" s="51"/>
      <c r="I383" s="60" t="e">
        <f t="shared" si="11"/>
        <v>#REF!</v>
      </c>
      <c r="J383" s="42" t="e">
        <f>IF(AND(E383=Data!#REF!,Data!#REF!&lt;&gt;""),Data!#REF!,"")</f>
        <v>#REF!</v>
      </c>
      <c r="K383" s="64" t="e">
        <f>IF(AND(E383=Data!#REF!,Data!#REF!&lt;&gt;""),Data!#REF!,"")</f>
        <v>#REF!</v>
      </c>
      <c r="L383" s="65" t="e">
        <f>IF(E383=Data!#REF!,Data!#REF!,"")</f>
        <v>#REF!</v>
      </c>
      <c r="M383" s="65" t="e">
        <f>IF(E383=Data!#REF!,Data!#REF!,"")</f>
        <v>#REF!</v>
      </c>
      <c r="N383" s="66" t="e">
        <f>IF(AND(Data!#REF!&lt;&gt;"",Data!#REF!="Accept&amp;#233;"),Data!#REF!,"")</f>
        <v>#REF!</v>
      </c>
    </row>
    <row r="384" spans="1:14" ht="19.5" hidden="1" customHeight="1" x14ac:dyDescent="0.3">
      <c r="A384" s="59" t="e">
        <f>IF(AND(Data!#REF!&lt;&gt;"",Data!#REF!="Accept&amp;#233;"),Data!#REF!,"")</f>
        <v>#REF!</v>
      </c>
      <c r="B384" s="59" t="e">
        <f>IF(AND(Data!#REF!&lt;&gt;"",Data!#REF!="Accept&amp;#233;"),Data!#REF!,"")</f>
        <v>#REF!</v>
      </c>
      <c r="C384" s="60" t="e">
        <f t="shared" si="10"/>
        <v>#REF!</v>
      </c>
      <c r="D384" s="42" t="e">
        <f>IF(AND(Data!#REF!&lt;&gt;"",Data!#REF!="Accept&amp;#233;"),Data!#REF!,"")</f>
        <v>#REF!</v>
      </c>
      <c r="E384" s="61" t="e">
        <f>IF(AND(Data!#REF!&lt;&gt;"",Data!#REF!="Accept&amp;#233;"),Data!#REF!,"")</f>
        <v>#REF!</v>
      </c>
      <c r="F384" s="62" t="e">
        <f>IF(AND(Data!#REF!&lt;&gt;"",Data!#REF!="Accept&amp;#233;"),Data!#REF!,"")</f>
        <v>#REF!</v>
      </c>
      <c r="G384" s="63" t="e">
        <f>IF(Data!#REF!='Delivery Plan'!E384,Data!#REF!,"")</f>
        <v>#REF!</v>
      </c>
      <c r="H384" s="51"/>
      <c r="I384" s="60" t="e">
        <f t="shared" si="11"/>
        <v>#REF!</v>
      </c>
      <c r="J384" s="42" t="e">
        <f>IF(AND(E384=Data!#REF!,Data!#REF!&lt;&gt;""),Data!#REF!,"")</f>
        <v>#REF!</v>
      </c>
      <c r="K384" s="64" t="e">
        <f>IF(AND(E384=Data!#REF!,Data!#REF!&lt;&gt;""),Data!#REF!,"")</f>
        <v>#REF!</v>
      </c>
      <c r="L384" s="65" t="e">
        <f>IF(E384=Data!#REF!,Data!#REF!,"")</f>
        <v>#REF!</v>
      </c>
      <c r="M384" s="65" t="e">
        <f>IF(E384=Data!#REF!,Data!#REF!,"")</f>
        <v>#REF!</v>
      </c>
      <c r="N384" s="66" t="e">
        <f>IF(AND(Data!#REF!&lt;&gt;"",Data!#REF!="Accept&amp;#233;"),Data!#REF!,"")</f>
        <v>#REF!</v>
      </c>
    </row>
    <row r="385" spans="1:14" ht="19.5" hidden="1" customHeight="1" x14ac:dyDescent="0.3">
      <c r="A385" s="59" t="e">
        <f>IF(AND(Data!#REF!&lt;&gt;"",Data!#REF!="Accept&amp;#233;"),Data!#REF!,"")</f>
        <v>#REF!</v>
      </c>
      <c r="B385" s="59" t="e">
        <f>IF(AND(Data!#REF!&lt;&gt;"",Data!#REF!="Accept&amp;#233;"),Data!#REF!,"")</f>
        <v>#REF!</v>
      </c>
      <c r="C385" s="60" t="e">
        <f t="shared" si="10"/>
        <v>#REF!</v>
      </c>
      <c r="D385" s="42" t="e">
        <f>IF(AND(Data!#REF!&lt;&gt;"",Data!#REF!="Accept&amp;#233;"),Data!#REF!,"")</f>
        <v>#REF!</v>
      </c>
      <c r="E385" s="61" t="e">
        <f>IF(AND(Data!#REF!&lt;&gt;"",Data!#REF!="Accept&amp;#233;"),Data!#REF!,"")</f>
        <v>#REF!</v>
      </c>
      <c r="F385" s="62" t="e">
        <f>IF(AND(Data!#REF!&lt;&gt;"",Data!#REF!="Accept&amp;#233;"),Data!#REF!,"")</f>
        <v>#REF!</v>
      </c>
      <c r="G385" s="63" t="e">
        <f>IF(Data!#REF!='Delivery Plan'!E385,Data!#REF!,"")</f>
        <v>#REF!</v>
      </c>
      <c r="H385" s="51"/>
      <c r="I385" s="60" t="e">
        <f t="shared" si="11"/>
        <v>#REF!</v>
      </c>
      <c r="J385" s="42" t="e">
        <f>IF(AND(E385=Data!#REF!,Data!#REF!&lt;&gt;""),Data!#REF!,"")</f>
        <v>#REF!</v>
      </c>
      <c r="K385" s="64" t="e">
        <f>IF(AND(E385=Data!#REF!,Data!#REF!&lt;&gt;""),Data!#REF!,"")</f>
        <v>#REF!</v>
      </c>
      <c r="L385" s="65" t="e">
        <f>IF(E385=Data!#REF!,Data!#REF!,"")</f>
        <v>#REF!</v>
      </c>
      <c r="M385" s="65" t="e">
        <f>IF(E385=Data!#REF!,Data!#REF!,"")</f>
        <v>#REF!</v>
      </c>
      <c r="N385" s="66" t="e">
        <f>IF(AND(Data!#REF!&lt;&gt;"",Data!#REF!="Accept&amp;#233;"),Data!#REF!,"")</f>
        <v>#REF!</v>
      </c>
    </row>
    <row r="386" spans="1:14" ht="19.5" hidden="1" customHeight="1" x14ac:dyDescent="0.3">
      <c r="A386" s="59" t="e">
        <f>IF(AND(Data!#REF!&lt;&gt;"",Data!#REF!="Accept&amp;#233;"),Data!#REF!,"")</f>
        <v>#REF!</v>
      </c>
      <c r="B386" s="59" t="e">
        <f>IF(AND(Data!#REF!&lt;&gt;"",Data!#REF!="Accept&amp;#233;"),Data!#REF!,"")</f>
        <v>#REF!</v>
      </c>
      <c r="C386" s="60" t="e">
        <f t="shared" si="10"/>
        <v>#REF!</v>
      </c>
      <c r="D386" s="42" t="e">
        <f>IF(AND(Data!#REF!&lt;&gt;"",Data!#REF!="Accept&amp;#233;"),Data!#REF!,"")</f>
        <v>#REF!</v>
      </c>
      <c r="E386" s="61" t="e">
        <f>IF(AND(Data!#REF!&lt;&gt;"",Data!#REF!="Accept&amp;#233;"),Data!#REF!,"")</f>
        <v>#REF!</v>
      </c>
      <c r="F386" s="62" t="e">
        <f>IF(AND(Data!#REF!&lt;&gt;"",Data!#REF!="Accept&amp;#233;"),Data!#REF!,"")</f>
        <v>#REF!</v>
      </c>
      <c r="G386" s="63" t="e">
        <f>IF(Data!#REF!='Delivery Plan'!E386,Data!#REF!,"")</f>
        <v>#REF!</v>
      </c>
      <c r="H386" s="51"/>
      <c r="I386" s="60" t="e">
        <f t="shared" si="11"/>
        <v>#REF!</v>
      </c>
      <c r="J386" s="42" t="e">
        <f>IF(AND(E386=Data!#REF!,Data!#REF!&lt;&gt;""),Data!#REF!,"")</f>
        <v>#REF!</v>
      </c>
      <c r="K386" s="64" t="e">
        <f>IF(AND(E386=Data!#REF!,Data!#REF!&lt;&gt;""),Data!#REF!,"")</f>
        <v>#REF!</v>
      </c>
      <c r="L386" s="65" t="e">
        <f>IF(E386=Data!#REF!,Data!#REF!,"")</f>
        <v>#REF!</v>
      </c>
      <c r="M386" s="65" t="e">
        <f>IF(E386=Data!#REF!,Data!#REF!,"")</f>
        <v>#REF!</v>
      </c>
      <c r="N386" s="66" t="e">
        <f>IF(AND(Data!#REF!&lt;&gt;"",Data!#REF!="Accept&amp;#233;"),Data!#REF!,"")</f>
        <v>#REF!</v>
      </c>
    </row>
    <row r="387" spans="1:14" ht="19.5" hidden="1" customHeight="1" x14ac:dyDescent="0.3">
      <c r="A387" s="59" t="e">
        <f>IF(AND(Data!#REF!&lt;&gt;"",Data!#REF!="Accept&amp;#233;"),Data!#REF!,"")</f>
        <v>#REF!</v>
      </c>
      <c r="B387" s="59" t="e">
        <f>IF(AND(Data!#REF!&lt;&gt;"",Data!#REF!="Accept&amp;#233;"),Data!#REF!,"")</f>
        <v>#REF!</v>
      </c>
      <c r="C387" s="60" t="e">
        <f t="shared" si="10"/>
        <v>#REF!</v>
      </c>
      <c r="D387" s="42" t="e">
        <f>IF(AND(Data!#REF!&lt;&gt;"",Data!#REF!="Accept&amp;#233;"),Data!#REF!,"")</f>
        <v>#REF!</v>
      </c>
      <c r="E387" s="61" t="e">
        <f>IF(AND(Data!#REF!&lt;&gt;"",Data!#REF!="Accept&amp;#233;"),Data!#REF!,"")</f>
        <v>#REF!</v>
      </c>
      <c r="F387" s="62" t="e">
        <f>IF(AND(Data!#REF!&lt;&gt;"",Data!#REF!="Accept&amp;#233;"),Data!#REF!,"")</f>
        <v>#REF!</v>
      </c>
      <c r="G387" s="63" t="e">
        <f>IF(Data!#REF!='Delivery Plan'!E387,Data!#REF!,"")</f>
        <v>#REF!</v>
      </c>
      <c r="H387" s="51"/>
      <c r="I387" s="60" t="e">
        <f t="shared" si="11"/>
        <v>#REF!</v>
      </c>
      <c r="J387" s="42" t="e">
        <f>IF(AND(E387=Data!#REF!,Data!#REF!&lt;&gt;""),Data!#REF!,"")</f>
        <v>#REF!</v>
      </c>
      <c r="K387" s="64" t="e">
        <f>IF(AND(E387=Data!#REF!,Data!#REF!&lt;&gt;""),Data!#REF!,"")</f>
        <v>#REF!</v>
      </c>
      <c r="L387" s="65" t="e">
        <f>IF(E387=Data!#REF!,Data!#REF!,"")</f>
        <v>#REF!</v>
      </c>
      <c r="M387" s="65" t="e">
        <f>IF(E387=Data!#REF!,Data!#REF!,"")</f>
        <v>#REF!</v>
      </c>
      <c r="N387" s="66" t="e">
        <f>IF(AND(Data!#REF!&lt;&gt;"",Data!#REF!="Accept&amp;#233;"),Data!#REF!,"")</f>
        <v>#REF!</v>
      </c>
    </row>
    <row r="388" spans="1:14" ht="19.5" hidden="1" customHeight="1" x14ac:dyDescent="0.3">
      <c r="A388" s="59" t="e">
        <f>IF(AND(Data!#REF!&lt;&gt;"",Data!#REF!="Accept&amp;#233;"),Data!#REF!,"")</f>
        <v>#REF!</v>
      </c>
      <c r="B388" s="59" t="e">
        <f>IF(AND(Data!#REF!&lt;&gt;"",Data!#REF!="Accept&amp;#233;"),Data!#REF!,"")</f>
        <v>#REF!</v>
      </c>
      <c r="C388" s="60" t="e">
        <f t="shared" ref="C388:C451" si="12">IF(D388&lt;&gt;"","S"&amp;TEXT(WEEKNUM(D388),"00"),"")</f>
        <v>#REF!</v>
      </c>
      <c r="D388" s="42" t="e">
        <f>IF(AND(Data!#REF!&lt;&gt;"",Data!#REF!="Accept&amp;#233;"),Data!#REF!,"")</f>
        <v>#REF!</v>
      </c>
      <c r="E388" s="61" t="e">
        <f>IF(AND(Data!#REF!&lt;&gt;"",Data!#REF!="Accept&amp;#233;"),Data!#REF!,"")</f>
        <v>#REF!</v>
      </c>
      <c r="F388" s="62" t="e">
        <f>IF(AND(Data!#REF!&lt;&gt;"",Data!#REF!="Accept&amp;#233;"),Data!#REF!,"")</f>
        <v>#REF!</v>
      </c>
      <c r="G388" s="63" t="e">
        <f>IF(Data!#REF!='Delivery Plan'!E388,Data!#REF!,"")</f>
        <v>#REF!</v>
      </c>
      <c r="H388" s="51"/>
      <c r="I388" s="60" t="e">
        <f t="shared" ref="I388:I451" si="13">IF(J388&lt;&gt;"","S"&amp;TEXT(WEEKNUM(J388),"00"),"")</f>
        <v>#REF!</v>
      </c>
      <c r="J388" s="42" t="e">
        <f>IF(AND(E388=Data!#REF!,Data!#REF!&lt;&gt;""),Data!#REF!,"")</f>
        <v>#REF!</v>
      </c>
      <c r="K388" s="64" t="e">
        <f>IF(AND(E388=Data!#REF!,Data!#REF!&lt;&gt;""),Data!#REF!,"")</f>
        <v>#REF!</v>
      </c>
      <c r="L388" s="65" t="e">
        <f>IF(E388=Data!#REF!,Data!#REF!,"")</f>
        <v>#REF!</v>
      </c>
      <c r="M388" s="65" t="e">
        <f>IF(E388=Data!#REF!,Data!#REF!,"")</f>
        <v>#REF!</v>
      </c>
      <c r="N388" s="66" t="e">
        <f>IF(AND(Data!#REF!&lt;&gt;"",Data!#REF!="Accept&amp;#233;"),Data!#REF!,"")</f>
        <v>#REF!</v>
      </c>
    </row>
    <row r="389" spans="1:14" ht="19.5" hidden="1" customHeight="1" x14ac:dyDescent="0.3">
      <c r="A389" s="59" t="e">
        <f>IF(AND(Data!#REF!&lt;&gt;"",Data!#REF!="Accept&amp;#233;"),Data!#REF!,"")</f>
        <v>#REF!</v>
      </c>
      <c r="B389" s="59" t="e">
        <f>IF(AND(Data!#REF!&lt;&gt;"",Data!#REF!="Accept&amp;#233;"),Data!#REF!,"")</f>
        <v>#REF!</v>
      </c>
      <c r="C389" s="60" t="e">
        <f t="shared" si="12"/>
        <v>#REF!</v>
      </c>
      <c r="D389" s="42" t="e">
        <f>IF(AND(Data!#REF!&lt;&gt;"",Data!#REF!="Accept&amp;#233;"),Data!#REF!,"")</f>
        <v>#REF!</v>
      </c>
      <c r="E389" s="61" t="e">
        <f>IF(AND(Data!#REF!&lt;&gt;"",Data!#REF!="Accept&amp;#233;"),Data!#REF!,"")</f>
        <v>#REF!</v>
      </c>
      <c r="F389" s="62" t="e">
        <f>IF(AND(Data!#REF!&lt;&gt;"",Data!#REF!="Accept&amp;#233;"),Data!#REF!,"")</f>
        <v>#REF!</v>
      </c>
      <c r="G389" s="63" t="e">
        <f>IF(Data!#REF!='Delivery Plan'!E389,Data!#REF!,"")</f>
        <v>#REF!</v>
      </c>
      <c r="H389" s="51"/>
      <c r="I389" s="60" t="e">
        <f t="shared" si="13"/>
        <v>#REF!</v>
      </c>
      <c r="J389" s="42" t="e">
        <f>IF(AND(E389=Data!#REF!,Data!#REF!&lt;&gt;""),Data!#REF!,"")</f>
        <v>#REF!</v>
      </c>
      <c r="K389" s="64" t="e">
        <f>IF(AND(E389=Data!#REF!,Data!#REF!&lt;&gt;""),Data!#REF!,"")</f>
        <v>#REF!</v>
      </c>
      <c r="L389" s="65" t="e">
        <f>IF(E389=Data!#REF!,Data!#REF!,"")</f>
        <v>#REF!</v>
      </c>
      <c r="M389" s="65" t="e">
        <f>IF(E389=Data!#REF!,Data!#REF!,"")</f>
        <v>#REF!</v>
      </c>
      <c r="N389" s="66" t="e">
        <f>IF(AND(Data!#REF!&lt;&gt;"",Data!#REF!="Accept&amp;#233;"),Data!#REF!,"")</f>
        <v>#REF!</v>
      </c>
    </row>
    <row r="390" spans="1:14" ht="19.5" hidden="1" customHeight="1" x14ac:dyDescent="0.3">
      <c r="A390" s="59" t="e">
        <f>IF(AND(Data!#REF!&lt;&gt;"",Data!#REF!="Accept&amp;#233;"),Data!#REF!,"")</f>
        <v>#REF!</v>
      </c>
      <c r="B390" s="59" t="e">
        <f>IF(AND(Data!#REF!&lt;&gt;"",Data!#REF!="Accept&amp;#233;"),Data!#REF!,"")</f>
        <v>#REF!</v>
      </c>
      <c r="C390" s="60" t="e">
        <f t="shared" si="12"/>
        <v>#REF!</v>
      </c>
      <c r="D390" s="42" t="e">
        <f>IF(AND(Data!#REF!&lt;&gt;"",Data!#REF!="Accept&amp;#233;"),Data!#REF!,"")</f>
        <v>#REF!</v>
      </c>
      <c r="E390" s="61" t="e">
        <f>IF(AND(Data!#REF!&lt;&gt;"",Data!#REF!="Accept&amp;#233;"),Data!#REF!,"")</f>
        <v>#REF!</v>
      </c>
      <c r="F390" s="62" t="e">
        <f>IF(AND(Data!#REF!&lt;&gt;"",Data!#REF!="Accept&amp;#233;"),Data!#REF!,"")</f>
        <v>#REF!</v>
      </c>
      <c r="G390" s="63" t="e">
        <f>IF(Data!#REF!='Delivery Plan'!E390,Data!#REF!,"")</f>
        <v>#REF!</v>
      </c>
      <c r="H390" s="51"/>
      <c r="I390" s="60" t="e">
        <f t="shared" si="13"/>
        <v>#REF!</v>
      </c>
      <c r="J390" s="42" t="e">
        <f>IF(AND(E390=Data!#REF!,Data!#REF!&lt;&gt;""),Data!#REF!,"")</f>
        <v>#REF!</v>
      </c>
      <c r="K390" s="64" t="e">
        <f>IF(AND(E390=Data!#REF!,Data!#REF!&lt;&gt;""),Data!#REF!,"")</f>
        <v>#REF!</v>
      </c>
      <c r="L390" s="65" t="e">
        <f>IF(E390=Data!#REF!,Data!#REF!,"")</f>
        <v>#REF!</v>
      </c>
      <c r="M390" s="65" t="e">
        <f>IF(E390=Data!#REF!,Data!#REF!,"")</f>
        <v>#REF!</v>
      </c>
      <c r="N390" s="66" t="e">
        <f>IF(AND(Data!#REF!&lt;&gt;"",Data!#REF!="Accept&amp;#233;"),Data!#REF!,"")</f>
        <v>#REF!</v>
      </c>
    </row>
    <row r="391" spans="1:14" ht="19.5" hidden="1" customHeight="1" x14ac:dyDescent="0.3">
      <c r="A391" s="59" t="e">
        <f>IF(AND(Data!#REF!&lt;&gt;"",Data!#REF!="Accept&amp;#233;"),Data!#REF!,"")</f>
        <v>#REF!</v>
      </c>
      <c r="B391" s="59" t="e">
        <f>IF(AND(Data!#REF!&lt;&gt;"",Data!#REF!="Accept&amp;#233;"),Data!#REF!,"")</f>
        <v>#REF!</v>
      </c>
      <c r="C391" s="60" t="e">
        <f t="shared" si="12"/>
        <v>#REF!</v>
      </c>
      <c r="D391" s="42" t="e">
        <f>IF(AND(Data!#REF!&lt;&gt;"",Data!#REF!="Accept&amp;#233;"),Data!#REF!,"")</f>
        <v>#REF!</v>
      </c>
      <c r="E391" s="61" t="e">
        <f>IF(AND(Data!#REF!&lt;&gt;"",Data!#REF!="Accept&amp;#233;"),Data!#REF!,"")</f>
        <v>#REF!</v>
      </c>
      <c r="F391" s="62" t="e">
        <f>IF(AND(Data!#REF!&lt;&gt;"",Data!#REF!="Accept&amp;#233;"),Data!#REF!,"")</f>
        <v>#REF!</v>
      </c>
      <c r="G391" s="63" t="e">
        <f>IF(Data!#REF!='Delivery Plan'!E391,Data!#REF!,"")</f>
        <v>#REF!</v>
      </c>
      <c r="H391" s="51"/>
      <c r="I391" s="60" t="e">
        <f t="shared" si="13"/>
        <v>#REF!</v>
      </c>
      <c r="J391" s="42" t="e">
        <f>IF(AND(E391=Data!#REF!,Data!#REF!&lt;&gt;""),Data!#REF!,"")</f>
        <v>#REF!</v>
      </c>
      <c r="K391" s="64" t="e">
        <f>IF(AND(E391=Data!#REF!,Data!#REF!&lt;&gt;""),Data!#REF!,"")</f>
        <v>#REF!</v>
      </c>
      <c r="L391" s="65" t="e">
        <f>IF(E391=Data!#REF!,Data!#REF!,"")</f>
        <v>#REF!</v>
      </c>
      <c r="M391" s="65" t="e">
        <f>IF(E391=Data!#REF!,Data!#REF!,"")</f>
        <v>#REF!</v>
      </c>
      <c r="N391" s="66" t="e">
        <f>IF(AND(Data!#REF!&lt;&gt;"",Data!#REF!="Accept&amp;#233;"),Data!#REF!,"")</f>
        <v>#REF!</v>
      </c>
    </row>
    <row r="392" spans="1:14" ht="19.5" hidden="1" customHeight="1" x14ac:dyDescent="0.3">
      <c r="A392" s="59" t="e">
        <f>IF(AND(Data!#REF!&lt;&gt;"",Data!#REF!="Accept&amp;#233;"),Data!#REF!,"")</f>
        <v>#REF!</v>
      </c>
      <c r="B392" s="59" t="e">
        <f>IF(AND(Data!#REF!&lt;&gt;"",Data!#REF!="Accept&amp;#233;"),Data!#REF!,"")</f>
        <v>#REF!</v>
      </c>
      <c r="C392" s="60" t="e">
        <f t="shared" si="12"/>
        <v>#REF!</v>
      </c>
      <c r="D392" s="42" t="e">
        <f>IF(AND(Data!#REF!&lt;&gt;"",Data!#REF!="Accept&amp;#233;"),Data!#REF!,"")</f>
        <v>#REF!</v>
      </c>
      <c r="E392" s="61" t="e">
        <f>IF(AND(Data!#REF!&lt;&gt;"",Data!#REF!="Accept&amp;#233;"),Data!#REF!,"")</f>
        <v>#REF!</v>
      </c>
      <c r="F392" s="62" t="e">
        <f>IF(AND(Data!#REF!&lt;&gt;"",Data!#REF!="Accept&amp;#233;"),Data!#REF!,"")</f>
        <v>#REF!</v>
      </c>
      <c r="G392" s="63" t="e">
        <f>IF(Data!#REF!='Delivery Plan'!E392,Data!#REF!,"")</f>
        <v>#REF!</v>
      </c>
      <c r="H392" s="51"/>
      <c r="I392" s="60" t="e">
        <f t="shared" si="13"/>
        <v>#REF!</v>
      </c>
      <c r="J392" s="42" t="e">
        <f>IF(AND(E392=Data!#REF!,Data!#REF!&lt;&gt;""),Data!#REF!,"")</f>
        <v>#REF!</v>
      </c>
      <c r="K392" s="64" t="e">
        <f>IF(AND(E392=Data!#REF!,Data!#REF!&lt;&gt;""),Data!#REF!,"")</f>
        <v>#REF!</v>
      </c>
      <c r="L392" s="65" t="e">
        <f>IF(E392=Data!#REF!,Data!#REF!,"")</f>
        <v>#REF!</v>
      </c>
      <c r="M392" s="65" t="e">
        <f>IF(E392=Data!#REF!,Data!#REF!,"")</f>
        <v>#REF!</v>
      </c>
      <c r="N392" s="66" t="e">
        <f>IF(AND(Data!#REF!&lt;&gt;"",Data!#REF!="Accept&amp;#233;"),Data!#REF!,"")</f>
        <v>#REF!</v>
      </c>
    </row>
    <row r="393" spans="1:14" ht="19.5" hidden="1" customHeight="1" x14ac:dyDescent="0.3">
      <c r="A393" s="59" t="e">
        <f>IF(AND(Data!#REF!&lt;&gt;"",Data!#REF!="Accept&amp;#233;"),Data!#REF!,"")</f>
        <v>#REF!</v>
      </c>
      <c r="B393" s="59" t="e">
        <f>IF(AND(Data!#REF!&lt;&gt;"",Data!#REF!="Accept&amp;#233;"),Data!#REF!,"")</f>
        <v>#REF!</v>
      </c>
      <c r="C393" s="60" t="e">
        <f t="shared" si="12"/>
        <v>#REF!</v>
      </c>
      <c r="D393" s="42" t="e">
        <f>IF(AND(Data!#REF!&lt;&gt;"",Data!#REF!="Accept&amp;#233;"),Data!#REF!,"")</f>
        <v>#REF!</v>
      </c>
      <c r="E393" s="61" t="e">
        <f>IF(AND(Data!#REF!&lt;&gt;"",Data!#REF!="Accept&amp;#233;"),Data!#REF!,"")</f>
        <v>#REF!</v>
      </c>
      <c r="F393" s="62" t="e">
        <f>IF(AND(Data!#REF!&lt;&gt;"",Data!#REF!="Accept&amp;#233;"),Data!#REF!,"")</f>
        <v>#REF!</v>
      </c>
      <c r="G393" s="63" t="e">
        <f>IF(Data!#REF!='Delivery Plan'!E393,Data!#REF!,"")</f>
        <v>#REF!</v>
      </c>
      <c r="H393" s="51"/>
      <c r="I393" s="60" t="e">
        <f t="shared" si="13"/>
        <v>#REF!</v>
      </c>
      <c r="J393" s="42" t="e">
        <f>IF(AND(E393=Data!#REF!,Data!#REF!&lt;&gt;""),Data!#REF!,"")</f>
        <v>#REF!</v>
      </c>
      <c r="K393" s="64" t="e">
        <f>IF(AND(E393=Data!#REF!,Data!#REF!&lt;&gt;""),Data!#REF!,"")</f>
        <v>#REF!</v>
      </c>
      <c r="L393" s="65" t="e">
        <f>IF(E393=Data!#REF!,Data!#REF!,"")</f>
        <v>#REF!</v>
      </c>
      <c r="M393" s="65" t="e">
        <f>IF(E393=Data!#REF!,Data!#REF!,"")</f>
        <v>#REF!</v>
      </c>
      <c r="N393" s="66" t="e">
        <f>IF(AND(Data!#REF!&lt;&gt;"",Data!#REF!="Accept&amp;#233;"),Data!#REF!,"")</f>
        <v>#REF!</v>
      </c>
    </row>
    <row r="394" spans="1:14" ht="19.5" hidden="1" customHeight="1" x14ac:dyDescent="0.3">
      <c r="A394" s="59" t="e">
        <f>IF(AND(Data!#REF!&lt;&gt;"",Data!#REF!="Accept&amp;#233;"),Data!#REF!,"")</f>
        <v>#REF!</v>
      </c>
      <c r="B394" s="59" t="e">
        <f>IF(AND(Data!#REF!&lt;&gt;"",Data!#REF!="Accept&amp;#233;"),Data!#REF!,"")</f>
        <v>#REF!</v>
      </c>
      <c r="C394" s="60" t="e">
        <f t="shared" si="12"/>
        <v>#REF!</v>
      </c>
      <c r="D394" s="42" t="e">
        <f>IF(AND(Data!#REF!&lt;&gt;"",Data!#REF!="Accept&amp;#233;"),Data!#REF!,"")</f>
        <v>#REF!</v>
      </c>
      <c r="E394" s="61" t="e">
        <f>IF(AND(Data!#REF!&lt;&gt;"",Data!#REF!="Accept&amp;#233;"),Data!#REF!,"")</f>
        <v>#REF!</v>
      </c>
      <c r="F394" s="62" t="e">
        <f>IF(AND(Data!#REF!&lt;&gt;"",Data!#REF!="Accept&amp;#233;"),Data!#REF!,"")</f>
        <v>#REF!</v>
      </c>
      <c r="G394" s="63" t="e">
        <f>IF(Data!#REF!='Delivery Plan'!E394,Data!#REF!,"")</f>
        <v>#REF!</v>
      </c>
      <c r="H394" s="51"/>
      <c r="I394" s="60" t="e">
        <f t="shared" si="13"/>
        <v>#REF!</v>
      </c>
      <c r="J394" s="42" t="e">
        <f>IF(AND(E394=Data!#REF!,Data!#REF!&lt;&gt;""),Data!#REF!,"")</f>
        <v>#REF!</v>
      </c>
      <c r="K394" s="64" t="e">
        <f>IF(AND(E394=Data!#REF!,Data!#REF!&lt;&gt;""),Data!#REF!,"")</f>
        <v>#REF!</v>
      </c>
      <c r="L394" s="65" t="e">
        <f>IF(E394=Data!#REF!,Data!#REF!,"")</f>
        <v>#REF!</v>
      </c>
      <c r="M394" s="65" t="e">
        <f>IF(E394=Data!#REF!,Data!#REF!,"")</f>
        <v>#REF!</v>
      </c>
      <c r="N394" s="66" t="e">
        <f>IF(AND(Data!#REF!&lt;&gt;"",Data!#REF!="Accept&amp;#233;"),Data!#REF!,"")</f>
        <v>#REF!</v>
      </c>
    </row>
    <row r="395" spans="1:14" ht="19.5" hidden="1" customHeight="1" x14ac:dyDescent="0.3">
      <c r="A395" s="59" t="e">
        <f>IF(AND(Data!#REF!&lt;&gt;"",Data!#REF!="Accept&amp;#233;"),Data!#REF!,"")</f>
        <v>#REF!</v>
      </c>
      <c r="B395" s="59" t="e">
        <f>IF(AND(Data!#REF!&lt;&gt;"",Data!#REF!="Accept&amp;#233;"),Data!#REF!,"")</f>
        <v>#REF!</v>
      </c>
      <c r="C395" s="60" t="e">
        <f t="shared" si="12"/>
        <v>#REF!</v>
      </c>
      <c r="D395" s="42" t="e">
        <f>IF(AND(Data!#REF!&lt;&gt;"",Data!#REF!="Accept&amp;#233;"),Data!#REF!,"")</f>
        <v>#REF!</v>
      </c>
      <c r="E395" s="61" t="e">
        <f>IF(AND(Data!#REF!&lt;&gt;"",Data!#REF!="Accept&amp;#233;"),Data!#REF!,"")</f>
        <v>#REF!</v>
      </c>
      <c r="F395" s="62" t="e">
        <f>IF(AND(Data!#REF!&lt;&gt;"",Data!#REF!="Accept&amp;#233;"),Data!#REF!,"")</f>
        <v>#REF!</v>
      </c>
      <c r="G395" s="63" t="e">
        <f>IF(Data!#REF!='Delivery Plan'!E395,Data!#REF!,"")</f>
        <v>#REF!</v>
      </c>
      <c r="H395" s="51"/>
      <c r="I395" s="60" t="e">
        <f t="shared" si="13"/>
        <v>#REF!</v>
      </c>
      <c r="J395" s="42" t="e">
        <f>IF(AND(E395=Data!#REF!,Data!#REF!&lt;&gt;""),Data!#REF!,"")</f>
        <v>#REF!</v>
      </c>
      <c r="K395" s="64" t="e">
        <f>IF(AND(E395=Data!#REF!,Data!#REF!&lt;&gt;""),Data!#REF!,"")</f>
        <v>#REF!</v>
      </c>
      <c r="L395" s="65" t="e">
        <f>IF(E395=Data!#REF!,Data!#REF!,"")</f>
        <v>#REF!</v>
      </c>
      <c r="M395" s="65" t="e">
        <f>IF(E395=Data!#REF!,Data!#REF!,"")</f>
        <v>#REF!</v>
      </c>
      <c r="N395" s="66" t="e">
        <f>IF(AND(Data!#REF!&lt;&gt;"",Data!#REF!="Accept&amp;#233;"),Data!#REF!,"")</f>
        <v>#REF!</v>
      </c>
    </row>
    <row r="396" spans="1:14" ht="19.5" hidden="1" customHeight="1" x14ac:dyDescent="0.3">
      <c r="A396" s="59" t="e">
        <f>IF(AND(Data!#REF!&lt;&gt;"",Data!#REF!="Accept&amp;#233;"),Data!#REF!,"")</f>
        <v>#REF!</v>
      </c>
      <c r="B396" s="59" t="e">
        <f>IF(AND(Data!#REF!&lt;&gt;"",Data!#REF!="Accept&amp;#233;"),Data!#REF!,"")</f>
        <v>#REF!</v>
      </c>
      <c r="C396" s="60" t="e">
        <f t="shared" si="12"/>
        <v>#REF!</v>
      </c>
      <c r="D396" s="42" t="e">
        <f>IF(AND(Data!#REF!&lt;&gt;"",Data!#REF!="Accept&amp;#233;"),Data!#REF!,"")</f>
        <v>#REF!</v>
      </c>
      <c r="E396" s="61" t="e">
        <f>IF(AND(Data!#REF!&lt;&gt;"",Data!#REF!="Accept&amp;#233;"),Data!#REF!,"")</f>
        <v>#REF!</v>
      </c>
      <c r="F396" s="62" t="e">
        <f>IF(AND(Data!#REF!&lt;&gt;"",Data!#REF!="Accept&amp;#233;"),Data!#REF!,"")</f>
        <v>#REF!</v>
      </c>
      <c r="G396" s="63" t="e">
        <f>IF(Data!#REF!='Delivery Plan'!E396,Data!#REF!,"")</f>
        <v>#REF!</v>
      </c>
      <c r="H396" s="51"/>
      <c r="I396" s="60" t="e">
        <f t="shared" si="13"/>
        <v>#REF!</v>
      </c>
      <c r="J396" s="42" t="e">
        <f>IF(AND(E396=Data!#REF!,Data!#REF!&lt;&gt;""),Data!#REF!,"")</f>
        <v>#REF!</v>
      </c>
      <c r="K396" s="64" t="e">
        <f>IF(AND(E396=Data!#REF!,Data!#REF!&lt;&gt;""),Data!#REF!,"")</f>
        <v>#REF!</v>
      </c>
      <c r="L396" s="65" t="e">
        <f>IF(E396=Data!#REF!,Data!#REF!,"")</f>
        <v>#REF!</v>
      </c>
      <c r="M396" s="65" t="e">
        <f>IF(E396=Data!#REF!,Data!#REF!,"")</f>
        <v>#REF!</v>
      </c>
      <c r="N396" s="66" t="e">
        <f>IF(AND(Data!#REF!&lt;&gt;"",Data!#REF!="Accept&amp;#233;"),Data!#REF!,"")</f>
        <v>#REF!</v>
      </c>
    </row>
    <row r="397" spans="1:14" ht="19.5" hidden="1" customHeight="1" x14ac:dyDescent="0.3">
      <c r="A397" s="59" t="e">
        <f>IF(AND(Data!#REF!&lt;&gt;"",Data!#REF!="Accept&amp;#233;"),Data!#REF!,"")</f>
        <v>#REF!</v>
      </c>
      <c r="B397" s="59" t="e">
        <f>IF(AND(Data!#REF!&lt;&gt;"",Data!#REF!="Accept&amp;#233;"),Data!#REF!,"")</f>
        <v>#REF!</v>
      </c>
      <c r="C397" s="60" t="e">
        <f t="shared" si="12"/>
        <v>#REF!</v>
      </c>
      <c r="D397" s="42" t="e">
        <f>IF(AND(Data!#REF!&lt;&gt;"",Data!#REF!="Accept&amp;#233;"),Data!#REF!,"")</f>
        <v>#REF!</v>
      </c>
      <c r="E397" s="61" t="e">
        <f>IF(AND(Data!#REF!&lt;&gt;"",Data!#REF!="Accept&amp;#233;"),Data!#REF!,"")</f>
        <v>#REF!</v>
      </c>
      <c r="F397" s="62" t="e">
        <f>IF(AND(Data!#REF!&lt;&gt;"",Data!#REF!="Accept&amp;#233;"),Data!#REF!,"")</f>
        <v>#REF!</v>
      </c>
      <c r="G397" s="63" t="e">
        <f>IF(Data!#REF!='Delivery Plan'!E397,Data!#REF!,"")</f>
        <v>#REF!</v>
      </c>
      <c r="H397" s="51"/>
      <c r="I397" s="60" t="e">
        <f t="shared" si="13"/>
        <v>#REF!</v>
      </c>
      <c r="J397" s="42" t="e">
        <f>IF(AND(E397=Data!#REF!,Data!#REF!&lt;&gt;""),Data!#REF!,"")</f>
        <v>#REF!</v>
      </c>
      <c r="K397" s="64" t="e">
        <f>IF(AND(E397=Data!#REF!,Data!#REF!&lt;&gt;""),Data!#REF!,"")</f>
        <v>#REF!</v>
      </c>
      <c r="L397" s="65" t="e">
        <f>IF(E397=Data!#REF!,Data!#REF!,"")</f>
        <v>#REF!</v>
      </c>
      <c r="M397" s="65" t="e">
        <f>IF(E397=Data!#REF!,Data!#REF!,"")</f>
        <v>#REF!</v>
      </c>
      <c r="N397" s="66" t="e">
        <f>IF(AND(Data!#REF!&lt;&gt;"",Data!#REF!="Accept&amp;#233;"),Data!#REF!,"")</f>
        <v>#REF!</v>
      </c>
    </row>
    <row r="398" spans="1:14" ht="19.5" hidden="1" customHeight="1" x14ac:dyDescent="0.3">
      <c r="A398" s="59" t="e">
        <f>IF(AND(Data!#REF!&lt;&gt;"",Data!#REF!="Accept&amp;#233;"),Data!#REF!,"")</f>
        <v>#REF!</v>
      </c>
      <c r="B398" s="59" t="e">
        <f>IF(AND(Data!#REF!&lt;&gt;"",Data!#REF!="Accept&amp;#233;"),Data!#REF!,"")</f>
        <v>#REF!</v>
      </c>
      <c r="C398" s="60" t="e">
        <f t="shared" si="12"/>
        <v>#REF!</v>
      </c>
      <c r="D398" s="42" t="e">
        <f>IF(AND(Data!#REF!&lt;&gt;"",Data!#REF!="Accept&amp;#233;"),Data!#REF!,"")</f>
        <v>#REF!</v>
      </c>
      <c r="E398" s="61" t="e">
        <f>IF(AND(Data!#REF!&lt;&gt;"",Data!#REF!="Accept&amp;#233;"),Data!#REF!,"")</f>
        <v>#REF!</v>
      </c>
      <c r="F398" s="62" t="e">
        <f>IF(AND(Data!#REF!&lt;&gt;"",Data!#REF!="Accept&amp;#233;"),Data!#REF!,"")</f>
        <v>#REF!</v>
      </c>
      <c r="G398" s="63" t="e">
        <f>IF(Data!#REF!='Delivery Plan'!E398,Data!#REF!,"")</f>
        <v>#REF!</v>
      </c>
      <c r="H398" s="51"/>
      <c r="I398" s="60" t="e">
        <f t="shared" si="13"/>
        <v>#REF!</v>
      </c>
      <c r="J398" s="42" t="e">
        <f>IF(AND(E398=Data!#REF!,Data!#REF!&lt;&gt;""),Data!#REF!,"")</f>
        <v>#REF!</v>
      </c>
      <c r="K398" s="64" t="e">
        <f>IF(AND(E398=Data!#REF!,Data!#REF!&lt;&gt;""),Data!#REF!,"")</f>
        <v>#REF!</v>
      </c>
      <c r="L398" s="65" t="e">
        <f>IF(E398=Data!#REF!,Data!#REF!,"")</f>
        <v>#REF!</v>
      </c>
      <c r="M398" s="65" t="e">
        <f>IF(E398=Data!#REF!,Data!#REF!,"")</f>
        <v>#REF!</v>
      </c>
      <c r="N398" s="66" t="e">
        <f>IF(AND(Data!#REF!&lt;&gt;"",Data!#REF!="Accept&amp;#233;"),Data!#REF!,"")</f>
        <v>#REF!</v>
      </c>
    </row>
    <row r="399" spans="1:14" ht="19.5" hidden="1" customHeight="1" x14ac:dyDescent="0.3">
      <c r="A399" s="59" t="e">
        <f>IF(AND(Data!#REF!&lt;&gt;"",Data!#REF!="Accept&amp;#233;"),Data!#REF!,"")</f>
        <v>#REF!</v>
      </c>
      <c r="B399" s="59" t="e">
        <f>IF(AND(Data!#REF!&lt;&gt;"",Data!#REF!="Accept&amp;#233;"),Data!#REF!,"")</f>
        <v>#REF!</v>
      </c>
      <c r="C399" s="60" t="e">
        <f t="shared" si="12"/>
        <v>#REF!</v>
      </c>
      <c r="D399" s="42" t="e">
        <f>IF(AND(Data!#REF!&lt;&gt;"",Data!#REF!="Accept&amp;#233;"),Data!#REF!,"")</f>
        <v>#REF!</v>
      </c>
      <c r="E399" s="61" t="e">
        <f>IF(AND(Data!#REF!&lt;&gt;"",Data!#REF!="Accept&amp;#233;"),Data!#REF!,"")</f>
        <v>#REF!</v>
      </c>
      <c r="F399" s="62" t="e">
        <f>IF(AND(Data!#REF!&lt;&gt;"",Data!#REF!="Accept&amp;#233;"),Data!#REF!,"")</f>
        <v>#REF!</v>
      </c>
      <c r="G399" s="63" t="e">
        <f>IF(Data!#REF!='Delivery Plan'!E399,Data!#REF!,"")</f>
        <v>#REF!</v>
      </c>
      <c r="H399" s="51"/>
      <c r="I399" s="60" t="e">
        <f t="shared" si="13"/>
        <v>#REF!</v>
      </c>
      <c r="J399" s="42" t="e">
        <f>IF(AND(E399=Data!#REF!,Data!#REF!&lt;&gt;""),Data!#REF!,"")</f>
        <v>#REF!</v>
      </c>
      <c r="K399" s="64" t="e">
        <f>IF(AND(E399=Data!#REF!,Data!#REF!&lt;&gt;""),Data!#REF!,"")</f>
        <v>#REF!</v>
      </c>
      <c r="L399" s="65" t="e">
        <f>IF(E399=Data!#REF!,Data!#REF!,"")</f>
        <v>#REF!</v>
      </c>
      <c r="M399" s="65" t="e">
        <f>IF(E399=Data!#REF!,Data!#REF!,"")</f>
        <v>#REF!</v>
      </c>
      <c r="N399" s="66" t="e">
        <f>IF(AND(Data!#REF!&lt;&gt;"",Data!#REF!="Accept&amp;#233;"),Data!#REF!,"")</f>
        <v>#REF!</v>
      </c>
    </row>
    <row r="400" spans="1:14" ht="19.5" hidden="1" customHeight="1" x14ac:dyDescent="0.3">
      <c r="A400" s="59" t="e">
        <f>IF(AND(Data!#REF!&lt;&gt;"",Data!#REF!="Accept&amp;#233;"),Data!#REF!,"")</f>
        <v>#REF!</v>
      </c>
      <c r="B400" s="59" t="e">
        <f>IF(AND(Data!#REF!&lt;&gt;"",Data!#REF!="Accept&amp;#233;"),Data!#REF!,"")</f>
        <v>#REF!</v>
      </c>
      <c r="C400" s="60" t="e">
        <f t="shared" si="12"/>
        <v>#REF!</v>
      </c>
      <c r="D400" s="42" t="e">
        <f>IF(AND(Data!#REF!&lt;&gt;"",Data!#REF!="Accept&amp;#233;"),Data!#REF!,"")</f>
        <v>#REF!</v>
      </c>
      <c r="E400" s="61" t="e">
        <f>IF(AND(Data!#REF!&lt;&gt;"",Data!#REF!="Accept&amp;#233;"),Data!#REF!,"")</f>
        <v>#REF!</v>
      </c>
      <c r="F400" s="62" t="e">
        <f>IF(AND(Data!#REF!&lt;&gt;"",Data!#REF!="Accept&amp;#233;"),Data!#REF!,"")</f>
        <v>#REF!</v>
      </c>
      <c r="G400" s="63" t="e">
        <f>IF(Data!#REF!='Delivery Plan'!E400,Data!#REF!,"")</f>
        <v>#REF!</v>
      </c>
      <c r="H400" s="51"/>
      <c r="I400" s="60" t="e">
        <f t="shared" si="13"/>
        <v>#REF!</v>
      </c>
      <c r="J400" s="42" t="e">
        <f>IF(AND(E400=Data!#REF!,Data!#REF!&lt;&gt;""),Data!#REF!,"")</f>
        <v>#REF!</v>
      </c>
      <c r="K400" s="64" t="e">
        <f>IF(AND(E400=Data!#REF!,Data!#REF!&lt;&gt;""),Data!#REF!,"")</f>
        <v>#REF!</v>
      </c>
      <c r="L400" s="65" t="e">
        <f>IF(E400=Data!#REF!,Data!#REF!,"")</f>
        <v>#REF!</v>
      </c>
      <c r="M400" s="65" t="e">
        <f>IF(E400=Data!#REF!,Data!#REF!,"")</f>
        <v>#REF!</v>
      </c>
      <c r="N400" s="66" t="e">
        <f>IF(AND(Data!#REF!&lt;&gt;"",Data!#REF!="Accept&amp;#233;"),Data!#REF!,"")</f>
        <v>#REF!</v>
      </c>
    </row>
    <row r="401" spans="1:14" ht="19.5" hidden="1" customHeight="1" x14ac:dyDescent="0.3">
      <c r="A401" s="59" t="e">
        <f>IF(AND(Data!#REF!&lt;&gt;"",Data!#REF!="Accept&amp;#233;"),Data!#REF!,"")</f>
        <v>#REF!</v>
      </c>
      <c r="B401" s="59" t="e">
        <f>IF(AND(Data!#REF!&lt;&gt;"",Data!#REF!="Accept&amp;#233;"),Data!#REF!,"")</f>
        <v>#REF!</v>
      </c>
      <c r="C401" s="60" t="e">
        <f t="shared" si="12"/>
        <v>#REF!</v>
      </c>
      <c r="D401" s="42" t="e">
        <f>IF(AND(Data!#REF!&lt;&gt;"",Data!#REF!="Accept&amp;#233;"),Data!#REF!,"")</f>
        <v>#REF!</v>
      </c>
      <c r="E401" s="61" t="e">
        <f>IF(AND(Data!#REF!&lt;&gt;"",Data!#REF!="Accept&amp;#233;"),Data!#REF!,"")</f>
        <v>#REF!</v>
      </c>
      <c r="F401" s="62" t="e">
        <f>IF(AND(Data!#REF!&lt;&gt;"",Data!#REF!="Accept&amp;#233;"),Data!#REF!,"")</f>
        <v>#REF!</v>
      </c>
      <c r="G401" s="63" t="e">
        <f>IF(Data!#REF!='Delivery Plan'!E401,Data!#REF!,"")</f>
        <v>#REF!</v>
      </c>
      <c r="H401" s="51"/>
      <c r="I401" s="60" t="e">
        <f t="shared" si="13"/>
        <v>#REF!</v>
      </c>
      <c r="J401" s="42" t="e">
        <f>IF(AND(E401=Data!#REF!,Data!#REF!&lt;&gt;""),Data!#REF!,"")</f>
        <v>#REF!</v>
      </c>
      <c r="K401" s="64" t="e">
        <f>IF(AND(E401=Data!#REF!,Data!#REF!&lt;&gt;""),Data!#REF!,"")</f>
        <v>#REF!</v>
      </c>
      <c r="L401" s="65" t="e">
        <f>IF(E401=Data!#REF!,Data!#REF!,"")</f>
        <v>#REF!</v>
      </c>
      <c r="M401" s="65" t="e">
        <f>IF(E401=Data!#REF!,Data!#REF!,"")</f>
        <v>#REF!</v>
      </c>
      <c r="N401" s="66" t="e">
        <f>IF(AND(Data!#REF!&lt;&gt;"",Data!#REF!="Accept&amp;#233;"),Data!#REF!,"")</f>
        <v>#REF!</v>
      </c>
    </row>
    <row r="402" spans="1:14" ht="19.5" hidden="1" customHeight="1" x14ac:dyDescent="0.3">
      <c r="A402" s="59" t="e">
        <f>IF(AND(Data!#REF!&lt;&gt;"",Data!#REF!="Accept&amp;#233;"),Data!#REF!,"")</f>
        <v>#REF!</v>
      </c>
      <c r="B402" s="59" t="e">
        <f>IF(AND(Data!#REF!&lt;&gt;"",Data!#REF!="Accept&amp;#233;"),Data!#REF!,"")</f>
        <v>#REF!</v>
      </c>
      <c r="C402" s="60" t="e">
        <f t="shared" si="12"/>
        <v>#REF!</v>
      </c>
      <c r="D402" s="42" t="e">
        <f>IF(AND(Data!#REF!&lt;&gt;"",Data!#REF!="Accept&amp;#233;"),Data!#REF!,"")</f>
        <v>#REF!</v>
      </c>
      <c r="E402" s="61" t="e">
        <f>IF(AND(Data!#REF!&lt;&gt;"",Data!#REF!="Accept&amp;#233;"),Data!#REF!,"")</f>
        <v>#REF!</v>
      </c>
      <c r="F402" s="62" t="e">
        <f>IF(AND(Data!#REF!&lt;&gt;"",Data!#REF!="Accept&amp;#233;"),Data!#REF!,"")</f>
        <v>#REF!</v>
      </c>
      <c r="G402" s="63" t="e">
        <f>IF(Data!#REF!='Delivery Plan'!E402,Data!#REF!,"")</f>
        <v>#REF!</v>
      </c>
      <c r="H402" s="51"/>
      <c r="I402" s="60" t="e">
        <f t="shared" si="13"/>
        <v>#REF!</v>
      </c>
      <c r="J402" s="42" t="e">
        <f>IF(AND(E402=Data!#REF!,Data!#REF!&lt;&gt;""),Data!#REF!,"")</f>
        <v>#REF!</v>
      </c>
      <c r="K402" s="64" t="e">
        <f>IF(AND(E402=Data!#REF!,Data!#REF!&lt;&gt;""),Data!#REF!,"")</f>
        <v>#REF!</v>
      </c>
      <c r="L402" s="65" t="e">
        <f>IF(E402=Data!#REF!,Data!#REF!,"")</f>
        <v>#REF!</v>
      </c>
      <c r="M402" s="65" t="e">
        <f>IF(E402=Data!#REF!,Data!#REF!,"")</f>
        <v>#REF!</v>
      </c>
      <c r="N402" s="66" t="e">
        <f>IF(AND(Data!#REF!&lt;&gt;"",Data!#REF!="Accept&amp;#233;"),Data!#REF!,"")</f>
        <v>#REF!</v>
      </c>
    </row>
    <row r="403" spans="1:14" ht="19.5" hidden="1" customHeight="1" x14ac:dyDescent="0.3">
      <c r="A403" s="59" t="e">
        <f>IF(AND(Data!#REF!&lt;&gt;"",Data!#REF!="Accept&amp;#233;"),Data!#REF!,"")</f>
        <v>#REF!</v>
      </c>
      <c r="B403" s="59" t="e">
        <f>IF(AND(Data!#REF!&lt;&gt;"",Data!#REF!="Accept&amp;#233;"),Data!#REF!,"")</f>
        <v>#REF!</v>
      </c>
      <c r="C403" s="60" t="e">
        <f t="shared" si="12"/>
        <v>#REF!</v>
      </c>
      <c r="D403" s="42" t="e">
        <f>IF(AND(Data!#REF!&lt;&gt;"",Data!#REF!="Accept&amp;#233;"),Data!#REF!,"")</f>
        <v>#REF!</v>
      </c>
      <c r="E403" s="61" t="e">
        <f>IF(AND(Data!#REF!&lt;&gt;"",Data!#REF!="Accept&amp;#233;"),Data!#REF!,"")</f>
        <v>#REF!</v>
      </c>
      <c r="F403" s="62" t="e">
        <f>IF(AND(Data!#REF!&lt;&gt;"",Data!#REF!="Accept&amp;#233;"),Data!#REF!,"")</f>
        <v>#REF!</v>
      </c>
      <c r="G403" s="63" t="e">
        <f>IF(Data!#REF!='Delivery Plan'!E403,Data!#REF!,"")</f>
        <v>#REF!</v>
      </c>
      <c r="H403" s="51"/>
      <c r="I403" s="60" t="e">
        <f t="shared" si="13"/>
        <v>#REF!</v>
      </c>
      <c r="J403" s="42" t="e">
        <f>IF(AND(E403=Data!#REF!,Data!#REF!&lt;&gt;""),Data!#REF!,"")</f>
        <v>#REF!</v>
      </c>
      <c r="K403" s="64" t="e">
        <f>IF(AND(E403=Data!#REF!,Data!#REF!&lt;&gt;""),Data!#REF!,"")</f>
        <v>#REF!</v>
      </c>
      <c r="L403" s="65" t="e">
        <f>IF(E403=Data!#REF!,Data!#REF!,"")</f>
        <v>#REF!</v>
      </c>
      <c r="M403" s="65" t="e">
        <f>IF(E403=Data!#REF!,Data!#REF!,"")</f>
        <v>#REF!</v>
      </c>
      <c r="N403" s="66" t="e">
        <f>IF(AND(Data!#REF!&lt;&gt;"",Data!#REF!="Accept&amp;#233;"),Data!#REF!,"")</f>
        <v>#REF!</v>
      </c>
    </row>
    <row r="404" spans="1:14" ht="19.5" hidden="1" customHeight="1" x14ac:dyDescent="0.3">
      <c r="A404" s="59" t="e">
        <f>IF(AND(Data!#REF!&lt;&gt;"",Data!#REF!="Accept&amp;#233;"),Data!#REF!,"")</f>
        <v>#REF!</v>
      </c>
      <c r="B404" s="59" t="e">
        <f>IF(AND(Data!#REF!&lt;&gt;"",Data!#REF!="Accept&amp;#233;"),Data!#REF!,"")</f>
        <v>#REF!</v>
      </c>
      <c r="C404" s="60" t="e">
        <f t="shared" si="12"/>
        <v>#REF!</v>
      </c>
      <c r="D404" s="42" t="e">
        <f>IF(AND(Data!#REF!&lt;&gt;"",Data!#REF!="Accept&amp;#233;"),Data!#REF!,"")</f>
        <v>#REF!</v>
      </c>
      <c r="E404" s="61" t="e">
        <f>IF(AND(Data!#REF!&lt;&gt;"",Data!#REF!="Accept&amp;#233;"),Data!#REF!,"")</f>
        <v>#REF!</v>
      </c>
      <c r="F404" s="62" t="e">
        <f>IF(AND(Data!#REF!&lt;&gt;"",Data!#REF!="Accept&amp;#233;"),Data!#REF!,"")</f>
        <v>#REF!</v>
      </c>
      <c r="G404" s="63" t="e">
        <f>IF(Data!#REF!='Delivery Plan'!E404,Data!#REF!,"")</f>
        <v>#REF!</v>
      </c>
      <c r="H404" s="51"/>
      <c r="I404" s="60" t="e">
        <f t="shared" si="13"/>
        <v>#REF!</v>
      </c>
      <c r="J404" s="42" t="e">
        <f>IF(AND(E404=Data!#REF!,Data!#REF!&lt;&gt;""),Data!#REF!,"")</f>
        <v>#REF!</v>
      </c>
      <c r="K404" s="64" t="e">
        <f>IF(AND(E404=Data!#REF!,Data!#REF!&lt;&gt;""),Data!#REF!,"")</f>
        <v>#REF!</v>
      </c>
      <c r="L404" s="65" t="e">
        <f>IF(E404=Data!#REF!,Data!#REF!,"")</f>
        <v>#REF!</v>
      </c>
      <c r="M404" s="65" t="e">
        <f>IF(E404=Data!#REF!,Data!#REF!,"")</f>
        <v>#REF!</v>
      </c>
      <c r="N404" s="66" t="e">
        <f>IF(AND(Data!#REF!&lt;&gt;"",Data!#REF!="Accept&amp;#233;"),Data!#REF!,"")</f>
        <v>#REF!</v>
      </c>
    </row>
    <row r="405" spans="1:14" ht="19.5" hidden="1" customHeight="1" x14ac:dyDescent="0.3">
      <c r="A405" s="59" t="e">
        <f>IF(AND(Data!#REF!&lt;&gt;"",Data!#REF!="Accept&amp;#233;"),Data!#REF!,"")</f>
        <v>#REF!</v>
      </c>
      <c r="B405" s="59" t="e">
        <f>IF(AND(Data!#REF!&lt;&gt;"",Data!#REF!="Accept&amp;#233;"),Data!#REF!,"")</f>
        <v>#REF!</v>
      </c>
      <c r="C405" s="60" t="e">
        <f t="shared" si="12"/>
        <v>#REF!</v>
      </c>
      <c r="D405" s="42" t="e">
        <f>IF(AND(Data!#REF!&lt;&gt;"",Data!#REF!="Accept&amp;#233;"),Data!#REF!,"")</f>
        <v>#REF!</v>
      </c>
      <c r="E405" s="61" t="e">
        <f>IF(AND(Data!#REF!&lt;&gt;"",Data!#REF!="Accept&amp;#233;"),Data!#REF!,"")</f>
        <v>#REF!</v>
      </c>
      <c r="F405" s="62" t="e">
        <f>IF(AND(Data!#REF!&lt;&gt;"",Data!#REF!="Accept&amp;#233;"),Data!#REF!,"")</f>
        <v>#REF!</v>
      </c>
      <c r="G405" s="63" t="e">
        <f>IF(Data!#REF!='Delivery Plan'!E405,Data!#REF!,"")</f>
        <v>#REF!</v>
      </c>
      <c r="H405" s="51"/>
      <c r="I405" s="60" t="e">
        <f t="shared" si="13"/>
        <v>#REF!</v>
      </c>
      <c r="J405" s="42" t="e">
        <f>IF(AND(E405=Data!#REF!,Data!#REF!&lt;&gt;""),Data!#REF!,"")</f>
        <v>#REF!</v>
      </c>
      <c r="K405" s="64" t="e">
        <f>IF(AND(E405=Data!#REF!,Data!#REF!&lt;&gt;""),Data!#REF!,"")</f>
        <v>#REF!</v>
      </c>
      <c r="L405" s="65" t="e">
        <f>IF(E405=Data!#REF!,Data!#REF!,"")</f>
        <v>#REF!</v>
      </c>
      <c r="M405" s="65" t="e">
        <f>IF(E405=Data!#REF!,Data!#REF!,"")</f>
        <v>#REF!</v>
      </c>
      <c r="N405" s="66" t="e">
        <f>IF(AND(Data!#REF!&lt;&gt;"",Data!#REF!="Accept&amp;#233;"),Data!#REF!,"")</f>
        <v>#REF!</v>
      </c>
    </row>
    <row r="406" spans="1:14" ht="19.5" hidden="1" customHeight="1" x14ac:dyDescent="0.3">
      <c r="A406" s="59" t="e">
        <f>IF(AND(Data!#REF!&lt;&gt;"",Data!#REF!="Accept&amp;#233;"),Data!#REF!,"")</f>
        <v>#REF!</v>
      </c>
      <c r="B406" s="59" t="e">
        <f>IF(AND(Data!#REF!&lt;&gt;"",Data!#REF!="Accept&amp;#233;"),Data!#REF!,"")</f>
        <v>#REF!</v>
      </c>
      <c r="C406" s="60" t="e">
        <f t="shared" si="12"/>
        <v>#REF!</v>
      </c>
      <c r="D406" s="42" t="e">
        <f>IF(AND(Data!#REF!&lt;&gt;"",Data!#REF!="Accept&amp;#233;"),Data!#REF!,"")</f>
        <v>#REF!</v>
      </c>
      <c r="E406" s="61" t="e">
        <f>IF(AND(Data!#REF!&lt;&gt;"",Data!#REF!="Accept&amp;#233;"),Data!#REF!,"")</f>
        <v>#REF!</v>
      </c>
      <c r="F406" s="62" t="e">
        <f>IF(AND(Data!#REF!&lt;&gt;"",Data!#REF!="Accept&amp;#233;"),Data!#REF!,"")</f>
        <v>#REF!</v>
      </c>
      <c r="G406" s="63" t="e">
        <f>IF(Data!#REF!='Delivery Plan'!E406,Data!#REF!,"")</f>
        <v>#REF!</v>
      </c>
      <c r="H406" s="51"/>
      <c r="I406" s="60" t="e">
        <f t="shared" si="13"/>
        <v>#REF!</v>
      </c>
      <c r="J406" s="42" t="e">
        <f>IF(AND(E406=Data!#REF!,Data!#REF!&lt;&gt;""),Data!#REF!,"")</f>
        <v>#REF!</v>
      </c>
      <c r="K406" s="64" t="e">
        <f>IF(AND(E406=Data!#REF!,Data!#REF!&lt;&gt;""),Data!#REF!,"")</f>
        <v>#REF!</v>
      </c>
      <c r="L406" s="65" t="e">
        <f>IF(E406=Data!#REF!,Data!#REF!,"")</f>
        <v>#REF!</v>
      </c>
      <c r="M406" s="65" t="e">
        <f>IF(E406=Data!#REF!,Data!#REF!,"")</f>
        <v>#REF!</v>
      </c>
      <c r="N406" s="66" t="e">
        <f>IF(AND(Data!#REF!&lt;&gt;"",Data!#REF!="Accept&amp;#233;"),Data!#REF!,"")</f>
        <v>#REF!</v>
      </c>
    </row>
    <row r="407" spans="1:14" ht="19.5" hidden="1" customHeight="1" x14ac:dyDescent="0.3">
      <c r="A407" s="59" t="e">
        <f>IF(AND(Data!#REF!&lt;&gt;"",Data!#REF!="Accept&amp;#233;"),Data!#REF!,"")</f>
        <v>#REF!</v>
      </c>
      <c r="B407" s="59" t="e">
        <f>IF(AND(Data!#REF!&lt;&gt;"",Data!#REF!="Accept&amp;#233;"),Data!#REF!,"")</f>
        <v>#REF!</v>
      </c>
      <c r="C407" s="60" t="e">
        <f t="shared" si="12"/>
        <v>#REF!</v>
      </c>
      <c r="D407" s="42" t="e">
        <f>IF(AND(Data!#REF!&lt;&gt;"",Data!#REF!="Accept&amp;#233;"),Data!#REF!,"")</f>
        <v>#REF!</v>
      </c>
      <c r="E407" s="61" t="e">
        <f>IF(AND(Data!#REF!&lt;&gt;"",Data!#REF!="Accept&amp;#233;"),Data!#REF!,"")</f>
        <v>#REF!</v>
      </c>
      <c r="F407" s="62" t="e">
        <f>IF(AND(Data!#REF!&lt;&gt;"",Data!#REF!="Accept&amp;#233;"),Data!#REF!,"")</f>
        <v>#REF!</v>
      </c>
      <c r="G407" s="63" t="e">
        <f>IF(Data!#REF!='Delivery Plan'!E407,Data!#REF!,"")</f>
        <v>#REF!</v>
      </c>
      <c r="H407" s="51"/>
      <c r="I407" s="60" t="e">
        <f t="shared" si="13"/>
        <v>#REF!</v>
      </c>
      <c r="J407" s="42" t="e">
        <f>IF(AND(E407=Data!#REF!,Data!#REF!&lt;&gt;""),Data!#REF!,"")</f>
        <v>#REF!</v>
      </c>
      <c r="K407" s="64" t="e">
        <f>IF(AND(E407=Data!#REF!,Data!#REF!&lt;&gt;""),Data!#REF!,"")</f>
        <v>#REF!</v>
      </c>
      <c r="L407" s="65" t="e">
        <f>IF(E407=Data!#REF!,Data!#REF!,"")</f>
        <v>#REF!</v>
      </c>
      <c r="M407" s="65" t="e">
        <f>IF(E407=Data!#REF!,Data!#REF!,"")</f>
        <v>#REF!</v>
      </c>
      <c r="N407" s="66" t="e">
        <f>IF(AND(Data!#REF!&lt;&gt;"",Data!#REF!="Accept&amp;#233;"),Data!#REF!,"")</f>
        <v>#REF!</v>
      </c>
    </row>
    <row r="408" spans="1:14" ht="19.5" hidden="1" customHeight="1" x14ac:dyDescent="0.3">
      <c r="A408" s="59" t="e">
        <f>IF(AND(Data!#REF!&lt;&gt;"",Data!#REF!="Accept&amp;#233;"),Data!#REF!,"")</f>
        <v>#REF!</v>
      </c>
      <c r="B408" s="59" t="e">
        <f>IF(AND(Data!#REF!&lt;&gt;"",Data!#REF!="Accept&amp;#233;"),Data!#REF!,"")</f>
        <v>#REF!</v>
      </c>
      <c r="C408" s="60" t="e">
        <f t="shared" si="12"/>
        <v>#REF!</v>
      </c>
      <c r="D408" s="42" t="e">
        <f>IF(AND(Data!#REF!&lt;&gt;"",Data!#REF!="Accept&amp;#233;"),Data!#REF!,"")</f>
        <v>#REF!</v>
      </c>
      <c r="E408" s="61" t="e">
        <f>IF(AND(Data!#REF!&lt;&gt;"",Data!#REF!="Accept&amp;#233;"),Data!#REF!,"")</f>
        <v>#REF!</v>
      </c>
      <c r="F408" s="62" t="e">
        <f>IF(AND(Data!#REF!&lt;&gt;"",Data!#REF!="Accept&amp;#233;"),Data!#REF!,"")</f>
        <v>#REF!</v>
      </c>
      <c r="G408" s="63" t="e">
        <f>IF(Data!#REF!='Delivery Plan'!E408,Data!#REF!,"")</f>
        <v>#REF!</v>
      </c>
      <c r="H408" s="51"/>
      <c r="I408" s="60" t="e">
        <f t="shared" si="13"/>
        <v>#REF!</v>
      </c>
      <c r="J408" s="42" t="e">
        <f>IF(AND(E408=Data!#REF!,Data!#REF!&lt;&gt;""),Data!#REF!,"")</f>
        <v>#REF!</v>
      </c>
      <c r="K408" s="64" t="e">
        <f>IF(AND(E408=Data!#REF!,Data!#REF!&lt;&gt;""),Data!#REF!,"")</f>
        <v>#REF!</v>
      </c>
      <c r="L408" s="65" t="e">
        <f>IF(E408=Data!#REF!,Data!#REF!,"")</f>
        <v>#REF!</v>
      </c>
      <c r="M408" s="65" t="e">
        <f>IF(E408=Data!#REF!,Data!#REF!,"")</f>
        <v>#REF!</v>
      </c>
      <c r="N408" s="66" t="e">
        <f>IF(AND(Data!#REF!&lt;&gt;"",Data!#REF!="Accept&amp;#233;"),Data!#REF!,"")</f>
        <v>#REF!</v>
      </c>
    </row>
    <row r="409" spans="1:14" ht="19.5" hidden="1" customHeight="1" x14ac:dyDescent="0.3">
      <c r="A409" s="59" t="e">
        <f>IF(AND(Data!#REF!&lt;&gt;"",Data!#REF!="Accept&amp;#233;"),Data!#REF!,"")</f>
        <v>#REF!</v>
      </c>
      <c r="B409" s="59" t="e">
        <f>IF(AND(Data!#REF!&lt;&gt;"",Data!#REF!="Accept&amp;#233;"),Data!#REF!,"")</f>
        <v>#REF!</v>
      </c>
      <c r="C409" s="60" t="e">
        <f t="shared" si="12"/>
        <v>#REF!</v>
      </c>
      <c r="D409" s="42" t="e">
        <f>IF(AND(Data!#REF!&lt;&gt;"",Data!#REF!="Accept&amp;#233;"),Data!#REF!,"")</f>
        <v>#REF!</v>
      </c>
      <c r="E409" s="61" t="e">
        <f>IF(AND(Data!#REF!&lt;&gt;"",Data!#REF!="Accept&amp;#233;"),Data!#REF!,"")</f>
        <v>#REF!</v>
      </c>
      <c r="F409" s="62" t="e">
        <f>IF(AND(Data!#REF!&lt;&gt;"",Data!#REF!="Accept&amp;#233;"),Data!#REF!,"")</f>
        <v>#REF!</v>
      </c>
      <c r="G409" s="63" t="e">
        <f>IF(Data!#REF!='Delivery Plan'!E409,Data!#REF!,"")</f>
        <v>#REF!</v>
      </c>
      <c r="H409" s="51"/>
      <c r="I409" s="60" t="e">
        <f t="shared" si="13"/>
        <v>#REF!</v>
      </c>
      <c r="J409" s="42" t="e">
        <f>IF(AND(E409=Data!#REF!,Data!#REF!&lt;&gt;""),Data!#REF!,"")</f>
        <v>#REF!</v>
      </c>
      <c r="K409" s="64" t="e">
        <f>IF(AND(E409=Data!#REF!,Data!#REF!&lt;&gt;""),Data!#REF!,"")</f>
        <v>#REF!</v>
      </c>
      <c r="L409" s="65" t="e">
        <f>IF(E409=Data!#REF!,Data!#REF!,"")</f>
        <v>#REF!</v>
      </c>
      <c r="M409" s="65" t="e">
        <f>IF(E409=Data!#REF!,Data!#REF!,"")</f>
        <v>#REF!</v>
      </c>
      <c r="N409" s="66" t="e">
        <f>IF(AND(Data!#REF!&lt;&gt;"",Data!#REF!="Accept&amp;#233;"),Data!#REF!,"")</f>
        <v>#REF!</v>
      </c>
    </row>
    <row r="410" spans="1:14" ht="19.5" hidden="1" customHeight="1" x14ac:dyDescent="0.3">
      <c r="A410" s="59" t="e">
        <f>IF(AND(Data!#REF!&lt;&gt;"",Data!#REF!="Accept&amp;#233;"),Data!#REF!,"")</f>
        <v>#REF!</v>
      </c>
      <c r="B410" s="59" t="e">
        <f>IF(AND(Data!#REF!&lt;&gt;"",Data!#REF!="Accept&amp;#233;"),Data!#REF!,"")</f>
        <v>#REF!</v>
      </c>
      <c r="C410" s="60" t="e">
        <f t="shared" si="12"/>
        <v>#REF!</v>
      </c>
      <c r="D410" s="42" t="e">
        <f>IF(AND(Data!#REF!&lt;&gt;"",Data!#REF!="Accept&amp;#233;"),Data!#REF!,"")</f>
        <v>#REF!</v>
      </c>
      <c r="E410" s="61" t="e">
        <f>IF(AND(Data!#REF!&lt;&gt;"",Data!#REF!="Accept&amp;#233;"),Data!#REF!,"")</f>
        <v>#REF!</v>
      </c>
      <c r="F410" s="62" t="e">
        <f>IF(AND(Data!#REF!&lt;&gt;"",Data!#REF!="Accept&amp;#233;"),Data!#REF!,"")</f>
        <v>#REF!</v>
      </c>
      <c r="G410" s="63" t="e">
        <f>IF(Data!#REF!='Delivery Plan'!E410,Data!#REF!,"")</f>
        <v>#REF!</v>
      </c>
      <c r="H410" s="51"/>
      <c r="I410" s="60" t="e">
        <f t="shared" si="13"/>
        <v>#REF!</v>
      </c>
      <c r="J410" s="42" t="e">
        <f>IF(AND(E410=Data!#REF!,Data!#REF!&lt;&gt;""),Data!#REF!,"")</f>
        <v>#REF!</v>
      </c>
      <c r="K410" s="64" t="e">
        <f>IF(AND(E410=Data!#REF!,Data!#REF!&lt;&gt;""),Data!#REF!,"")</f>
        <v>#REF!</v>
      </c>
      <c r="L410" s="65" t="e">
        <f>IF(E410=Data!#REF!,Data!#REF!,"")</f>
        <v>#REF!</v>
      </c>
      <c r="M410" s="65" t="e">
        <f>IF(E410=Data!#REF!,Data!#REF!,"")</f>
        <v>#REF!</v>
      </c>
      <c r="N410" s="66" t="e">
        <f>IF(AND(Data!#REF!&lt;&gt;"",Data!#REF!="Accept&amp;#233;"),Data!#REF!,"")</f>
        <v>#REF!</v>
      </c>
    </row>
    <row r="411" spans="1:14" ht="19.5" hidden="1" customHeight="1" x14ac:dyDescent="0.3">
      <c r="A411" s="59" t="e">
        <f>IF(AND(Data!#REF!&lt;&gt;"",Data!#REF!="Accept&amp;#233;"),Data!#REF!,"")</f>
        <v>#REF!</v>
      </c>
      <c r="B411" s="59" t="e">
        <f>IF(AND(Data!#REF!&lt;&gt;"",Data!#REF!="Accept&amp;#233;"),Data!#REF!,"")</f>
        <v>#REF!</v>
      </c>
      <c r="C411" s="60" t="e">
        <f t="shared" si="12"/>
        <v>#REF!</v>
      </c>
      <c r="D411" s="42" t="e">
        <f>IF(AND(Data!#REF!&lt;&gt;"",Data!#REF!="Accept&amp;#233;"),Data!#REF!,"")</f>
        <v>#REF!</v>
      </c>
      <c r="E411" s="61" t="e">
        <f>IF(AND(Data!#REF!&lt;&gt;"",Data!#REF!="Accept&amp;#233;"),Data!#REF!,"")</f>
        <v>#REF!</v>
      </c>
      <c r="F411" s="62" t="e">
        <f>IF(AND(Data!#REF!&lt;&gt;"",Data!#REF!="Accept&amp;#233;"),Data!#REF!,"")</f>
        <v>#REF!</v>
      </c>
      <c r="G411" s="63" t="e">
        <f>IF(Data!#REF!='Delivery Plan'!E411,Data!#REF!,"")</f>
        <v>#REF!</v>
      </c>
      <c r="H411" s="51"/>
      <c r="I411" s="60" t="e">
        <f t="shared" si="13"/>
        <v>#REF!</v>
      </c>
      <c r="J411" s="42" t="e">
        <f>IF(AND(E411=Data!#REF!,Data!#REF!&lt;&gt;""),Data!#REF!,"")</f>
        <v>#REF!</v>
      </c>
      <c r="K411" s="64" t="e">
        <f>IF(AND(E411=Data!#REF!,Data!#REF!&lt;&gt;""),Data!#REF!,"")</f>
        <v>#REF!</v>
      </c>
      <c r="L411" s="65" t="e">
        <f>IF(E411=Data!#REF!,Data!#REF!,"")</f>
        <v>#REF!</v>
      </c>
      <c r="M411" s="65" t="e">
        <f>IF(E411=Data!#REF!,Data!#REF!,"")</f>
        <v>#REF!</v>
      </c>
      <c r="N411" s="66" t="e">
        <f>IF(AND(Data!#REF!&lt;&gt;"",Data!#REF!="Accept&amp;#233;"),Data!#REF!,"")</f>
        <v>#REF!</v>
      </c>
    </row>
    <row r="412" spans="1:14" ht="19.5" hidden="1" customHeight="1" x14ac:dyDescent="0.3">
      <c r="A412" s="59" t="e">
        <f>IF(AND(Data!#REF!&lt;&gt;"",Data!#REF!="Accept&amp;#233;"),Data!#REF!,"")</f>
        <v>#REF!</v>
      </c>
      <c r="B412" s="59" t="e">
        <f>IF(AND(Data!#REF!&lt;&gt;"",Data!#REF!="Accept&amp;#233;"),Data!#REF!,"")</f>
        <v>#REF!</v>
      </c>
      <c r="C412" s="60" t="e">
        <f t="shared" si="12"/>
        <v>#REF!</v>
      </c>
      <c r="D412" s="42" t="e">
        <f>IF(AND(Data!#REF!&lt;&gt;"",Data!#REF!="Accept&amp;#233;"),Data!#REF!,"")</f>
        <v>#REF!</v>
      </c>
      <c r="E412" s="61" t="e">
        <f>IF(AND(Data!#REF!&lt;&gt;"",Data!#REF!="Accept&amp;#233;"),Data!#REF!,"")</f>
        <v>#REF!</v>
      </c>
      <c r="F412" s="62" t="e">
        <f>IF(AND(Data!#REF!&lt;&gt;"",Data!#REF!="Accept&amp;#233;"),Data!#REF!,"")</f>
        <v>#REF!</v>
      </c>
      <c r="G412" s="63" t="e">
        <f>IF(Data!#REF!='Delivery Plan'!E412,Data!#REF!,"")</f>
        <v>#REF!</v>
      </c>
      <c r="H412" s="51"/>
      <c r="I412" s="60" t="e">
        <f t="shared" si="13"/>
        <v>#REF!</v>
      </c>
      <c r="J412" s="42" t="e">
        <f>IF(AND(E412=Data!#REF!,Data!#REF!&lt;&gt;""),Data!#REF!,"")</f>
        <v>#REF!</v>
      </c>
      <c r="K412" s="64" t="e">
        <f>IF(AND(E412=Data!#REF!,Data!#REF!&lt;&gt;""),Data!#REF!,"")</f>
        <v>#REF!</v>
      </c>
      <c r="L412" s="65" t="e">
        <f>IF(E412=Data!#REF!,Data!#REF!,"")</f>
        <v>#REF!</v>
      </c>
      <c r="M412" s="65" t="e">
        <f>IF(E412=Data!#REF!,Data!#REF!,"")</f>
        <v>#REF!</v>
      </c>
      <c r="N412" s="66" t="e">
        <f>IF(AND(Data!#REF!&lt;&gt;"",Data!#REF!="Accept&amp;#233;"),Data!#REF!,"")</f>
        <v>#REF!</v>
      </c>
    </row>
    <row r="413" spans="1:14" ht="19.5" hidden="1" customHeight="1" x14ac:dyDescent="0.3">
      <c r="A413" s="59" t="e">
        <f>IF(AND(Data!#REF!&lt;&gt;"",Data!#REF!="Accept&amp;#233;"),Data!#REF!,"")</f>
        <v>#REF!</v>
      </c>
      <c r="B413" s="59" t="e">
        <f>IF(AND(Data!#REF!&lt;&gt;"",Data!#REF!="Accept&amp;#233;"),Data!#REF!,"")</f>
        <v>#REF!</v>
      </c>
      <c r="C413" s="60" t="e">
        <f t="shared" si="12"/>
        <v>#REF!</v>
      </c>
      <c r="D413" s="42" t="e">
        <f>IF(AND(Data!#REF!&lt;&gt;"",Data!#REF!="Accept&amp;#233;"),Data!#REF!,"")</f>
        <v>#REF!</v>
      </c>
      <c r="E413" s="61" t="e">
        <f>IF(AND(Data!#REF!&lt;&gt;"",Data!#REF!="Accept&amp;#233;"),Data!#REF!,"")</f>
        <v>#REF!</v>
      </c>
      <c r="F413" s="62" t="e">
        <f>IF(AND(Data!#REF!&lt;&gt;"",Data!#REF!="Accept&amp;#233;"),Data!#REF!,"")</f>
        <v>#REF!</v>
      </c>
      <c r="G413" s="63" t="e">
        <f>IF(Data!#REF!='Delivery Plan'!E413,Data!#REF!,"")</f>
        <v>#REF!</v>
      </c>
      <c r="H413" s="51"/>
      <c r="I413" s="60" t="e">
        <f t="shared" si="13"/>
        <v>#REF!</v>
      </c>
      <c r="J413" s="42" t="e">
        <f>IF(AND(E413=Data!#REF!,Data!#REF!&lt;&gt;""),Data!#REF!,"")</f>
        <v>#REF!</v>
      </c>
      <c r="K413" s="64" t="e">
        <f>IF(AND(E413=Data!#REF!,Data!#REF!&lt;&gt;""),Data!#REF!,"")</f>
        <v>#REF!</v>
      </c>
      <c r="L413" s="65" t="e">
        <f>IF(E413=Data!#REF!,Data!#REF!,"")</f>
        <v>#REF!</v>
      </c>
      <c r="M413" s="65" t="e">
        <f>IF(E413=Data!#REF!,Data!#REF!,"")</f>
        <v>#REF!</v>
      </c>
      <c r="N413" s="66" t="e">
        <f>IF(AND(Data!#REF!&lt;&gt;"",Data!#REF!="Accept&amp;#233;"),Data!#REF!,"")</f>
        <v>#REF!</v>
      </c>
    </row>
    <row r="414" spans="1:14" ht="19.5" hidden="1" customHeight="1" x14ac:dyDescent="0.3">
      <c r="A414" s="59" t="e">
        <f>IF(AND(Data!#REF!&lt;&gt;"",Data!#REF!="Accept&amp;#233;"),Data!#REF!,"")</f>
        <v>#REF!</v>
      </c>
      <c r="B414" s="59" t="e">
        <f>IF(AND(Data!#REF!&lt;&gt;"",Data!#REF!="Accept&amp;#233;"),Data!#REF!,"")</f>
        <v>#REF!</v>
      </c>
      <c r="C414" s="60" t="e">
        <f t="shared" si="12"/>
        <v>#REF!</v>
      </c>
      <c r="D414" s="42" t="e">
        <f>IF(AND(Data!#REF!&lt;&gt;"",Data!#REF!="Accept&amp;#233;"),Data!#REF!,"")</f>
        <v>#REF!</v>
      </c>
      <c r="E414" s="61" t="e">
        <f>IF(AND(Data!#REF!&lt;&gt;"",Data!#REF!="Accept&amp;#233;"),Data!#REF!,"")</f>
        <v>#REF!</v>
      </c>
      <c r="F414" s="62" t="e">
        <f>IF(AND(Data!#REF!&lt;&gt;"",Data!#REF!="Accept&amp;#233;"),Data!#REF!,"")</f>
        <v>#REF!</v>
      </c>
      <c r="G414" s="63" t="e">
        <f>IF(Data!#REF!='Delivery Plan'!E414,Data!#REF!,"")</f>
        <v>#REF!</v>
      </c>
      <c r="H414" s="51"/>
      <c r="I414" s="60" t="e">
        <f t="shared" si="13"/>
        <v>#REF!</v>
      </c>
      <c r="J414" s="42" t="e">
        <f>IF(AND(E414=Data!#REF!,Data!#REF!&lt;&gt;""),Data!#REF!,"")</f>
        <v>#REF!</v>
      </c>
      <c r="K414" s="64" t="e">
        <f>IF(AND(E414=Data!#REF!,Data!#REF!&lt;&gt;""),Data!#REF!,"")</f>
        <v>#REF!</v>
      </c>
      <c r="L414" s="65" t="e">
        <f>IF(E414=Data!#REF!,Data!#REF!,"")</f>
        <v>#REF!</v>
      </c>
      <c r="M414" s="65" t="e">
        <f>IF(E414=Data!#REF!,Data!#REF!,"")</f>
        <v>#REF!</v>
      </c>
      <c r="N414" s="66" t="e">
        <f>IF(AND(Data!#REF!&lt;&gt;"",Data!#REF!="Accept&amp;#233;"),Data!#REF!,"")</f>
        <v>#REF!</v>
      </c>
    </row>
    <row r="415" spans="1:14" ht="19.5" hidden="1" customHeight="1" x14ac:dyDescent="0.3">
      <c r="A415" s="59" t="e">
        <f>IF(AND(Data!#REF!&lt;&gt;"",Data!#REF!="Accept&amp;#233;"),Data!#REF!,"")</f>
        <v>#REF!</v>
      </c>
      <c r="B415" s="59" t="e">
        <f>IF(AND(Data!#REF!&lt;&gt;"",Data!#REF!="Accept&amp;#233;"),Data!#REF!,"")</f>
        <v>#REF!</v>
      </c>
      <c r="C415" s="60" t="e">
        <f t="shared" si="12"/>
        <v>#REF!</v>
      </c>
      <c r="D415" s="42" t="e">
        <f>IF(AND(Data!#REF!&lt;&gt;"",Data!#REF!="Accept&amp;#233;"),Data!#REF!,"")</f>
        <v>#REF!</v>
      </c>
      <c r="E415" s="61" t="e">
        <f>IF(AND(Data!#REF!&lt;&gt;"",Data!#REF!="Accept&amp;#233;"),Data!#REF!,"")</f>
        <v>#REF!</v>
      </c>
      <c r="F415" s="62" t="e">
        <f>IF(AND(Data!#REF!&lt;&gt;"",Data!#REF!="Accept&amp;#233;"),Data!#REF!,"")</f>
        <v>#REF!</v>
      </c>
      <c r="G415" s="63" t="e">
        <f>IF(Data!#REF!='Delivery Plan'!E415,Data!#REF!,"")</f>
        <v>#REF!</v>
      </c>
      <c r="H415" s="51"/>
      <c r="I415" s="60" t="e">
        <f t="shared" si="13"/>
        <v>#REF!</v>
      </c>
      <c r="J415" s="42" t="e">
        <f>IF(AND(E415=Data!#REF!,Data!#REF!&lt;&gt;""),Data!#REF!,"")</f>
        <v>#REF!</v>
      </c>
      <c r="K415" s="64" t="e">
        <f>IF(AND(E415=Data!#REF!,Data!#REF!&lt;&gt;""),Data!#REF!,"")</f>
        <v>#REF!</v>
      </c>
      <c r="L415" s="65" t="e">
        <f>IF(E415=Data!#REF!,Data!#REF!,"")</f>
        <v>#REF!</v>
      </c>
      <c r="M415" s="65" t="e">
        <f>IF(E415=Data!#REF!,Data!#REF!,"")</f>
        <v>#REF!</v>
      </c>
      <c r="N415" s="66" t="e">
        <f>IF(AND(Data!#REF!&lt;&gt;"",Data!#REF!="Accept&amp;#233;"),Data!#REF!,"")</f>
        <v>#REF!</v>
      </c>
    </row>
    <row r="416" spans="1:14" ht="19.5" hidden="1" customHeight="1" x14ac:dyDescent="0.3">
      <c r="A416" s="59" t="e">
        <f>IF(AND(Data!#REF!&lt;&gt;"",Data!#REF!="Accept&amp;#233;"),Data!#REF!,"")</f>
        <v>#REF!</v>
      </c>
      <c r="B416" s="59" t="e">
        <f>IF(AND(Data!#REF!&lt;&gt;"",Data!#REF!="Accept&amp;#233;"),Data!#REF!,"")</f>
        <v>#REF!</v>
      </c>
      <c r="C416" s="60" t="e">
        <f t="shared" si="12"/>
        <v>#REF!</v>
      </c>
      <c r="D416" s="42" t="e">
        <f>IF(AND(Data!#REF!&lt;&gt;"",Data!#REF!="Accept&amp;#233;"),Data!#REF!,"")</f>
        <v>#REF!</v>
      </c>
      <c r="E416" s="61" t="e">
        <f>IF(AND(Data!#REF!&lt;&gt;"",Data!#REF!="Accept&amp;#233;"),Data!#REF!,"")</f>
        <v>#REF!</v>
      </c>
      <c r="F416" s="62" t="e">
        <f>IF(AND(Data!#REF!&lt;&gt;"",Data!#REF!="Accept&amp;#233;"),Data!#REF!,"")</f>
        <v>#REF!</v>
      </c>
      <c r="G416" s="63" t="e">
        <f>IF(Data!#REF!='Delivery Plan'!E416,Data!#REF!,"")</f>
        <v>#REF!</v>
      </c>
      <c r="H416" s="51"/>
      <c r="I416" s="60" t="e">
        <f t="shared" si="13"/>
        <v>#REF!</v>
      </c>
      <c r="J416" s="42" t="e">
        <f>IF(AND(E416=Data!#REF!,Data!#REF!&lt;&gt;""),Data!#REF!,"")</f>
        <v>#REF!</v>
      </c>
      <c r="K416" s="64" t="e">
        <f>IF(AND(E416=Data!#REF!,Data!#REF!&lt;&gt;""),Data!#REF!,"")</f>
        <v>#REF!</v>
      </c>
      <c r="L416" s="65" t="e">
        <f>IF(E416=Data!#REF!,Data!#REF!,"")</f>
        <v>#REF!</v>
      </c>
      <c r="M416" s="65" t="e">
        <f>IF(E416=Data!#REF!,Data!#REF!,"")</f>
        <v>#REF!</v>
      </c>
      <c r="N416" s="66" t="e">
        <f>IF(AND(Data!#REF!&lt;&gt;"",Data!#REF!="Accept&amp;#233;"),Data!#REF!,"")</f>
        <v>#REF!</v>
      </c>
    </row>
    <row r="417" spans="1:14" ht="19.5" hidden="1" customHeight="1" x14ac:dyDescent="0.3">
      <c r="A417" s="59" t="e">
        <f>IF(AND(Data!#REF!&lt;&gt;"",Data!#REF!="Accept&amp;#233;"),Data!#REF!,"")</f>
        <v>#REF!</v>
      </c>
      <c r="B417" s="59" t="e">
        <f>IF(AND(Data!#REF!&lt;&gt;"",Data!#REF!="Accept&amp;#233;"),Data!#REF!,"")</f>
        <v>#REF!</v>
      </c>
      <c r="C417" s="60" t="e">
        <f t="shared" si="12"/>
        <v>#REF!</v>
      </c>
      <c r="D417" s="42" t="e">
        <f>IF(AND(Data!#REF!&lt;&gt;"",Data!#REF!="Accept&amp;#233;"),Data!#REF!,"")</f>
        <v>#REF!</v>
      </c>
      <c r="E417" s="61" t="e">
        <f>IF(AND(Data!#REF!&lt;&gt;"",Data!#REF!="Accept&amp;#233;"),Data!#REF!,"")</f>
        <v>#REF!</v>
      </c>
      <c r="F417" s="62" t="e">
        <f>IF(AND(Data!#REF!&lt;&gt;"",Data!#REF!="Accept&amp;#233;"),Data!#REF!,"")</f>
        <v>#REF!</v>
      </c>
      <c r="G417" s="63" t="e">
        <f>IF(Data!#REF!='Delivery Plan'!E417,Data!#REF!,"")</f>
        <v>#REF!</v>
      </c>
      <c r="H417" s="51"/>
      <c r="I417" s="60" t="e">
        <f t="shared" si="13"/>
        <v>#REF!</v>
      </c>
      <c r="J417" s="42" t="e">
        <f>IF(AND(E417=Data!#REF!,Data!#REF!&lt;&gt;""),Data!#REF!,"")</f>
        <v>#REF!</v>
      </c>
      <c r="K417" s="64" t="e">
        <f>IF(AND(E417=Data!#REF!,Data!#REF!&lt;&gt;""),Data!#REF!,"")</f>
        <v>#REF!</v>
      </c>
      <c r="L417" s="65" t="e">
        <f>IF(E417=Data!#REF!,Data!#REF!,"")</f>
        <v>#REF!</v>
      </c>
      <c r="M417" s="65" t="e">
        <f>IF(E417=Data!#REF!,Data!#REF!,"")</f>
        <v>#REF!</v>
      </c>
      <c r="N417" s="66" t="e">
        <f>IF(AND(Data!#REF!&lt;&gt;"",Data!#REF!="Accept&amp;#233;"),Data!#REF!,"")</f>
        <v>#REF!</v>
      </c>
    </row>
    <row r="418" spans="1:14" ht="19.5" hidden="1" customHeight="1" x14ac:dyDescent="0.3">
      <c r="A418" s="59" t="e">
        <f>IF(AND(Data!#REF!&lt;&gt;"",Data!#REF!="Accept&amp;#233;"),Data!#REF!,"")</f>
        <v>#REF!</v>
      </c>
      <c r="B418" s="59" t="e">
        <f>IF(AND(Data!#REF!&lt;&gt;"",Data!#REF!="Accept&amp;#233;"),Data!#REF!,"")</f>
        <v>#REF!</v>
      </c>
      <c r="C418" s="60" t="e">
        <f t="shared" si="12"/>
        <v>#REF!</v>
      </c>
      <c r="D418" s="42" t="e">
        <f>IF(AND(Data!#REF!&lt;&gt;"",Data!#REF!="Accept&amp;#233;"),Data!#REF!,"")</f>
        <v>#REF!</v>
      </c>
      <c r="E418" s="61" t="e">
        <f>IF(AND(Data!#REF!&lt;&gt;"",Data!#REF!="Accept&amp;#233;"),Data!#REF!,"")</f>
        <v>#REF!</v>
      </c>
      <c r="F418" s="62" t="e">
        <f>IF(AND(Data!#REF!&lt;&gt;"",Data!#REF!="Accept&amp;#233;"),Data!#REF!,"")</f>
        <v>#REF!</v>
      </c>
      <c r="G418" s="63" t="e">
        <f>IF(Data!#REF!='Delivery Plan'!E418,Data!#REF!,"")</f>
        <v>#REF!</v>
      </c>
      <c r="H418" s="51"/>
      <c r="I418" s="60" t="e">
        <f t="shared" si="13"/>
        <v>#REF!</v>
      </c>
      <c r="J418" s="42" t="e">
        <f>IF(AND(E418=Data!#REF!,Data!#REF!&lt;&gt;""),Data!#REF!,"")</f>
        <v>#REF!</v>
      </c>
      <c r="K418" s="64" t="e">
        <f>IF(AND(E418=Data!#REF!,Data!#REF!&lt;&gt;""),Data!#REF!,"")</f>
        <v>#REF!</v>
      </c>
      <c r="L418" s="65" t="e">
        <f>IF(E418=Data!#REF!,Data!#REF!,"")</f>
        <v>#REF!</v>
      </c>
      <c r="M418" s="65" t="e">
        <f>IF(E418=Data!#REF!,Data!#REF!,"")</f>
        <v>#REF!</v>
      </c>
      <c r="N418" s="66" t="e">
        <f>IF(AND(Data!#REF!&lt;&gt;"",Data!#REF!="Accept&amp;#233;"),Data!#REF!,"")</f>
        <v>#REF!</v>
      </c>
    </row>
    <row r="419" spans="1:14" ht="19.5" hidden="1" customHeight="1" x14ac:dyDescent="0.3">
      <c r="A419" s="59" t="e">
        <f>IF(AND(Data!#REF!&lt;&gt;"",Data!#REF!="Accept&amp;#233;"),Data!#REF!,"")</f>
        <v>#REF!</v>
      </c>
      <c r="B419" s="59" t="e">
        <f>IF(AND(Data!#REF!&lt;&gt;"",Data!#REF!="Accept&amp;#233;"),Data!#REF!,"")</f>
        <v>#REF!</v>
      </c>
      <c r="C419" s="60" t="e">
        <f t="shared" si="12"/>
        <v>#REF!</v>
      </c>
      <c r="D419" s="42" t="e">
        <f>IF(AND(Data!#REF!&lt;&gt;"",Data!#REF!="Accept&amp;#233;"),Data!#REF!,"")</f>
        <v>#REF!</v>
      </c>
      <c r="E419" s="61" t="e">
        <f>IF(AND(Data!#REF!&lt;&gt;"",Data!#REF!="Accept&amp;#233;"),Data!#REF!,"")</f>
        <v>#REF!</v>
      </c>
      <c r="F419" s="62" t="e">
        <f>IF(AND(Data!#REF!&lt;&gt;"",Data!#REF!="Accept&amp;#233;"),Data!#REF!,"")</f>
        <v>#REF!</v>
      </c>
      <c r="G419" s="63" t="e">
        <f>IF(Data!#REF!='Delivery Plan'!E419,Data!#REF!,"")</f>
        <v>#REF!</v>
      </c>
      <c r="H419" s="51"/>
      <c r="I419" s="60" t="e">
        <f t="shared" si="13"/>
        <v>#REF!</v>
      </c>
      <c r="J419" s="42" t="e">
        <f>IF(AND(E419=Data!#REF!,Data!#REF!&lt;&gt;""),Data!#REF!,"")</f>
        <v>#REF!</v>
      </c>
      <c r="K419" s="64" t="e">
        <f>IF(AND(E419=Data!#REF!,Data!#REF!&lt;&gt;""),Data!#REF!,"")</f>
        <v>#REF!</v>
      </c>
      <c r="L419" s="65" t="e">
        <f>IF(E419=Data!#REF!,Data!#REF!,"")</f>
        <v>#REF!</v>
      </c>
      <c r="M419" s="65" t="e">
        <f>IF(E419=Data!#REF!,Data!#REF!,"")</f>
        <v>#REF!</v>
      </c>
      <c r="N419" s="66" t="e">
        <f>IF(AND(Data!#REF!&lt;&gt;"",Data!#REF!="Accept&amp;#233;"),Data!#REF!,"")</f>
        <v>#REF!</v>
      </c>
    </row>
    <row r="420" spans="1:14" ht="19.5" hidden="1" customHeight="1" x14ac:dyDescent="0.3">
      <c r="A420" s="59" t="e">
        <f>IF(AND(Data!#REF!&lt;&gt;"",Data!#REF!="Accept&amp;#233;"),Data!#REF!,"")</f>
        <v>#REF!</v>
      </c>
      <c r="B420" s="59" t="e">
        <f>IF(AND(Data!#REF!&lt;&gt;"",Data!#REF!="Accept&amp;#233;"),Data!#REF!,"")</f>
        <v>#REF!</v>
      </c>
      <c r="C420" s="60" t="e">
        <f t="shared" si="12"/>
        <v>#REF!</v>
      </c>
      <c r="D420" s="42" t="e">
        <f>IF(AND(Data!#REF!&lt;&gt;"",Data!#REF!="Accept&amp;#233;"),Data!#REF!,"")</f>
        <v>#REF!</v>
      </c>
      <c r="E420" s="61" t="e">
        <f>IF(AND(Data!#REF!&lt;&gt;"",Data!#REF!="Accept&amp;#233;"),Data!#REF!,"")</f>
        <v>#REF!</v>
      </c>
      <c r="F420" s="62" t="e">
        <f>IF(AND(Data!#REF!&lt;&gt;"",Data!#REF!="Accept&amp;#233;"),Data!#REF!,"")</f>
        <v>#REF!</v>
      </c>
      <c r="G420" s="63" t="e">
        <f>IF(Data!#REF!='Delivery Plan'!E420,Data!#REF!,"")</f>
        <v>#REF!</v>
      </c>
      <c r="H420" s="51"/>
      <c r="I420" s="60" t="e">
        <f t="shared" si="13"/>
        <v>#REF!</v>
      </c>
      <c r="J420" s="42" t="e">
        <f>IF(AND(E420=Data!#REF!,Data!#REF!&lt;&gt;""),Data!#REF!,"")</f>
        <v>#REF!</v>
      </c>
      <c r="K420" s="64" t="e">
        <f>IF(AND(E420=Data!#REF!,Data!#REF!&lt;&gt;""),Data!#REF!,"")</f>
        <v>#REF!</v>
      </c>
      <c r="L420" s="65" t="e">
        <f>IF(E420=Data!#REF!,Data!#REF!,"")</f>
        <v>#REF!</v>
      </c>
      <c r="M420" s="65" t="e">
        <f>IF(E420=Data!#REF!,Data!#REF!,"")</f>
        <v>#REF!</v>
      </c>
      <c r="N420" s="66" t="e">
        <f>IF(AND(Data!#REF!&lt;&gt;"",Data!#REF!="Accept&amp;#233;"),Data!#REF!,"")</f>
        <v>#REF!</v>
      </c>
    </row>
    <row r="421" spans="1:14" ht="19.5" hidden="1" customHeight="1" x14ac:dyDescent="0.3">
      <c r="A421" s="59" t="e">
        <f>IF(AND(Data!#REF!&lt;&gt;"",Data!#REF!="Accept&amp;#233;"),Data!#REF!,"")</f>
        <v>#REF!</v>
      </c>
      <c r="B421" s="59" t="e">
        <f>IF(AND(Data!#REF!&lt;&gt;"",Data!#REF!="Accept&amp;#233;"),Data!#REF!,"")</f>
        <v>#REF!</v>
      </c>
      <c r="C421" s="60" t="e">
        <f t="shared" si="12"/>
        <v>#REF!</v>
      </c>
      <c r="D421" s="42" t="e">
        <f>IF(AND(Data!#REF!&lt;&gt;"",Data!#REF!="Accept&amp;#233;"),Data!#REF!,"")</f>
        <v>#REF!</v>
      </c>
      <c r="E421" s="61" t="e">
        <f>IF(AND(Data!#REF!&lt;&gt;"",Data!#REF!="Accept&amp;#233;"),Data!#REF!,"")</f>
        <v>#REF!</v>
      </c>
      <c r="F421" s="62" t="e">
        <f>IF(AND(Data!#REF!&lt;&gt;"",Data!#REF!="Accept&amp;#233;"),Data!#REF!,"")</f>
        <v>#REF!</v>
      </c>
      <c r="G421" s="63" t="e">
        <f>IF(Data!#REF!='Delivery Plan'!E421,Data!#REF!,"")</f>
        <v>#REF!</v>
      </c>
      <c r="H421" s="51"/>
      <c r="I421" s="60" t="e">
        <f t="shared" si="13"/>
        <v>#REF!</v>
      </c>
      <c r="J421" s="42" t="e">
        <f>IF(AND(E421=Data!#REF!,Data!#REF!&lt;&gt;""),Data!#REF!,"")</f>
        <v>#REF!</v>
      </c>
      <c r="K421" s="64" t="e">
        <f>IF(AND(E421=Data!#REF!,Data!#REF!&lt;&gt;""),Data!#REF!,"")</f>
        <v>#REF!</v>
      </c>
      <c r="L421" s="65" t="e">
        <f>IF(E421=Data!#REF!,Data!#REF!,"")</f>
        <v>#REF!</v>
      </c>
      <c r="M421" s="65" t="e">
        <f>IF(E421=Data!#REF!,Data!#REF!,"")</f>
        <v>#REF!</v>
      </c>
      <c r="N421" s="66" t="e">
        <f>IF(AND(Data!#REF!&lt;&gt;"",Data!#REF!="Accept&amp;#233;"),Data!#REF!,"")</f>
        <v>#REF!</v>
      </c>
    </row>
    <row r="422" spans="1:14" ht="19.5" hidden="1" customHeight="1" x14ac:dyDescent="0.3">
      <c r="A422" s="59" t="e">
        <f>IF(AND(Data!#REF!&lt;&gt;"",Data!#REF!="Accept&amp;#233;"),Data!#REF!,"")</f>
        <v>#REF!</v>
      </c>
      <c r="B422" s="59" t="e">
        <f>IF(AND(Data!#REF!&lt;&gt;"",Data!#REF!="Accept&amp;#233;"),Data!#REF!,"")</f>
        <v>#REF!</v>
      </c>
      <c r="C422" s="60" t="e">
        <f t="shared" si="12"/>
        <v>#REF!</v>
      </c>
      <c r="D422" s="42" t="e">
        <f>IF(AND(Data!#REF!&lt;&gt;"",Data!#REF!="Accept&amp;#233;"),Data!#REF!,"")</f>
        <v>#REF!</v>
      </c>
      <c r="E422" s="61" t="e">
        <f>IF(AND(Data!#REF!&lt;&gt;"",Data!#REF!="Accept&amp;#233;"),Data!#REF!,"")</f>
        <v>#REF!</v>
      </c>
      <c r="F422" s="62" t="e">
        <f>IF(AND(Data!#REF!&lt;&gt;"",Data!#REF!="Accept&amp;#233;"),Data!#REF!,"")</f>
        <v>#REF!</v>
      </c>
      <c r="G422" s="63" t="e">
        <f>IF(Data!#REF!='Delivery Plan'!E422,Data!#REF!,"")</f>
        <v>#REF!</v>
      </c>
      <c r="H422" s="51"/>
      <c r="I422" s="60" t="e">
        <f t="shared" si="13"/>
        <v>#REF!</v>
      </c>
      <c r="J422" s="42" t="e">
        <f>IF(AND(E422=Data!#REF!,Data!#REF!&lt;&gt;""),Data!#REF!,"")</f>
        <v>#REF!</v>
      </c>
      <c r="K422" s="64" t="e">
        <f>IF(AND(E422=Data!#REF!,Data!#REF!&lt;&gt;""),Data!#REF!,"")</f>
        <v>#REF!</v>
      </c>
      <c r="L422" s="65" t="e">
        <f>IF(E422=Data!#REF!,Data!#REF!,"")</f>
        <v>#REF!</v>
      </c>
      <c r="M422" s="65" t="e">
        <f>IF(E422=Data!#REF!,Data!#REF!,"")</f>
        <v>#REF!</v>
      </c>
      <c r="N422" s="66" t="e">
        <f>IF(AND(Data!#REF!&lt;&gt;"",Data!#REF!="Accept&amp;#233;"),Data!#REF!,"")</f>
        <v>#REF!</v>
      </c>
    </row>
    <row r="423" spans="1:14" ht="19.5" hidden="1" customHeight="1" x14ac:dyDescent="0.3">
      <c r="A423" s="59" t="e">
        <f>IF(AND(Data!#REF!&lt;&gt;"",Data!#REF!="Accept&amp;#233;"),Data!#REF!,"")</f>
        <v>#REF!</v>
      </c>
      <c r="B423" s="59" t="e">
        <f>IF(AND(Data!#REF!&lt;&gt;"",Data!#REF!="Accept&amp;#233;"),Data!#REF!,"")</f>
        <v>#REF!</v>
      </c>
      <c r="C423" s="60" t="e">
        <f t="shared" si="12"/>
        <v>#REF!</v>
      </c>
      <c r="D423" s="42" t="e">
        <f>IF(AND(Data!#REF!&lt;&gt;"",Data!#REF!="Accept&amp;#233;"),Data!#REF!,"")</f>
        <v>#REF!</v>
      </c>
      <c r="E423" s="61" t="e">
        <f>IF(AND(Data!#REF!&lt;&gt;"",Data!#REF!="Accept&amp;#233;"),Data!#REF!,"")</f>
        <v>#REF!</v>
      </c>
      <c r="F423" s="62" t="e">
        <f>IF(AND(Data!#REF!&lt;&gt;"",Data!#REF!="Accept&amp;#233;"),Data!#REF!,"")</f>
        <v>#REF!</v>
      </c>
      <c r="G423" s="63" t="e">
        <f>IF(Data!#REF!='Delivery Plan'!E423,Data!#REF!,"")</f>
        <v>#REF!</v>
      </c>
      <c r="H423" s="51"/>
      <c r="I423" s="60" t="e">
        <f t="shared" si="13"/>
        <v>#REF!</v>
      </c>
      <c r="J423" s="42" t="e">
        <f>IF(AND(E423=Data!#REF!,Data!#REF!&lt;&gt;""),Data!#REF!,"")</f>
        <v>#REF!</v>
      </c>
      <c r="K423" s="64" t="e">
        <f>IF(AND(E423=Data!#REF!,Data!#REF!&lt;&gt;""),Data!#REF!,"")</f>
        <v>#REF!</v>
      </c>
      <c r="L423" s="65" t="e">
        <f>IF(E423=Data!#REF!,Data!#REF!,"")</f>
        <v>#REF!</v>
      </c>
      <c r="M423" s="65" t="e">
        <f>IF(E423=Data!#REF!,Data!#REF!,"")</f>
        <v>#REF!</v>
      </c>
      <c r="N423" s="66" t="e">
        <f>IF(AND(Data!#REF!&lt;&gt;"",Data!#REF!="Accept&amp;#233;"),Data!#REF!,"")</f>
        <v>#REF!</v>
      </c>
    </row>
    <row r="424" spans="1:14" ht="19.5" hidden="1" customHeight="1" x14ac:dyDescent="0.3">
      <c r="A424" s="59" t="e">
        <f>IF(AND(Data!#REF!&lt;&gt;"",Data!#REF!="Accept&amp;#233;"),Data!#REF!,"")</f>
        <v>#REF!</v>
      </c>
      <c r="B424" s="59" t="e">
        <f>IF(AND(Data!#REF!&lt;&gt;"",Data!#REF!="Accept&amp;#233;"),Data!#REF!,"")</f>
        <v>#REF!</v>
      </c>
      <c r="C424" s="60" t="e">
        <f t="shared" si="12"/>
        <v>#REF!</v>
      </c>
      <c r="D424" s="42" t="e">
        <f>IF(AND(Data!#REF!&lt;&gt;"",Data!#REF!="Accept&amp;#233;"),Data!#REF!,"")</f>
        <v>#REF!</v>
      </c>
      <c r="E424" s="61" t="e">
        <f>IF(AND(Data!#REF!&lt;&gt;"",Data!#REF!="Accept&amp;#233;"),Data!#REF!,"")</f>
        <v>#REF!</v>
      </c>
      <c r="F424" s="62" t="e">
        <f>IF(AND(Data!#REF!&lt;&gt;"",Data!#REF!="Accept&amp;#233;"),Data!#REF!,"")</f>
        <v>#REF!</v>
      </c>
      <c r="G424" s="63" t="e">
        <f>IF(Data!#REF!='Delivery Plan'!E424,Data!#REF!,"")</f>
        <v>#REF!</v>
      </c>
      <c r="H424" s="51"/>
      <c r="I424" s="60" t="e">
        <f t="shared" si="13"/>
        <v>#REF!</v>
      </c>
      <c r="J424" s="42" t="e">
        <f>IF(AND(E424=Data!#REF!,Data!#REF!&lt;&gt;""),Data!#REF!,"")</f>
        <v>#REF!</v>
      </c>
      <c r="K424" s="64" t="e">
        <f>IF(AND(E424=Data!#REF!,Data!#REF!&lt;&gt;""),Data!#REF!,"")</f>
        <v>#REF!</v>
      </c>
      <c r="L424" s="65" t="e">
        <f>IF(E424=Data!#REF!,Data!#REF!,"")</f>
        <v>#REF!</v>
      </c>
      <c r="M424" s="65" t="e">
        <f>IF(E424=Data!#REF!,Data!#REF!,"")</f>
        <v>#REF!</v>
      </c>
      <c r="N424" s="66" t="e">
        <f>IF(AND(Data!#REF!&lt;&gt;"",Data!#REF!="Accept&amp;#233;"),Data!#REF!,"")</f>
        <v>#REF!</v>
      </c>
    </row>
    <row r="425" spans="1:14" ht="19.5" hidden="1" customHeight="1" x14ac:dyDescent="0.3">
      <c r="A425" s="59" t="e">
        <f>IF(AND(Data!#REF!&lt;&gt;"",Data!#REF!="Accept&amp;#233;"),Data!#REF!,"")</f>
        <v>#REF!</v>
      </c>
      <c r="B425" s="59" t="e">
        <f>IF(AND(Data!#REF!&lt;&gt;"",Data!#REF!="Accept&amp;#233;"),Data!#REF!,"")</f>
        <v>#REF!</v>
      </c>
      <c r="C425" s="60" t="e">
        <f t="shared" si="12"/>
        <v>#REF!</v>
      </c>
      <c r="D425" s="42" t="e">
        <f>IF(AND(Data!#REF!&lt;&gt;"",Data!#REF!="Accept&amp;#233;"),Data!#REF!,"")</f>
        <v>#REF!</v>
      </c>
      <c r="E425" s="61" t="e">
        <f>IF(AND(Data!#REF!&lt;&gt;"",Data!#REF!="Accept&amp;#233;"),Data!#REF!,"")</f>
        <v>#REF!</v>
      </c>
      <c r="F425" s="62" t="e">
        <f>IF(AND(Data!#REF!&lt;&gt;"",Data!#REF!="Accept&amp;#233;"),Data!#REF!,"")</f>
        <v>#REF!</v>
      </c>
      <c r="G425" s="63" t="e">
        <f>IF(Data!#REF!='Delivery Plan'!E425,Data!#REF!,"")</f>
        <v>#REF!</v>
      </c>
      <c r="H425" s="51"/>
      <c r="I425" s="60" t="e">
        <f t="shared" si="13"/>
        <v>#REF!</v>
      </c>
      <c r="J425" s="42" t="e">
        <f>IF(AND(E425=Data!#REF!,Data!#REF!&lt;&gt;""),Data!#REF!,"")</f>
        <v>#REF!</v>
      </c>
      <c r="K425" s="64" t="e">
        <f>IF(AND(E425=Data!#REF!,Data!#REF!&lt;&gt;""),Data!#REF!,"")</f>
        <v>#REF!</v>
      </c>
      <c r="L425" s="65" t="e">
        <f>IF(E425=Data!#REF!,Data!#REF!,"")</f>
        <v>#REF!</v>
      </c>
      <c r="M425" s="65" t="e">
        <f>IF(E425=Data!#REF!,Data!#REF!,"")</f>
        <v>#REF!</v>
      </c>
      <c r="N425" s="66" t="e">
        <f>IF(AND(Data!#REF!&lt;&gt;"",Data!#REF!="Accept&amp;#233;"),Data!#REF!,"")</f>
        <v>#REF!</v>
      </c>
    </row>
    <row r="426" spans="1:14" ht="19.5" hidden="1" customHeight="1" x14ac:dyDescent="0.3">
      <c r="A426" s="59" t="e">
        <f>IF(AND(Data!#REF!&lt;&gt;"",Data!#REF!="Accept&amp;#233;"),Data!#REF!,"")</f>
        <v>#REF!</v>
      </c>
      <c r="B426" s="59" t="e">
        <f>IF(AND(Data!#REF!&lt;&gt;"",Data!#REF!="Accept&amp;#233;"),Data!#REF!,"")</f>
        <v>#REF!</v>
      </c>
      <c r="C426" s="60" t="e">
        <f t="shared" si="12"/>
        <v>#REF!</v>
      </c>
      <c r="D426" s="42" t="e">
        <f>IF(AND(Data!#REF!&lt;&gt;"",Data!#REF!="Accept&amp;#233;"),Data!#REF!,"")</f>
        <v>#REF!</v>
      </c>
      <c r="E426" s="61" t="e">
        <f>IF(AND(Data!#REF!&lt;&gt;"",Data!#REF!="Accept&amp;#233;"),Data!#REF!,"")</f>
        <v>#REF!</v>
      </c>
      <c r="F426" s="62" t="e">
        <f>IF(AND(Data!#REF!&lt;&gt;"",Data!#REF!="Accept&amp;#233;"),Data!#REF!,"")</f>
        <v>#REF!</v>
      </c>
      <c r="G426" s="63" t="e">
        <f>IF(Data!#REF!='Delivery Plan'!E426,Data!#REF!,"")</f>
        <v>#REF!</v>
      </c>
      <c r="H426" s="51"/>
      <c r="I426" s="60" t="e">
        <f t="shared" si="13"/>
        <v>#REF!</v>
      </c>
      <c r="J426" s="42" t="e">
        <f>IF(AND(E426=Data!#REF!,Data!#REF!&lt;&gt;""),Data!#REF!,"")</f>
        <v>#REF!</v>
      </c>
      <c r="K426" s="64" t="e">
        <f>IF(AND(E426=Data!#REF!,Data!#REF!&lt;&gt;""),Data!#REF!,"")</f>
        <v>#REF!</v>
      </c>
      <c r="L426" s="65" t="e">
        <f>IF(E426=Data!#REF!,Data!#REF!,"")</f>
        <v>#REF!</v>
      </c>
      <c r="M426" s="65" t="e">
        <f>IF(E426=Data!#REF!,Data!#REF!,"")</f>
        <v>#REF!</v>
      </c>
      <c r="N426" s="66" t="e">
        <f>IF(AND(Data!#REF!&lt;&gt;"",Data!#REF!="Accept&amp;#233;"),Data!#REF!,"")</f>
        <v>#REF!</v>
      </c>
    </row>
    <row r="427" spans="1:14" ht="19.5" hidden="1" customHeight="1" x14ac:dyDescent="0.3">
      <c r="A427" s="59" t="e">
        <f>IF(AND(Data!#REF!&lt;&gt;"",Data!#REF!="Accept&amp;#233;"),Data!#REF!,"")</f>
        <v>#REF!</v>
      </c>
      <c r="B427" s="59" t="e">
        <f>IF(AND(Data!#REF!&lt;&gt;"",Data!#REF!="Accept&amp;#233;"),Data!#REF!,"")</f>
        <v>#REF!</v>
      </c>
      <c r="C427" s="60" t="e">
        <f t="shared" si="12"/>
        <v>#REF!</v>
      </c>
      <c r="D427" s="42" t="e">
        <f>IF(AND(Data!#REF!&lt;&gt;"",Data!#REF!="Accept&amp;#233;"),Data!#REF!,"")</f>
        <v>#REF!</v>
      </c>
      <c r="E427" s="61" t="e">
        <f>IF(AND(Data!#REF!&lt;&gt;"",Data!#REF!="Accept&amp;#233;"),Data!#REF!,"")</f>
        <v>#REF!</v>
      </c>
      <c r="F427" s="62" t="e">
        <f>IF(AND(Data!#REF!&lt;&gt;"",Data!#REF!="Accept&amp;#233;"),Data!#REF!,"")</f>
        <v>#REF!</v>
      </c>
      <c r="G427" s="63" t="e">
        <f>IF(Data!#REF!='Delivery Plan'!E427,Data!#REF!,"")</f>
        <v>#REF!</v>
      </c>
      <c r="H427" s="51"/>
      <c r="I427" s="60" t="e">
        <f t="shared" si="13"/>
        <v>#REF!</v>
      </c>
      <c r="J427" s="42" t="e">
        <f>IF(AND(E427=Data!#REF!,Data!#REF!&lt;&gt;""),Data!#REF!,"")</f>
        <v>#REF!</v>
      </c>
      <c r="K427" s="64" t="e">
        <f>IF(AND(E427=Data!#REF!,Data!#REF!&lt;&gt;""),Data!#REF!,"")</f>
        <v>#REF!</v>
      </c>
      <c r="L427" s="65" t="e">
        <f>IF(E427=Data!#REF!,Data!#REF!,"")</f>
        <v>#REF!</v>
      </c>
      <c r="M427" s="65" t="e">
        <f>IF(E427=Data!#REF!,Data!#REF!,"")</f>
        <v>#REF!</v>
      </c>
      <c r="N427" s="66" t="e">
        <f>IF(AND(Data!#REF!&lt;&gt;"",Data!#REF!="Accept&amp;#233;"),Data!#REF!,"")</f>
        <v>#REF!</v>
      </c>
    </row>
    <row r="428" spans="1:14" ht="19.5" hidden="1" customHeight="1" x14ac:dyDescent="0.3">
      <c r="A428" s="59" t="e">
        <f>IF(AND(Data!#REF!&lt;&gt;"",Data!#REF!="Accept&amp;#233;"),Data!#REF!,"")</f>
        <v>#REF!</v>
      </c>
      <c r="B428" s="59" t="e">
        <f>IF(AND(Data!#REF!&lt;&gt;"",Data!#REF!="Accept&amp;#233;"),Data!#REF!,"")</f>
        <v>#REF!</v>
      </c>
      <c r="C428" s="60" t="e">
        <f t="shared" si="12"/>
        <v>#REF!</v>
      </c>
      <c r="D428" s="42" t="e">
        <f>IF(AND(Data!#REF!&lt;&gt;"",Data!#REF!="Accept&amp;#233;"),Data!#REF!,"")</f>
        <v>#REF!</v>
      </c>
      <c r="E428" s="61" t="e">
        <f>IF(AND(Data!#REF!&lt;&gt;"",Data!#REF!="Accept&amp;#233;"),Data!#REF!,"")</f>
        <v>#REF!</v>
      </c>
      <c r="F428" s="62" t="e">
        <f>IF(AND(Data!#REF!&lt;&gt;"",Data!#REF!="Accept&amp;#233;"),Data!#REF!,"")</f>
        <v>#REF!</v>
      </c>
      <c r="G428" s="63" t="e">
        <f>IF(Data!#REF!='Delivery Plan'!E428,Data!#REF!,"")</f>
        <v>#REF!</v>
      </c>
      <c r="H428" s="51"/>
      <c r="I428" s="60" t="e">
        <f t="shared" si="13"/>
        <v>#REF!</v>
      </c>
      <c r="J428" s="42" t="e">
        <f>IF(AND(E428=Data!#REF!,Data!#REF!&lt;&gt;""),Data!#REF!,"")</f>
        <v>#REF!</v>
      </c>
      <c r="K428" s="64" t="e">
        <f>IF(AND(E428=Data!#REF!,Data!#REF!&lt;&gt;""),Data!#REF!,"")</f>
        <v>#REF!</v>
      </c>
      <c r="L428" s="65" t="e">
        <f>IF(E428=Data!#REF!,Data!#REF!,"")</f>
        <v>#REF!</v>
      </c>
      <c r="M428" s="65" t="e">
        <f>IF(E428=Data!#REF!,Data!#REF!,"")</f>
        <v>#REF!</v>
      </c>
      <c r="N428" s="66" t="e">
        <f>IF(AND(Data!#REF!&lt;&gt;"",Data!#REF!="Accept&amp;#233;"),Data!#REF!,"")</f>
        <v>#REF!</v>
      </c>
    </row>
    <row r="429" spans="1:14" ht="19.5" hidden="1" customHeight="1" x14ac:dyDescent="0.3">
      <c r="A429" s="59" t="e">
        <f>IF(AND(Data!#REF!&lt;&gt;"",Data!#REF!="Accept&amp;#233;"),Data!#REF!,"")</f>
        <v>#REF!</v>
      </c>
      <c r="B429" s="59" t="e">
        <f>IF(AND(Data!#REF!&lt;&gt;"",Data!#REF!="Accept&amp;#233;"),Data!#REF!,"")</f>
        <v>#REF!</v>
      </c>
      <c r="C429" s="60" t="e">
        <f t="shared" si="12"/>
        <v>#REF!</v>
      </c>
      <c r="D429" s="42" t="e">
        <f>IF(AND(Data!#REF!&lt;&gt;"",Data!#REF!="Accept&amp;#233;"),Data!#REF!,"")</f>
        <v>#REF!</v>
      </c>
      <c r="E429" s="61" t="e">
        <f>IF(AND(Data!#REF!&lt;&gt;"",Data!#REF!="Accept&amp;#233;"),Data!#REF!,"")</f>
        <v>#REF!</v>
      </c>
      <c r="F429" s="62" t="e">
        <f>IF(AND(Data!#REF!&lt;&gt;"",Data!#REF!="Accept&amp;#233;"),Data!#REF!,"")</f>
        <v>#REF!</v>
      </c>
      <c r="G429" s="63" t="e">
        <f>IF(Data!#REF!='Delivery Plan'!E429,Data!#REF!,"")</f>
        <v>#REF!</v>
      </c>
      <c r="H429" s="51"/>
      <c r="I429" s="60" t="e">
        <f t="shared" si="13"/>
        <v>#REF!</v>
      </c>
      <c r="J429" s="42" t="e">
        <f>IF(AND(E429=Data!#REF!,Data!#REF!&lt;&gt;""),Data!#REF!,"")</f>
        <v>#REF!</v>
      </c>
      <c r="K429" s="64" t="e">
        <f>IF(AND(E429=Data!#REF!,Data!#REF!&lt;&gt;""),Data!#REF!,"")</f>
        <v>#REF!</v>
      </c>
      <c r="L429" s="65" t="e">
        <f>IF(E429=Data!#REF!,Data!#REF!,"")</f>
        <v>#REF!</v>
      </c>
      <c r="M429" s="65" t="e">
        <f>IF(E429=Data!#REF!,Data!#REF!,"")</f>
        <v>#REF!</v>
      </c>
      <c r="N429" s="66" t="e">
        <f>IF(AND(Data!#REF!&lt;&gt;"",Data!#REF!="Accept&amp;#233;"),Data!#REF!,"")</f>
        <v>#REF!</v>
      </c>
    </row>
    <row r="430" spans="1:14" ht="19.5" hidden="1" customHeight="1" x14ac:dyDescent="0.3">
      <c r="A430" s="59" t="e">
        <f>IF(AND(Data!#REF!&lt;&gt;"",Data!#REF!="Accept&amp;#233;"),Data!#REF!,"")</f>
        <v>#REF!</v>
      </c>
      <c r="B430" s="59" t="e">
        <f>IF(AND(Data!#REF!&lt;&gt;"",Data!#REF!="Accept&amp;#233;"),Data!#REF!,"")</f>
        <v>#REF!</v>
      </c>
      <c r="C430" s="60" t="e">
        <f t="shared" si="12"/>
        <v>#REF!</v>
      </c>
      <c r="D430" s="42" t="e">
        <f>IF(AND(Data!#REF!&lt;&gt;"",Data!#REF!="Accept&amp;#233;"),Data!#REF!,"")</f>
        <v>#REF!</v>
      </c>
      <c r="E430" s="61" t="e">
        <f>IF(AND(Data!#REF!&lt;&gt;"",Data!#REF!="Accept&amp;#233;"),Data!#REF!,"")</f>
        <v>#REF!</v>
      </c>
      <c r="F430" s="62" t="e">
        <f>IF(AND(Data!#REF!&lt;&gt;"",Data!#REF!="Accept&amp;#233;"),Data!#REF!,"")</f>
        <v>#REF!</v>
      </c>
      <c r="G430" s="63" t="e">
        <f>IF(Data!#REF!='Delivery Plan'!E430,Data!#REF!,"")</f>
        <v>#REF!</v>
      </c>
      <c r="H430" s="51"/>
      <c r="I430" s="60" t="e">
        <f t="shared" si="13"/>
        <v>#REF!</v>
      </c>
      <c r="J430" s="42" t="e">
        <f>IF(AND(E430=Data!#REF!,Data!#REF!&lt;&gt;""),Data!#REF!,"")</f>
        <v>#REF!</v>
      </c>
      <c r="K430" s="64" t="e">
        <f>IF(AND(E430=Data!#REF!,Data!#REF!&lt;&gt;""),Data!#REF!,"")</f>
        <v>#REF!</v>
      </c>
      <c r="L430" s="65" t="e">
        <f>IF(E430=Data!#REF!,Data!#REF!,"")</f>
        <v>#REF!</v>
      </c>
      <c r="M430" s="65" t="e">
        <f>IF(E430=Data!#REF!,Data!#REF!,"")</f>
        <v>#REF!</v>
      </c>
      <c r="N430" s="66" t="e">
        <f>IF(AND(Data!#REF!&lt;&gt;"",Data!#REF!="Accept&amp;#233;"),Data!#REF!,"")</f>
        <v>#REF!</v>
      </c>
    </row>
    <row r="431" spans="1:14" ht="19.5" hidden="1" customHeight="1" x14ac:dyDescent="0.3">
      <c r="A431" s="59" t="e">
        <f>IF(AND(Data!#REF!&lt;&gt;"",Data!#REF!="Accept&amp;#233;"),Data!#REF!,"")</f>
        <v>#REF!</v>
      </c>
      <c r="B431" s="59" t="e">
        <f>IF(AND(Data!#REF!&lt;&gt;"",Data!#REF!="Accept&amp;#233;"),Data!#REF!,"")</f>
        <v>#REF!</v>
      </c>
      <c r="C431" s="60" t="e">
        <f t="shared" si="12"/>
        <v>#REF!</v>
      </c>
      <c r="D431" s="42" t="e">
        <f>IF(AND(Data!#REF!&lt;&gt;"",Data!#REF!="Accept&amp;#233;"),Data!#REF!,"")</f>
        <v>#REF!</v>
      </c>
      <c r="E431" s="61" t="e">
        <f>IF(AND(Data!#REF!&lt;&gt;"",Data!#REF!="Accept&amp;#233;"),Data!#REF!,"")</f>
        <v>#REF!</v>
      </c>
      <c r="F431" s="62" t="e">
        <f>IF(AND(Data!#REF!&lt;&gt;"",Data!#REF!="Accept&amp;#233;"),Data!#REF!,"")</f>
        <v>#REF!</v>
      </c>
      <c r="G431" s="63" t="e">
        <f>IF(Data!#REF!='Delivery Plan'!E431,Data!#REF!,"")</f>
        <v>#REF!</v>
      </c>
      <c r="H431" s="51"/>
      <c r="I431" s="60" t="e">
        <f t="shared" si="13"/>
        <v>#REF!</v>
      </c>
      <c r="J431" s="42" t="e">
        <f>IF(AND(E431=Data!#REF!,Data!#REF!&lt;&gt;""),Data!#REF!,"")</f>
        <v>#REF!</v>
      </c>
      <c r="K431" s="64" t="e">
        <f>IF(AND(E431=Data!#REF!,Data!#REF!&lt;&gt;""),Data!#REF!,"")</f>
        <v>#REF!</v>
      </c>
      <c r="L431" s="65" t="e">
        <f>IF(E431=Data!#REF!,Data!#REF!,"")</f>
        <v>#REF!</v>
      </c>
      <c r="M431" s="65" t="e">
        <f>IF(E431=Data!#REF!,Data!#REF!,"")</f>
        <v>#REF!</v>
      </c>
      <c r="N431" s="66" t="e">
        <f>IF(AND(Data!#REF!&lt;&gt;"",Data!#REF!="Accept&amp;#233;"),Data!#REF!,"")</f>
        <v>#REF!</v>
      </c>
    </row>
    <row r="432" spans="1:14" ht="19.5" hidden="1" customHeight="1" x14ac:dyDescent="0.3">
      <c r="A432" s="59" t="e">
        <f>IF(AND(Data!#REF!&lt;&gt;"",Data!#REF!="Accept&amp;#233;"),Data!#REF!,"")</f>
        <v>#REF!</v>
      </c>
      <c r="B432" s="59" t="e">
        <f>IF(AND(Data!#REF!&lt;&gt;"",Data!#REF!="Accept&amp;#233;"),Data!#REF!,"")</f>
        <v>#REF!</v>
      </c>
      <c r="C432" s="60" t="e">
        <f t="shared" si="12"/>
        <v>#REF!</v>
      </c>
      <c r="D432" s="42" t="e">
        <f>IF(AND(Data!#REF!&lt;&gt;"",Data!#REF!="Accept&amp;#233;"),Data!#REF!,"")</f>
        <v>#REF!</v>
      </c>
      <c r="E432" s="61" t="e">
        <f>IF(AND(Data!#REF!&lt;&gt;"",Data!#REF!="Accept&amp;#233;"),Data!#REF!,"")</f>
        <v>#REF!</v>
      </c>
      <c r="F432" s="62" t="e">
        <f>IF(AND(Data!#REF!&lt;&gt;"",Data!#REF!="Accept&amp;#233;"),Data!#REF!,"")</f>
        <v>#REF!</v>
      </c>
      <c r="G432" s="63" t="e">
        <f>IF(Data!#REF!='Delivery Plan'!E432,Data!#REF!,"")</f>
        <v>#REF!</v>
      </c>
      <c r="H432" s="51"/>
      <c r="I432" s="60" t="e">
        <f t="shared" si="13"/>
        <v>#REF!</v>
      </c>
      <c r="J432" s="42" t="e">
        <f>IF(AND(E432=Data!#REF!,Data!#REF!&lt;&gt;""),Data!#REF!,"")</f>
        <v>#REF!</v>
      </c>
      <c r="K432" s="64" t="e">
        <f>IF(AND(E432=Data!#REF!,Data!#REF!&lt;&gt;""),Data!#REF!,"")</f>
        <v>#REF!</v>
      </c>
      <c r="L432" s="65" t="e">
        <f>IF(E432=Data!#REF!,Data!#REF!,"")</f>
        <v>#REF!</v>
      </c>
      <c r="M432" s="65" t="e">
        <f>IF(E432=Data!#REF!,Data!#REF!,"")</f>
        <v>#REF!</v>
      </c>
      <c r="N432" s="66" t="e">
        <f>IF(AND(Data!#REF!&lt;&gt;"",Data!#REF!="Accept&amp;#233;"),Data!#REF!,"")</f>
        <v>#REF!</v>
      </c>
    </row>
    <row r="433" spans="1:14" ht="19.5" hidden="1" customHeight="1" x14ac:dyDescent="0.3">
      <c r="A433" s="59" t="e">
        <f>IF(AND(Data!#REF!&lt;&gt;"",Data!#REF!="Accept&amp;#233;"),Data!#REF!,"")</f>
        <v>#REF!</v>
      </c>
      <c r="B433" s="59" t="e">
        <f>IF(AND(Data!#REF!&lt;&gt;"",Data!#REF!="Accept&amp;#233;"),Data!#REF!,"")</f>
        <v>#REF!</v>
      </c>
      <c r="C433" s="60" t="e">
        <f t="shared" si="12"/>
        <v>#REF!</v>
      </c>
      <c r="D433" s="42" t="e">
        <f>IF(AND(Data!#REF!&lt;&gt;"",Data!#REF!="Accept&amp;#233;"),Data!#REF!,"")</f>
        <v>#REF!</v>
      </c>
      <c r="E433" s="61" t="e">
        <f>IF(AND(Data!#REF!&lt;&gt;"",Data!#REF!="Accept&amp;#233;"),Data!#REF!,"")</f>
        <v>#REF!</v>
      </c>
      <c r="F433" s="62" t="e">
        <f>IF(AND(Data!#REF!&lt;&gt;"",Data!#REF!="Accept&amp;#233;"),Data!#REF!,"")</f>
        <v>#REF!</v>
      </c>
      <c r="G433" s="63" t="e">
        <f>IF(Data!#REF!='Delivery Plan'!E433,Data!#REF!,"")</f>
        <v>#REF!</v>
      </c>
      <c r="H433" s="51"/>
      <c r="I433" s="60" t="e">
        <f t="shared" si="13"/>
        <v>#REF!</v>
      </c>
      <c r="J433" s="42" t="e">
        <f>IF(AND(E433=Data!#REF!,Data!#REF!&lt;&gt;""),Data!#REF!,"")</f>
        <v>#REF!</v>
      </c>
      <c r="K433" s="64" t="e">
        <f>IF(AND(E433=Data!#REF!,Data!#REF!&lt;&gt;""),Data!#REF!,"")</f>
        <v>#REF!</v>
      </c>
      <c r="L433" s="65" t="e">
        <f>IF(E433=Data!#REF!,Data!#REF!,"")</f>
        <v>#REF!</v>
      </c>
      <c r="M433" s="65" t="e">
        <f>IF(E433=Data!#REF!,Data!#REF!,"")</f>
        <v>#REF!</v>
      </c>
      <c r="N433" s="66" t="e">
        <f>IF(AND(Data!#REF!&lt;&gt;"",Data!#REF!="Accept&amp;#233;"),Data!#REF!,"")</f>
        <v>#REF!</v>
      </c>
    </row>
    <row r="434" spans="1:14" ht="19.5" hidden="1" customHeight="1" x14ac:dyDescent="0.3">
      <c r="A434" s="59" t="e">
        <f>IF(AND(Data!#REF!&lt;&gt;"",Data!#REF!="Accept&amp;#233;"),Data!#REF!,"")</f>
        <v>#REF!</v>
      </c>
      <c r="B434" s="59" t="e">
        <f>IF(AND(Data!#REF!&lt;&gt;"",Data!#REF!="Accept&amp;#233;"),Data!#REF!,"")</f>
        <v>#REF!</v>
      </c>
      <c r="C434" s="60" t="e">
        <f t="shared" si="12"/>
        <v>#REF!</v>
      </c>
      <c r="D434" s="42" t="e">
        <f>IF(AND(Data!#REF!&lt;&gt;"",Data!#REF!="Accept&amp;#233;"),Data!#REF!,"")</f>
        <v>#REF!</v>
      </c>
      <c r="E434" s="61" t="e">
        <f>IF(AND(Data!#REF!&lt;&gt;"",Data!#REF!="Accept&amp;#233;"),Data!#REF!,"")</f>
        <v>#REF!</v>
      </c>
      <c r="F434" s="62" t="e">
        <f>IF(AND(Data!#REF!&lt;&gt;"",Data!#REF!="Accept&amp;#233;"),Data!#REF!,"")</f>
        <v>#REF!</v>
      </c>
      <c r="G434" s="63" t="e">
        <f>IF(Data!#REF!='Delivery Plan'!E434,Data!#REF!,"")</f>
        <v>#REF!</v>
      </c>
      <c r="H434" s="51"/>
      <c r="I434" s="60" t="e">
        <f t="shared" si="13"/>
        <v>#REF!</v>
      </c>
      <c r="J434" s="42" t="e">
        <f>IF(AND(E434=Data!#REF!,Data!#REF!&lt;&gt;""),Data!#REF!,"")</f>
        <v>#REF!</v>
      </c>
      <c r="K434" s="64" t="e">
        <f>IF(AND(E434=Data!#REF!,Data!#REF!&lt;&gt;""),Data!#REF!,"")</f>
        <v>#REF!</v>
      </c>
      <c r="L434" s="65" t="e">
        <f>IF(E434=Data!#REF!,Data!#REF!,"")</f>
        <v>#REF!</v>
      </c>
      <c r="M434" s="65" t="e">
        <f>IF(E434=Data!#REF!,Data!#REF!,"")</f>
        <v>#REF!</v>
      </c>
      <c r="N434" s="66" t="e">
        <f>IF(AND(Data!#REF!&lt;&gt;"",Data!#REF!="Accept&amp;#233;"),Data!#REF!,"")</f>
        <v>#REF!</v>
      </c>
    </row>
    <row r="435" spans="1:14" ht="19.5" hidden="1" customHeight="1" x14ac:dyDescent="0.3">
      <c r="A435" s="59" t="e">
        <f>IF(AND(Data!#REF!&lt;&gt;"",Data!#REF!="Accept&amp;#233;"),Data!#REF!,"")</f>
        <v>#REF!</v>
      </c>
      <c r="B435" s="59" t="e">
        <f>IF(AND(Data!#REF!&lt;&gt;"",Data!#REF!="Accept&amp;#233;"),Data!#REF!,"")</f>
        <v>#REF!</v>
      </c>
      <c r="C435" s="60" t="e">
        <f t="shared" si="12"/>
        <v>#REF!</v>
      </c>
      <c r="D435" s="42" t="e">
        <f>IF(AND(Data!#REF!&lt;&gt;"",Data!#REF!="Accept&amp;#233;"),Data!#REF!,"")</f>
        <v>#REF!</v>
      </c>
      <c r="E435" s="61" t="e">
        <f>IF(AND(Data!#REF!&lt;&gt;"",Data!#REF!="Accept&amp;#233;"),Data!#REF!,"")</f>
        <v>#REF!</v>
      </c>
      <c r="F435" s="62" t="e">
        <f>IF(AND(Data!#REF!&lt;&gt;"",Data!#REF!="Accept&amp;#233;"),Data!#REF!,"")</f>
        <v>#REF!</v>
      </c>
      <c r="G435" s="63" t="e">
        <f>IF(Data!#REF!='Delivery Plan'!E435,Data!#REF!,"")</f>
        <v>#REF!</v>
      </c>
      <c r="H435" s="51"/>
      <c r="I435" s="60" t="e">
        <f t="shared" si="13"/>
        <v>#REF!</v>
      </c>
      <c r="J435" s="42" t="e">
        <f>IF(AND(E435=Data!#REF!,Data!#REF!&lt;&gt;""),Data!#REF!,"")</f>
        <v>#REF!</v>
      </c>
      <c r="K435" s="64" t="e">
        <f>IF(AND(E435=Data!#REF!,Data!#REF!&lt;&gt;""),Data!#REF!,"")</f>
        <v>#REF!</v>
      </c>
      <c r="L435" s="65" t="e">
        <f>IF(E435=Data!#REF!,Data!#REF!,"")</f>
        <v>#REF!</v>
      </c>
      <c r="M435" s="65" t="e">
        <f>IF(E435=Data!#REF!,Data!#REF!,"")</f>
        <v>#REF!</v>
      </c>
      <c r="N435" s="66" t="e">
        <f>IF(AND(Data!#REF!&lt;&gt;"",Data!#REF!="Accept&amp;#233;"),Data!#REF!,"")</f>
        <v>#REF!</v>
      </c>
    </row>
    <row r="436" spans="1:14" ht="19.5" hidden="1" customHeight="1" x14ac:dyDescent="0.3">
      <c r="A436" s="59" t="e">
        <f>IF(AND(Data!#REF!&lt;&gt;"",Data!#REF!="Accept&amp;#233;"),Data!#REF!,"")</f>
        <v>#REF!</v>
      </c>
      <c r="B436" s="59" t="e">
        <f>IF(AND(Data!#REF!&lt;&gt;"",Data!#REF!="Accept&amp;#233;"),Data!#REF!,"")</f>
        <v>#REF!</v>
      </c>
      <c r="C436" s="60" t="e">
        <f t="shared" si="12"/>
        <v>#REF!</v>
      </c>
      <c r="D436" s="42" t="e">
        <f>IF(AND(Data!#REF!&lt;&gt;"",Data!#REF!="Accept&amp;#233;"),Data!#REF!,"")</f>
        <v>#REF!</v>
      </c>
      <c r="E436" s="61" t="e">
        <f>IF(AND(Data!#REF!&lt;&gt;"",Data!#REF!="Accept&amp;#233;"),Data!#REF!,"")</f>
        <v>#REF!</v>
      </c>
      <c r="F436" s="62" t="e">
        <f>IF(AND(Data!#REF!&lt;&gt;"",Data!#REF!="Accept&amp;#233;"),Data!#REF!,"")</f>
        <v>#REF!</v>
      </c>
      <c r="G436" s="63" t="e">
        <f>IF(Data!#REF!='Delivery Plan'!E436,Data!#REF!,"")</f>
        <v>#REF!</v>
      </c>
      <c r="H436" s="51"/>
      <c r="I436" s="60" t="e">
        <f t="shared" si="13"/>
        <v>#REF!</v>
      </c>
      <c r="J436" s="42" t="e">
        <f>IF(AND(E436=Data!#REF!,Data!#REF!&lt;&gt;""),Data!#REF!,"")</f>
        <v>#REF!</v>
      </c>
      <c r="K436" s="64" t="e">
        <f>IF(AND(E436=Data!#REF!,Data!#REF!&lt;&gt;""),Data!#REF!,"")</f>
        <v>#REF!</v>
      </c>
      <c r="L436" s="65" t="e">
        <f>IF(E436=Data!#REF!,Data!#REF!,"")</f>
        <v>#REF!</v>
      </c>
      <c r="M436" s="65" t="e">
        <f>IF(E436=Data!#REF!,Data!#REF!,"")</f>
        <v>#REF!</v>
      </c>
      <c r="N436" s="66" t="e">
        <f>IF(AND(Data!#REF!&lt;&gt;"",Data!#REF!="Accept&amp;#233;"),Data!#REF!,"")</f>
        <v>#REF!</v>
      </c>
    </row>
    <row r="437" spans="1:14" ht="19.5" hidden="1" customHeight="1" x14ac:dyDescent="0.3">
      <c r="A437" s="59" t="e">
        <f>IF(AND(Data!#REF!&lt;&gt;"",Data!#REF!="Accept&amp;#233;"),Data!#REF!,"")</f>
        <v>#REF!</v>
      </c>
      <c r="B437" s="59" t="e">
        <f>IF(AND(Data!#REF!&lt;&gt;"",Data!#REF!="Accept&amp;#233;"),Data!#REF!,"")</f>
        <v>#REF!</v>
      </c>
      <c r="C437" s="60" t="e">
        <f t="shared" si="12"/>
        <v>#REF!</v>
      </c>
      <c r="D437" s="42" t="e">
        <f>IF(AND(Data!#REF!&lt;&gt;"",Data!#REF!="Accept&amp;#233;"),Data!#REF!,"")</f>
        <v>#REF!</v>
      </c>
      <c r="E437" s="61" t="e">
        <f>IF(AND(Data!#REF!&lt;&gt;"",Data!#REF!="Accept&amp;#233;"),Data!#REF!,"")</f>
        <v>#REF!</v>
      </c>
      <c r="F437" s="62" t="e">
        <f>IF(AND(Data!#REF!&lt;&gt;"",Data!#REF!="Accept&amp;#233;"),Data!#REF!,"")</f>
        <v>#REF!</v>
      </c>
      <c r="G437" s="63" t="e">
        <f>IF(Data!#REF!='Delivery Plan'!E437,Data!#REF!,"")</f>
        <v>#REF!</v>
      </c>
      <c r="H437" s="51"/>
      <c r="I437" s="60" t="e">
        <f t="shared" si="13"/>
        <v>#REF!</v>
      </c>
      <c r="J437" s="42" t="e">
        <f>IF(AND(E437=Data!#REF!,Data!#REF!&lt;&gt;""),Data!#REF!,"")</f>
        <v>#REF!</v>
      </c>
      <c r="K437" s="64" t="e">
        <f>IF(AND(E437=Data!#REF!,Data!#REF!&lt;&gt;""),Data!#REF!,"")</f>
        <v>#REF!</v>
      </c>
      <c r="L437" s="65" t="e">
        <f>IF(E437=Data!#REF!,Data!#REF!,"")</f>
        <v>#REF!</v>
      </c>
      <c r="M437" s="65" t="e">
        <f>IF(E437=Data!#REF!,Data!#REF!,"")</f>
        <v>#REF!</v>
      </c>
      <c r="N437" s="66" t="e">
        <f>IF(AND(Data!#REF!&lt;&gt;"",Data!#REF!="Accept&amp;#233;"),Data!#REF!,"")</f>
        <v>#REF!</v>
      </c>
    </row>
    <row r="438" spans="1:14" ht="19.5" hidden="1" customHeight="1" x14ac:dyDescent="0.3">
      <c r="A438" s="59" t="e">
        <f>IF(AND(Data!#REF!&lt;&gt;"",Data!#REF!="Accept&amp;#233;"),Data!#REF!,"")</f>
        <v>#REF!</v>
      </c>
      <c r="B438" s="59" t="e">
        <f>IF(AND(Data!#REF!&lt;&gt;"",Data!#REF!="Accept&amp;#233;"),Data!#REF!,"")</f>
        <v>#REF!</v>
      </c>
      <c r="C438" s="60" t="e">
        <f t="shared" si="12"/>
        <v>#REF!</v>
      </c>
      <c r="D438" s="42" t="e">
        <f>IF(AND(Data!#REF!&lt;&gt;"",Data!#REF!="Accept&amp;#233;"),Data!#REF!,"")</f>
        <v>#REF!</v>
      </c>
      <c r="E438" s="61" t="e">
        <f>IF(AND(Data!#REF!&lt;&gt;"",Data!#REF!="Accept&amp;#233;"),Data!#REF!,"")</f>
        <v>#REF!</v>
      </c>
      <c r="F438" s="62" t="e">
        <f>IF(AND(Data!#REF!&lt;&gt;"",Data!#REF!="Accept&amp;#233;"),Data!#REF!,"")</f>
        <v>#REF!</v>
      </c>
      <c r="G438" s="63" t="e">
        <f>IF(Data!#REF!='Delivery Plan'!E438,Data!#REF!,"")</f>
        <v>#REF!</v>
      </c>
      <c r="H438" s="51"/>
      <c r="I438" s="60" t="e">
        <f t="shared" si="13"/>
        <v>#REF!</v>
      </c>
      <c r="J438" s="42" t="e">
        <f>IF(AND(E438=Data!#REF!,Data!#REF!&lt;&gt;""),Data!#REF!,"")</f>
        <v>#REF!</v>
      </c>
      <c r="K438" s="64" t="e">
        <f>IF(AND(E438=Data!#REF!,Data!#REF!&lt;&gt;""),Data!#REF!,"")</f>
        <v>#REF!</v>
      </c>
      <c r="L438" s="65" t="e">
        <f>IF(E438=Data!#REF!,Data!#REF!,"")</f>
        <v>#REF!</v>
      </c>
      <c r="M438" s="65" t="e">
        <f>IF(E438=Data!#REF!,Data!#REF!,"")</f>
        <v>#REF!</v>
      </c>
      <c r="N438" s="66" t="e">
        <f>IF(AND(Data!#REF!&lt;&gt;"",Data!#REF!="Accept&amp;#233;"),Data!#REF!,"")</f>
        <v>#REF!</v>
      </c>
    </row>
    <row r="439" spans="1:14" ht="19.5" hidden="1" customHeight="1" x14ac:dyDescent="0.3">
      <c r="A439" s="59" t="e">
        <f>IF(AND(Data!#REF!&lt;&gt;"",Data!#REF!="Accept&amp;#233;"),Data!#REF!,"")</f>
        <v>#REF!</v>
      </c>
      <c r="B439" s="59" t="e">
        <f>IF(AND(Data!#REF!&lt;&gt;"",Data!#REF!="Accept&amp;#233;"),Data!#REF!,"")</f>
        <v>#REF!</v>
      </c>
      <c r="C439" s="60" t="e">
        <f t="shared" si="12"/>
        <v>#REF!</v>
      </c>
      <c r="D439" s="42" t="e">
        <f>IF(AND(Data!#REF!&lt;&gt;"",Data!#REF!="Accept&amp;#233;"),Data!#REF!,"")</f>
        <v>#REF!</v>
      </c>
      <c r="E439" s="61" t="e">
        <f>IF(AND(Data!#REF!&lt;&gt;"",Data!#REF!="Accept&amp;#233;"),Data!#REF!,"")</f>
        <v>#REF!</v>
      </c>
      <c r="F439" s="62" t="e">
        <f>IF(AND(Data!#REF!&lt;&gt;"",Data!#REF!="Accept&amp;#233;"),Data!#REF!,"")</f>
        <v>#REF!</v>
      </c>
      <c r="G439" s="63" t="e">
        <f>IF(Data!#REF!='Delivery Plan'!E439,Data!#REF!,"")</f>
        <v>#REF!</v>
      </c>
      <c r="H439" s="51"/>
      <c r="I439" s="60" t="e">
        <f t="shared" si="13"/>
        <v>#REF!</v>
      </c>
      <c r="J439" s="42" t="e">
        <f>IF(AND(E439=Data!#REF!,Data!#REF!&lt;&gt;""),Data!#REF!,"")</f>
        <v>#REF!</v>
      </c>
      <c r="K439" s="64" t="e">
        <f>IF(AND(E439=Data!#REF!,Data!#REF!&lt;&gt;""),Data!#REF!,"")</f>
        <v>#REF!</v>
      </c>
      <c r="L439" s="65" t="e">
        <f>IF(E439=Data!#REF!,Data!#REF!,"")</f>
        <v>#REF!</v>
      </c>
      <c r="M439" s="65" t="e">
        <f>IF(E439=Data!#REF!,Data!#REF!,"")</f>
        <v>#REF!</v>
      </c>
      <c r="N439" s="66" t="e">
        <f>IF(AND(Data!#REF!&lt;&gt;"",Data!#REF!="Accept&amp;#233;"),Data!#REF!,"")</f>
        <v>#REF!</v>
      </c>
    </row>
    <row r="440" spans="1:14" ht="19.5" hidden="1" customHeight="1" x14ac:dyDescent="0.3">
      <c r="A440" s="59" t="e">
        <f>IF(AND(Data!#REF!&lt;&gt;"",Data!#REF!="Accept&amp;#233;"),Data!#REF!,"")</f>
        <v>#REF!</v>
      </c>
      <c r="B440" s="59" t="e">
        <f>IF(AND(Data!#REF!&lt;&gt;"",Data!#REF!="Accept&amp;#233;"),Data!#REF!,"")</f>
        <v>#REF!</v>
      </c>
      <c r="C440" s="60" t="e">
        <f t="shared" si="12"/>
        <v>#REF!</v>
      </c>
      <c r="D440" s="42" t="e">
        <f>IF(AND(Data!#REF!&lt;&gt;"",Data!#REF!="Accept&amp;#233;"),Data!#REF!,"")</f>
        <v>#REF!</v>
      </c>
      <c r="E440" s="61" t="e">
        <f>IF(AND(Data!#REF!&lt;&gt;"",Data!#REF!="Accept&amp;#233;"),Data!#REF!,"")</f>
        <v>#REF!</v>
      </c>
      <c r="F440" s="62" t="e">
        <f>IF(AND(Data!#REF!&lt;&gt;"",Data!#REF!="Accept&amp;#233;"),Data!#REF!,"")</f>
        <v>#REF!</v>
      </c>
      <c r="G440" s="63" t="e">
        <f>IF(Data!#REF!='Delivery Plan'!E440,Data!#REF!,"")</f>
        <v>#REF!</v>
      </c>
      <c r="H440" s="51"/>
      <c r="I440" s="60" t="e">
        <f t="shared" si="13"/>
        <v>#REF!</v>
      </c>
      <c r="J440" s="42" t="e">
        <f>IF(AND(E440=Data!#REF!,Data!#REF!&lt;&gt;""),Data!#REF!,"")</f>
        <v>#REF!</v>
      </c>
      <c r="K440" s="64" t="e">
        <f>IF(AND(E440=Data!#REF!,Data!#REF!&lt;&gt;""),Data!#REF!,"")</f>
        <v>#REF!</v>
      </c>
      <c r="L440" s="65" t="e">
        <f>IF(E440=Data!#REF!,Data!#REF!,"")</f>
        <v>#REF!</v>
      </c>
      <c r="M440" s="65" t="e">
        <f>IF(E440=Data!#REF!,Data!#REF!,"")</f>
        <v>#REF!</v>
      </c>
      <c r="N440" s="66" t="e">
        <f>IF(AND(Data!#REF!&lt;&gt;"",Data!#REF!="Accept&amp;#233;"),Data!#REF!,"")</f>
        <v>#REF!</v>
      </c>
    </row>
    <row r="441" spans="1:14" ht="19.5" hidden="1" customHeight="1" x14ac:dyDescent="0.3">
      <c r="A441" s="59" t="e">
        <f>IF(AND(Data!#REF!&lt;&gt;"",Data!#REF!="Accept&amp;#233;"),Data!#REF!,"")</f>
        <v>#REF!</v>
      </c>
      <c r="B441" s="59" t="e">
        <f>IF(AND(Data!#REF!&lt;&gt;"",Data!#REF!="Accept&amp;#233;"),Data!#REF!,"")</f>
        <v>#REF!</v>
      </c>
      <c r="C441" s="60" t="e">
        <f t="shared" si="12"/>
        <v>#REF!</v>
      </c>
      <c r="D441" s="42" t="e">
        <f>IF(AND(Data!#REF!&lt;&gt;"",Data!#REF!="Accept&amp;#233;"),Data!#REF!,"")</f>
        <v>#REF!</v>
      </c>
      <c r="E441" s="61" t="e">
        <f>IF(AND(Data!#REF!&lt;&gt;"",Data!#REF!="Accept&amp;#233;"),Data!#REF!,"")</f>
        <v>#REF!</v>
      </c>
      <c r="F441" s="62" t="e">
        <f>IF(AND(Data!#REF!&lt;&gt;"",Data!#REF!="Accept&amp;#233;"),Data!#REF!,"")</f>
        <v>#REF!</v>
      </c>
      <c r="G441" s="63" t="e">
        <f>IF(Data!#REF!='Delivery Plan'!E441,Data!#REF!,"")</f>
        <v>#REF!</v>
      </c>
      <c r="H441" s="51"/>
      <c r="I441" s="60" t="e">
        <f t="shared" si="13"/>
        <v>#REF!</v>
      </c>
      <c r="J441" s="42" t="e">
        <f>IF(AND(E441=Data!#REF!,Data!#REF!&lt;&gt;""),Data!#REF!,"")</f>
        <v>#REF!</v>
      </c>
      <c r="K441" s="64" t="e">
        <f>IF(AND(E441=Data!#REF!,Data!#REF!&lt;&gt;""),Data!#REF!,"")</f>
        <v>#REF!</v>
      </c>
      <c r="L441" s="65" t="e">
        <f>IF(E441=Data!#REF!,Data!#REF!,"")</f>
        <v>#REF!</v>
      </c>
      <c r="M441" s="65" t="e">
        <f>IF(E441=Data!#REF!,Data!#REF!,"")</f>
        <v>#REF!</v>
      </c>
      <c r="N441" s="66" t="e">
        <f>IF(AND(Data!#REF!&lt;&gt;"",Data!#REF!="Accept&amp;#233;"),Data!#REF!,"")</f>
        <v>#REF!</v>
      </c>
    </row>
    <row r="442" spans="1:14" ht="19.5" hidden="1" customHeight="1" x14ac:dyDescent="0.3">
      <c r="A442" s="59" t="e">
        <f>IF(AND(Data!#REF!&lt;&gt;"",Data!#REF!="Accept&amp;#233;"),Data!#REF!,"")</f>
        <v>#REF!</v>
      </c>
      <c r="B442" s="59" t="e">
        <f>IF(AND(Data!#REF!&lt;&gt;"",Data!#REF!="Accept&amp;#233;"),Data!#REF!,"")</f>
        <v>#REF!</v>
      </c>
      <c r="C442" s="60" t="e">
        <f t="shared" si="12"/>
        <v>#REF!</v>
      </c>
      <c r="D442" s="42" t="e">
        <f>IF(AND(Data!#REF!&lt;&gt;"",Data!#REF!="Accept&amp;#233;"),Data!#REF!,"")</f>
        <v>#REF!</v>
      </c>
      <c r="E442" s="61" t="e">
        <f>IF(AND(Data!#REF!&lt;&gt;"",Data!#REF!="Accept&amp;#233;"),Data!#REF!,"")</f>
        <v>#REF!</v>
      </c>
      <c r="F442" s="62" t="e">
        <f>IF(AND(Data!#REF!&lt;&gt;"",Data!#REF!="Accept&amp;#233;"),Data!#REF!,"")</f>
        <v>#REF!</v>
      </c>
      <c r="G442" s="63" t="e">
        <f>IF(Data!#REF!='Delivery Plan'!E442,Data!#REF!,"")</f>
        <v>#REF!</v>
      </c>
      <c r="H442" s="51"/>
      <c r="I442" s="60" t="e">
        <f t="shared" si="13"/>
        <v>#REF!</v>
      </c>
      <c r="J442" s="42" t="e">
        <f>IF(AND(E442=Data!#REF!,Data!#REF!&lt;&gt;""),Data!#REF!,"")</f>
        <v>#REF!</v>
      </c>
      <c r="K442" s="64" t="e">
        <f>IF(AND(E442=Data!#REF!,Data!#REF!&lt;&gt;""),Data!#REF!,"")</f>
        <v>#REF!</v>
      </c>
      <c r="L442" s="65" t="e">
        <f>IF(E442=Data!#REF!,Data!#REF!,"")</f>
        <v>#REF!</v>
      </c>
      <c r="M442" s="65" t="e">
        <f>IF(E442=Data!#REF!,Data!#REF!,"")</f>
        <v>#REF!</v>
      </c>
      <c r="N442" s="66" t="e">
        <f>IF(AND(Data!#REF!&lt;&gt;"",Data!#REF!="Accept&amp;#233;"),Data!#REF!,"")</f>
        <v>#REF!</v>
      </c>
    </row>
    <row r="443" spans="1:14" ht="19.5" hidden="1" customHeight="1" x14ac:dyDescent="0.3">
      <c r="A443" s="59" t="e">
        <f>IF(AND(Data!#REF!&lt;&gt;"",Data!#REF!="Accept&amp;#233;"),Data!#REF!,"")</f>
        <v>#REF!</v>
      </c>
      <c r="B443" s="59" t="e">
        <f>IF(AND(Data!#REF!&lt;&gt;"",Data!#REF!="Accept&amp;#233;"),Data!#REF!,"")</f>
        <v>#REF!</v>
      </c>
      <c r="C443" s="60" t="e">
        <f t="shared" si="12"/>
        <v>#REF!</v>
      </c>
      <c r="D443" s="42" t="e">
        <f>IF(AND(Data!#REF!&lt;&gt;"",Data!#REF!="Accept&amp;#233;"),Data!#REF!,"")</f>
        <v>#REF!</v>
      </c>
      <c r="E443" s="61" t="e">
        <f>IF(AND(Data!#REF!&lt;&gt;"",Data!#REF!="Accept&amp;#233;"),Data!#REF!,"")</f>
        <v>#REF!</v>
      </c>
      <c r="F443" s="62" t="e">
        <f>IF(AND(Data!#REF!&lt;&gt;"",Data!#REF!="Accept&amp;#233;"),Data!#REF!,"")</f>
        <v>#REF!</v>
      </c>
      <c r="G443" s="63" t="e">
        <f>IF(Data!#REF!='Delivery Plan'!E443,Data!#REF!,"")</f>
        <v>#REF!</v>
      </c>
      <c r="H443" s="51"/>
      <c r="I443" s="60" t="e">
        <f t="shared" si="13"/>
        <v>#REF!</v>
      </c>
      <c r="J443" s="42" t="e">
        <f>IF(AND(E443=Data!#REF!,Data!#REF!&lt;&gt;""),Data!#REF!,"")</f>
        <v>#REF!</v>
      </c>
      <c r="K443" s="64" t="e">
        <f>IF(AND(E443=Data!#REF!,Data!#REF!&lt;&gt;""),Data!#REF!,"")</f>
        <v>#REF!</v>
      </c>
      <c r="L443" s="65" t="e">
        <f>IF(E443=Data!#REF!,Data!#REF!,"")</f>
        <v>#REF!</v>
      </c>
      <c r="M443" s="65" t="e">
        <f>IF(E443=Data!#REF!,Data!#REF!,"")</f>
        <v>#REF!</v>
      </c>
      <c r="N443" s="66" t="e">
        <f>IF(AND(Data!#REF!&lt;&gt;"",Data!#REF!="Accept&amp;#233;"),Data!#REF!,"")</f>
        <v>#REF!</v>
      </c>
    </row>
    <row r="444" spans="1:14" ht="19.5" hidden="1" customHeight="1" x14ac:dyDescent="0.3">
      <c r="A444" s="59" t="e">
        <f>IF(AND(Data!#REF!&lt;&gt;"",Data!#REF!="Accept&amp;#233;"),Data!#REF!,"")</f>
        <v>#REF!</v>
      </c>
      <c r="B444" s="59" t="e">
        <f>IF(AND(Data!#REF!&lt;&gt;"",Data!#REF!="Accept&amp;#233;"),Data!#REF!,"")</f>
        <v>#REF!</v>
      </c>
      <c r="C444" s="60" t="e">
        <f t="shared" si="12"/>
        <v>#REF!</v>
      </c>
      <c r="D444" s="42" t="e">
        <f>IF(AND(Data!#REF!&lt;&gt;"",Data!#REF!="Accept&amp;#233;"),Data!#REF!,"")</f>
        <v>#REF!</v>
      </c>
      <c r="E444" s="61" t="e">
        <f>IF(AND(Data!#REF!&lt;&gt;"",Data!#REF!="Accept&amp;#233;"),Data!#REF!,"")</f>
        <v>#REF!</v>
      </c>
      <c r="F444" s="62" t="e">
        <f>IF(AND(Data!#REF!&lt;&gt;"",Data!#REF!="Accept&amp;#233;"),Data!#REF!,"")</f>
        <v>#REF!</v>
      </c>
      <c r="G444" s="63" t="e">
        <f>IF(Data!#REF!='Delivery Plan'!E444,Data!#REF!,"")</f>
        <v>#REF!</v>
      </c>
      <c r="H444" s="51"/>
      <c r="I444" s="60" t="e">
        <f t="shared" si="13"/>
        <v>#REF!</v>
      </c>
      <c r="J444" s="42" t="e">
        <f>IF(AND(E444=Data!#REF!,Data!#REF!&lt;&gt;""),Data!#REF!,"")</f>
        <v>#REF!</v>
      </c>
      <c r="K444" s="64" t="e">
        <f>IF(AND(E444=Data!#REF!,Data!#REF!&lt;&gt;""),Data!#REF!,"")</f>
        <v>#REF!</v>
      </c>
      <c r="L444" s="65" t="e">
        <f>IF(E444=Data!#REF!,Data!#REF!,"")</f>
        <v>#REF!</v>
      </c>
      <c r="M444" s="65" t="e">
        <f>IF(E444=Data!#REF!,Data!#REF!,"")</f>
        <v>#REF!</v>
      </c>
      <c r="N444" s="66" t="e">
        <f>IF(AND(Data!#REF!&lt;&gt;"",Data!#REF!="Accept&amp;#233;"),Data!#REF!,"")</f>
        <v>#REF!</v>
      </c>
    </row>
    <row r="445" spans="1:14" ht="19.5" hidden="1" customHeight="1" x14ac:dyDescent="0.3">
      <c r="A445" s="59" t="e">
        <f>IF(AND(Data!#REF!&lt;&gt;"",Data!#REF!="Accept&amp;#233;"),Data!#REF!,"")</f>
        <v>#REF!</v>
      </c>
      <c r="B445" s="59" t="e">
        <f>IF(AND(Data!#REF!&lt;&gt;"",Data!#REF!="Accept&amp;#233;"),Data!#REF!,"")</f>
        <v>#REF!</v>
      </c>
      <c r="C445" s="60" t="e">
        <f t="shared" si="12"/>
        <v>#REF!</v>
      </c>
      <c r="D445" s="42" t="e">
        <f>IF(AND(Data!#REF!&lt;&gt;"",Data!#REF!="Accept&amp;#233;"),Data!#REF!,"")</f>
        <v>#REF!</v>
      </c>
      <c r="E445" s="61" t="e">
        <f>IF(AND(Data!#REF!&lt;&gt;"",Data!#REF!="Accept&amp;#233;"),Data!#REF!,"")</f>
        <v>#REF!</v>
      </c>
      <c r="F445" s="62" t="e">
        <f>IF(AND(Data!#REF!&lt;&gt;"",Data!#REF!="Accept&amp;#233;"),Data!#REF!,"")</f>
        <v>#REF!</v>
      </c>
      <c r="G445" s="63" t="e">
        <f>IF(Data!#REF!='Delivery Plan'!E445,Data!#REF!,"")</f>
        <v>#REF!</v>
      </c>
      <c r="H445" s="51"/>
      <c r="I445" s="60" t="e">
        <f t="shared" si="13"/>
        <v>#REF!</v>
      </c>
      <c r="J445" s="42" t="e">
        <f>IF(AND(E445=Data!#REF!,Data!#REF!&lt;&gt;""),Data!#REF!,"")</f>
        <v>#REF!</v>
      </c>
      <c r="K445" s="64" t="e">
        <f>IF(AND(E445=Data!#REF!,Data!#REF!&lt;&gt;""),Data!#REF!,"")</f>
        <v>#REF!</v>
      </c>
      <c r="L445" s="65" t="e">
        <f>IF(E445=Data!#REF!,Data!#REF!,"")</f>
        <v>#REF!</v>
      </c>
      <c r="M445" s="65" t="e">
        <f>IF(E445=Data!#REF!,Data!#REF!,"")</f>
        <v>#REF!</v>
      </c>
      <c r="N445" s="66" t="e">
        <f>IF(AND(Data!#REF!&lt;&gt;"",Data!#REF!="Accept&amp;#233;"),Data!#REF!,"")</f>
        <v>#REF!</v>
      </c>
    </row>
    <row r="446" spans="1:14" ht="19.5" hidden="1" customHeight="1" x14ac:dyDescent="0.3">
      <c r="A446" s="59" t="e">
        <f>IF(AND(Data!#REF!&lt;&gt;"",Data!#REF!="Accept&amp;#233;"),Data!#REF!,"")</f>
        <v>#REF!</v>
      </c>
      <c r="B446" s="59" t="e">
        <f>IF(AND(Data!#REF!&lt;&gt;"",Data!#REF!="Accept&amp;#233;"),Data!#REF!,"")</f>
        <v>#REF!</v>
      </c>
      <c r="C446" s="60" t="e">
        <f t="shared" si="12"/>
        <v>#REF!</v>
      </c>
      <c r="D446" s="42" t="e">
        <f>IF(AND(Data!#REF!&lt;&gt;"",Data!#REF!="Accept&amp;#233;"),Data!#REF!,"")</f>
        <v>#REF!</v>
      </c>
      <c r="E446" s="61" t="e">
        <f>IF(AND(Data!#REF!&lt;&gt;"",Data!#REF!="Accept&amp;#233;"),Data!#REF!,"")</f>
        <v>#REF!</v>
      </c>
      <c r="F446" s="62" t="e">
        <f>IF(AND(Data!#REF!&lt;&gt;"",Data!#REF!="Accept&amp;#233;"),Data!#REF!,"")</f>
        <v>#REF!</v>
      </c>
      <c r="G446" s="63" t="e">
        <f>IF(Data!#REF!='Delivery Plan'!E446,Data!#REF!,"")</f>
        <v>#REF!</v>
      </c>
      <c r="H446" s="51"/>
      <c r="I446" s="60" t="e">
        <f t="shared" si="13"/>
        <v>#REF!</v>
      </c>
      <c r="J446" s="42" t="e">
        <f>IF(AND(E446=Data!#REF!,Data!#REF!&lt;&gt;""),Data!#REF!,"")</f>
        <v>#REF!</v>
      </c>
      <c r="K446" s="64" t="e">
        <f>IF(AND(E446=Data!#REF!,Data!#REF!&lt;&gt;""),Data!#REF!,"")</f>
        <v>#REF!</v>
      </c>
      <c r="L446" s="65" t="e">
        <f>IF(E446=Data!#REF!,Data!#REF!,"")</f>
        <v>#REF!</v>
      </c>
      <c r="M446" s="65" t="e">
        <f>IF(E446=Data!#REF!,Data!#REF!,"")</f>
        <v>#REF!</v>
      </c>
      <c r="N446" s="66" t="e">
        <f>IF(AND(Data!#REF!&lt;&gt;"",Data!#REF!="Accept&amp;#233;"),Data!#REF!,"")</f>
        <v>#REF!</v>
      </c>
    </row>
    <row r="447" spans="1:14" ht="19.5" hidden="1" customHeight="1" x14ac:dyDescent="0.3">
      <c r="A447" s="59" t="e">
        <f>IF(AND(Data!#REF!&lt;&gt;"",Data!#REF!="Accept&amp;#233;"),Data!#REF!,"")</f>
        <v>#REF!</v>
      </c>
      <c r="B447" s="59" t="e">
        <f>IF(AND(Data!#REF!&lt;&gt;"",Data!#REF!="Accept&amp;#233;"),Data!#REF!,"")</f>
        <v>#REF!</v>
      </c>
      <c r="C447" s="60" t="e">
        <f t="shared" si="12"/>
        <v>#REF!</v>
      </c>
      <c r="D447" s="42" t="e">
        <f>IF(AND(Data!#REF!&lt;&gt;"",Data!#REF!="Accept&amp;#233;"),Data!#REF!,"")</f>
        <v>#REF!</v>
      </c>
      <c r="E447" s="61" t="e">
        <f>IF(AND(Data!#REF!&lt;&gt;"",Data!#REF!="Accept&amp;#233;"),Data!#REF!,"")</f>
        <v>#REF!</v>
      </c>
      <c r="F447" s="62" t="e">
        <f>IF(AND(Data!#REF!&lt;&gt;"",Data!#REF!="Accept&amp;#233;"),Data!#REF!,"")</f>
        <v>#REF!</v>
      </c>
      <c r="G447" s="63" t="e">
        <f>IF(Data!#REF!='Delivery Plan'!E447,Data!#REF!,"")</f>
        <v>#REF!</v>
      </c>
      <c r="H447" s="51"/>
      <c r="I447" s="60" t="e">
        <f t="shared" si="13"/>
        <v>#REF!</v>
      </c>
      <c r="J447" s="42" t="e">
        <f>IF(AND(E447=Data!#REF!,Data!#REF!&lt;&gt;""),Data!#REF!,"")</f>
        <v>#REF!</v>
      </c>
      <c r="K447" s="64" t="e">
        <f>IF(AND(E447=Data!#REF!,Data!#REF!&lt;&gt;""),Data!#REF!,"")</f>
        <v>#REF!</v>
      </c>
      <c r="L447" s="65" t="e">
        <f>IF(E447=Data!#REF!,Data!#REF!,"")</f>
        <v>#REF!</v>
      </c>
      <c r="M447" s="65" t="e">
        <f>IF(E447=Data!#REF!,Data!#REF!,"")</f>
        <v>#REF!</v>
      </c>
      <c r="N447" s="66" t="e">
        <f>IF(AND(Data!#REF!&lt;&gt;"",Data!#REF!="Accept&amp;#233;"),Data!#REF!,"")</f>
        <v>#REF!</v>
      </c>
    </row>
    <row r="448" spans="1:14" ht="19.5" hidden="1" customHeight="1" x14ac:dyDescent="0.3">
      <c r="A448" s="59" t="e">
        <f>IF(AND(Data!#REF!&lt;&gt;"",Data!#REF!="Accept&amp;#233;"),Data!#REF!,"")</f>
        <v>#REF!</v>
      </c>
      <c r="B448" s="59" t="e">
        <f>IF(AND(Data!#REF!&lt;&gt;"",Data!#REF!="Accept&amp;#233;"),Data!#REF!,"")</f>
        <v>#REF!</v>
      </c>
      <c r="C448" s="60" t="e">
        <f t="shared" si="12"/>
        <v>#REF!</v>
      </c>
      <c r="D448" s="42" t="e">
        <f>IF(AND(Data!#REF!&lt;&gt;"",Data!#REF!="Accept&amp;#233;"),Data!#REF!,"")</f>
        <v>#REF!</v>
      </c>
      <c r="E448" s="61" t="e">
        <f>IF(AND(Data!#REF!&lt;&gt;"",Data!#REF!="Accept&amp;#233;"),Data!#REF!,"")</f>
        <v>#REF!</v>
      </c>
      <c r="F448" s="62" t="e">
        <f>IF(AND(Data!#REF!&lt;&gt;"",Data!#REF!="Accept&amp;#233;"),Data!#REF!,"")</f>
        <v>#REF!</v>
      </c>
      <c r="G448" s="63" t="e">
        <f>IF(Data!#REF!='Delivery Plan'!E448,Data!#REF!,"")</f>
        <v>#REF!</v>
      </c>
      <c r="H448" s="51"/>
      <c r="I448" s="60" t="e">
        <f t="shared" si="13"/>
        <v>#REF!</v>
      </c>
      <c r="J448" s="42" t="e">
        <f>IF(AND(E448=Data!#REF!,Data!#REF!&lt;&gt;""),Data!#REF!,"")</f>
        <v>#REF!</v>
      </c>
      <c r="K448" s="64" t="e">
        <f>IF(AND(E448=Data!#REF!,Data!#REF!&lt;&gt;""),Data!#REF!,"")</f>
        <v>#REF!</v>
      </c>
      <c r="L448" s="65" t="e">
        <f>IF(E448=Data!#REF!,Data!#REF!,"")</f>
        <v>#REF!</v>
      </c>
      <c r="M448" s="65" t="e">
        <f>IF(E448=Data!#REF!,Data!#REF!,"")</f>
        <v>#REF!</v>
      </c>
      <c r="N448" s="66" t="e">
        <f>IF(AND(Data!#REF!&lt;&gt;"",Data!#REF!="Accept&amp;#233;"),Data!#REF!,"")</f>
        <v>#REF!</v>
      </c>
    </row>
    <row r="449" spans="1:14" ht="19.5" hidden="1" customHeight="1" x14ac:dyDescent="0.3">
      <c r="A449" s="59" t="e">
        <f>IF(AND(Data!#REF!&lt;&gt;"",Data!#REF!="Accept&amp;#233;"),Data!#REF!,"")</f>
        <v>#REF!</v>
      </c>
      <c r="B449" s="59" t="e">
        <f>IF(AND(Data!#REF!&lt;&gt;"",Data!#REF!="Accept&amp;#233;"),Data!#REF!,"")</f>
        <v>#REF!</v>
      </c>
      <c r="C449" s="60" t="e">
        <f t="shared" si="12"/>
        <v>#REF!</v>
      </c>
      <c r="D449" s="42" t="e">
        <f>IF(AND(Data!#REF!&lt;&gt;"",Data!#REF!="Accept&amp;#233;"),Data!#REF!,"")</f>
        <v>#REF!</v>
      </c>
      <c r="E449" s="61" t="e">
        <f>IF(AND(Data!#REF!&lt;&gt;"",Data!#REF!="Accept&amp;#233;"),Data!#REF!,"")</f>
        <v>#REF!</v>
      </c>
      <c r="F449" s="62" t="e">
        <f>IF(AND(Data!#REF!&lt;&gt;"",Data!#REF!="Accept&amp;#233;"),Data!#REF!,"")</f>
        <v>#REF!</v>
      </c>
      <c r="G449" s="63" t="e">
        <f>IF(Data!#REF!='Delivery Plan'!E449,Data!#REF!,"")</f>
        <v>#REF!</v>
      </c>
      <c r="H449" s="51"/>
      <c r="I449" s="60" t="e">
        <f t="shared" si="13"/>
        <v>#REF!</v>
      </c>
      <c r="J449" s="42" t="e">
        <f>IF(AND(E449=Data!#REF!,Data!#REF!&lt;&gt;""),Data!#REF!,"")</f>
        <v>#REF!</v>
      </c>
      <c r="K449" s="64" t="e">
        <f>IF(AND(E449=Data!#REF!,Data!#REF!&lt;&gt;""),Data!#REF!,"")</f>
        <v>#REF!</v>
      </c>
      <c r="L449" s="65" t="e">
        <f>IF(E449=Data!#REF!,Data!#REF!,"")</f>
        <v>#REF!</v>
      </c>
      <c r="M449" s="65" t="e">
        <f>IF(E449=Data!#REF!,Data!#REF!,"")</f>
        <v>#REF!</v>
      </c>
      <c r="N449" s="66" t="e">
        <f>IF(AND(Data!#REF!&lt;&gt;"",Data!#REF!="Accept&amp;#233;"),Data!#REF!,"")</f>
        <v>#REF!</v>
      </c>
    </row>
    <row r="450" spans="1:14" ht="19.5" hidden="1" customHeight="1" x14ac:dyDescent="0.3">
      <c r="A450" s="59" t="e">
        <f>IF(AND(Data!#REF!&lt;&gt;"",Data!#REF!="Accept&amp;#233;"),Data!#REF!,"")</f>
        <v>#REF!</v>
      </c>
      <c r="B450" s="59" t="e">
        <f>IF(AND(Data!#REF!&lt;&gt;"",Data!#REF!="Accept&amp;#233;"),Data!#REF!,"")</f>
        <v>#REF!</v>
      </c>
      <c r="C450" s="60" t="e">
        <f t="shared" si="12"/>
        <v>#REF!</v>
      </c>
      <c r="D450" s="42" t="e">
        <f>IF(AND(Data!#REF!&lt;&gt;"",Data!#REF!="Accept&amp;#233;"),Data!#REF!,"")</f>
        <v>#REF!</v>
      </c>
      <c r="E450" s="61" t="e">
        <f>IF(AND(Data!#REF!&lt;&gt;"",Data!#REF!="Accept&amp;#233;"),Data!#REF!,"")</f>
        <v>#REF!</v>
      </c>
      <c r="F450" s="62" t="e">
        <f>IF(AND(Data!#REF!&lt;&gt;"",Data!#REF!="Accept&amp;#233;"),Data!#REF!,"")</f>
        <v>#REF!</v>
      </c>
      <c r="G450" s="63" t="e">
        <f>IF(Data!#REF!='Delivery Plan'!E450,Data!#REF!,"")</f>
        <v>#REF!</v>
      </c>
      <c r="H450" s="51"/>
      <c r="I450" s="60" t="e">
        <f t="shared" si="13"/>
        <v>#REF!</v>
      </c>
      <c r="J450" s="42" t="e">
        <f>IF(AND(E450=Data!#REF!,Data!#REF!&lt;&gt;""),Data!#REF!,"")</f>
        <v>#REF!</v>
      </c>
      <c r="K450" s="64" t="e">
        <f>IF(AND(E450=Data!#REF!,Data!#REF!&lt;&gt;""),Data!#REF!,"")</f>
        <v>#REF!</v>
      </c>
      <c r="L450" s="65" t="e">
        <f>IF(E450=Data!#REF!,Data!#REF!,"")</f>
        <v>#REF!</v>
      </c>
      <c r="M450" s="65" t="e">
        <f>IF(E450=Data!#REF!,Data!#REF!,"")</f>
        <v>#REF!</v>
      </c>
      <c r="N450" s="66" t="e">
        <f>IF(AND(Data!#REF!&lt;&gt;"",Data!#REF!="Accept&amp;#233;"),Data!#REF!,"")</f>
        <v>#REF!</v>
      </c>
    </row>
    <row r="451" spans="1:14" ht="19.5" hidden="1" customHeight="1" x14ac:dyDescent="0.3">
      <c r="A451" s="59" t="e">
        <f>IF(AND(Data!#REF!&lt;&gt;"",Data!#REF!="Accept&amp;#233;"),Data!#REF!,"")</f>
        <v>#REF!</v>
      </c>
      <c r="B451" s="59" t="e">
        <f>IF(AND(Data!#REF!&lt;&gt;"",Data!#REF!="Accept&amp;#233;"),Data!#REF!,"")</f>
        <v>#REF!</v>
      </c>
      <c r="C451" s="60" t="e">
        <f t="shared" si="12"/>
        <v>#REF!</v>
      </c>
      <c r="D451" s="42" t="e">
        <f>IF(AND(Data!#REF!&lt;&gt;"",Data!#REF!="Accept&amp;#233;"),Data!#REF!,"")</f>
        <v>#REF!</v>
      </c>
      <c r="E451" s="61" t="e">
        <f>IF(AND(Data!#REF!&lt;&gt;"",Data!#REF!="Accept&amp;#233;"),Data!#REF!,"")</f>
        <v>#REF!</v>
      </c>
      <c r="F451" s="62" t="e">
        <f>IF(AND(Data!#REF!&lt;&gt;"",Data!#REF!="Accept&amp;#233;"),Data!#REF!,"")</f>
        <v>#REF!</v>
      </c>
      <c r="G451" s="63" t="e">
        <f>IF(Data!#REF!='Delivery Plan'!E451,Data!#REF!,"")</f>
        <v>#REF!</v>
      </c>
      <c r="H451" s="51"/>
      <c r="I451" s="60" t="e">
        <f t="shared" si="13"/>
        <v>#REF!</v>
      </c>
      <c r="J451" s="42" t="e">
        <f>IF(AND(E451=Data!#REF!,Data!#REF!&lt;&gt;""),Data!#REF!,"")</f>
        <v>#REF!</v>
      </c>
      <c r="K451" s="64" t="e">
        <f>IF(AND(E451=Data!#REF!,Data!#REF!&lt;&gt;""),Data!#REF!,"")</f>
        <v>#REF!</v>
      </c>
      <c r="L451" s="65" t="e">
        <f>IF(E451=Data!#REF!,Data!#REF!,"")</f>
        <v>#REF!</v>
      </c>
      <c r="M451" s="65" t="e">
        <f>IF(E451=Data!#REF!,Data!#REF!,"")</f>
        <v>#REF!</v>
      </c>
      <c r="N451" s="66" t="e">
        <f>IF(AND(Data!#REF!&lt;&gt;"",Data!#REF!="Accept&amp;#233;"),Data!#REF!,"")</f>
        <v>#REF!</v>
      </c>
    </row>
    <row r="452" spans="1:14" ht="19.5" hidden="1" customHeight="1" x14ac:dyDescent="0.3">
      <c r="A452" s="59" t="e">
        <f>IF(AND(Data!#REF!&lt;&gt;"",Data!#REF!="Accept&amp;#233;"),Data!#REF!,"")</f>
        <v>#REF!</v>
      </c>
      <c r="B452" s="59" t="e">
        <f>IF(AND(Data!#REF!&lt;&gt;"",Data!#REF!="Accept&amp;#233;"),Data!#REF!,"")</f>
        <v>#REF!</v>
      </c>
      <c r="C452" s="60" t="e">
        <f t="shared" ref="C452:C515" si="14">IF(D452&lt;&gt;"","S"&amp;TEXT(WEEKNUM(D452),"00"),"")</f>
        <v>#REF!</v>
      </c>
      <c r="D452" s="42" t="e">
        <f>IF(AND(Data!#REF!&lt;&gt;"",Data!#REF!="Accept&amp;#233;"),Data!#REF!,"")</f>
        <v>#REF!</v>
      </c>
      <c r="E452" s="61" t="e">
        <f>IF(AND(Data!#REF!&lt;&gt;"",Data!#REF!="Accept&amp;#233;"),Data!#REF!,"")</f>
        <v>#REF!</v>
      </c>
      <c r="F452" s="62" t="e">
        <f>IF(AND(Data!#REF!&lt;&gt;"",Data!#REF!="Accept&amp;#233;"),Data!#REF!,"")</f>
        <v>#REF!</v>
      </c>
      <c r="G452" s="63" t="e">
        <f>IF(Data!#REF!='Delivery Plan'!E452,Data!#REF!,"")</f>
        <v>#REF!</v>
      </c>
      <c r="H452" s="51"/>
      <c r="I452" s="60" t="e">
        <f t="shared" ref="I452:I515" si="15">IF(J452&lt;&gt;"","S"&amp;TEXT(WEEKNUM(J452),"00"),"")</f>
        <v>#REF!</v>
      </c>
      <c r="J452" s="42" t="e">
        <f>IF(AND(E452=Data!#REF!,Data!#REF!&lt;&gt;""),Data!#REF!,"")</f>
        <v>#REF!</v>
      </c>
      <c r="K452" s="64" t="e">
        <f>IF(AND(E452=Data!#REF!,Data!#REF!&lt;&gt;""),Data!#REF!,"")</f>
        <v>#REF!</v>
      </c>
      <c r="L452" s="65" t="e">
        <f>IF(E452=Data!#REF!,Data!#REF!,"")</f>
        <v>#REF!</v>
      </c>
      <c r="M452" s="65" t="e">
        <f>IF(E452=Data!#REF!,Data!#REF!,"")</f>
        <v>#REF!</v>
      </c>
      <c r="N452" s="66" t="e">
        <f>IF(AND(Data!#REF!&lt;&gt;"",Data!#REF!="Accept&amp;#233;"),Data!#REF!,"")</f>
        <v>#REF!</v>
      </c>
    </row>
    <row r="453" spans="1:14" ht="19.5" hidden="1" customHeight="1" x14ac:dyDescent="0.3">
      <c r="A453" s="59" t="e">
        <f>IF(AND(Data!#REF!&lt;&gt;"",Data!#REF!="Accept&amp;#233;"),Data!#REF!,"")</f>
        <v>#REF!</v>
      </c>
      <c r="B453" s="59" t="e">
        <f>IF(AND(Data!#REF!&lt;&gt;"",Data!#REF!="Accept&amp;#233;"),Data!#REF!,"")</f>
        <v>#REF!</v>
      </c>
      <c r="C453" s="60" t="e">
        <f t="shared" si="14"/>
        <v>#REF!</v>
      </c>
      <c r="D453" s="42" t="e">
        <f>IF(AND(Data!#REF!&lt;&gt;"",Data!#REF!="Accept&amp;#233;"),Data!#REF!,"")</f>
        <v>#REF!</v>
      </c>
      <c r="E453" s="61" t="e">
        <f>IF(AND(Data!#REF!&lt;&gt;"",Data!#REF!="Accept&amp;#233;"),Data!#REF!,"")</f>
        <v>#REF!</v>
      </c>
      <c r="F453" s="62" t="e">
        <f>IF(AND(Data!#REF!&lt;&gt;"",Data!#REF!="Accept&amp;#233;"),Data!#REF!,"")</f>
        <v>#REF!</v>
      </c>
      <c r="G453" s="63" t="e">
        <f>IF(Data!#REF!='Delivery Plan'!E453,Data!#REF!,"")</f>
        <v>#REF!</v>
      </c>
      <c r="H453" s="51"/>
      <c r="I453" s="60" t="e">
        <f t="shared" si="15"/>
        <v>#REF!</v>
      </c>
      <c r="J453" s="42" t="e">
        <f>IF(AND(E453=Data!#REF!,Data!#REF!&lt;&gt;""),Data!#REF!,"")</f>
        <v>#REF!</v>
      </c>
      <c r="K453" s="64" t="e">
        <f>IF(AND(E453=Data!#REF!,Data!#REF!&lt;&gt;""),Data!#REF!,"")</f>
        <v>#REF!</v>
      </c>
      <c r="L453" s="65" t="e">
        <f>IF(E453=Data!#REF!,Data!#REF!,"")</f>
        <v>#REF!</v>
      </c>
      <c r="M453" s="65" t="e">
        <f>IF(E453=Data!#REF!,Data!#REF!,"")</f>
        <v>#REF!</v>
      </c>
      <c r="N453" s="66" t="e">
        <f>IF(AND(Data!#REF!&lt;&gt;"",Data!#REF!="Accept&amp;#233;"),Data!#REF!,"")</f>
        <v>#REF!</v>
      </c>
    </row>
    <row r="454" spans="1:14" ht="19.5" hidden="1" customHeight="1" x14ac:dyDescent="0.3">
      <c r="A454" s="59" t="e">
        <f>IF(AND(Data!#REF!&lt;&gt;"",Data!#REF!="Accept&amp;#233;"),Data!#REF!,"")</f>
        <v>#REF!</v>
      </c>
      <c r="B454" s="59" t="e">
        <f>IF(AND(Data!#REF!&lt;&gt;"",Data!#REF!="Accept&amp;#233;"),Data!#REF!,"")</f>
        <v>#REF!</v>
      </c>
      <c r="C454" s="60" t="e">
        <f t="shared" si="14"/>
        <v>#REF!</v>
      </c>
      <c r="D454" s="42" t="e">
        <f>IF(AND(Data!#REF!&lt;&gt;"",Data!#REF!="Accept&amp;#233;"),Data!#REF!,"")</f>
        <v>#REF!</v>
      </c>
      <c r="E454" s="61" t="e">
        <f>IF(AND(Data!#REF!&lt;&gt;"",Data!#REF!="Accept&amp;#233;"),Data!#REF!,"")</f>
        <v>#REF!</v>
      </c>
      <c r="F454" s="62" t="e">
        <f>IF(AND(Data!#REF!&lt;&gt;"",Data!#REF!="Accept&amp;#233;"),Data!#REF!,"")</f>
        <v>#REF!</v>
      </c>
      <c r="G454" s="63" t="e">
        <f>IF(Data!#REF!='Delivery Plan'!E454,Data!#REF!,"")</f>
        <v>#REF!</v>
      </c>
      <c r="H454" s="51"/>
      <c r="I454" s="60" t="e">
        <f t="shared" si="15"/>
        <v>#REF!</v>
      </c>
      <c r="J454" s="42" t="e">
        <f>IF(AND(E454=Data!#REF!,Data!#REF!&lt;&gt;""),Data!#REF!,"")</f>
        <v>#REF!</v>
      </c>
      <c r="K454" s="64" t="e">
        <f>IF(AND(E454=Data!#REF!,Data!#REF!&lt;&gt;""),Data!#REF!,"")</f>
        <v>#REF!</v>
      </c>
      <c r="L454" s="65" t="e">
        <f>IF(E454=Data!#REF!,Data!#REF!,"")</f>
        <v>#REF!</v>
      </c>
      <c r="M454" s="65" t="e">
        <f>IF(E454=Data!#REF!,Data!#REF!,"")</f>
        <v>#REF!</v>
      </c>
      <c r="N454" s="66" t="e">
        <f>IF(AND(Data!#REF!&lt;&gt;"",Data!#REF!="Accept&amp;#233;"),Data!#REF!,"")</f>
        <v>#REF!</v>
      </c>
    </row>
    <row r="455" spans="1:14" ht="19.5" hidden="1" customHeight="1" x14ac:dyDescent="0.3">
      <c r="A455" s="59" t="e">
        <f>IF(AND(Data!#REF!&lt;&gt;"",Data!#REF!="Accept&amp;#233;"),Data!#REF!,"")</f>
        <v>#REF!</v>
      </c>
      <c r="B455" s="59" t="e">
        <f>IF(AND(Data!#REF!&lt;&gt;"",Data!#REF!="Accept&amp;#233;"),Data!#REF!,"")</f>
        <v>#REF!</v>
      </c>
      <c r="C455" s="60" t="e">
        <f t="shared" si="14"/>
        <v>#REF!</v>
      </c>
      <c r="D455" s="42" t="e">
        <f>IF(AND(Data!#REF!&lt;&gt;"",Data!#REF!="Accept&amp;#233;"),Data!#REF!,"")</f>
        <v>#REF!</v>
      </c>
      <c r="E455" s="61" t="e">
        <f>IF(AND(Data!#REF!&lt;&gt;"",Data!#REF!="Accept&amp;#233;"),Data!#REF!,"")</f>
        <v>#REF!</v>
      </c>
      <c r="F455" s="62" t="e">
        <f>IF(AND(Data!#REF!&lt;&gt;"",Data!#REF!="Accept&amp;#233;"),Data!#REF!,"")</f>
        <v>#REF!</v>
      </c>
      <c r="G455" s="63" t="e">
        <f>IF(Data!#REF!='Delivery Plan'!E455,Data!#REF!,"")</f>
        <v>#REF!</v>
      </c>
      <c r="H455" s="51"/>
      <c r="I455" s="60" t="e">
        <f t="shared" si="15"/>
        <v>#REF!</v>
      </c>
      <c r="J455" s="42" t="e">
        <f>IF(AND(E455=Data!#REF!,Data!#REF!&lt;&gt;""),Data!#REF!,"")</f>
        <v>#REF!</v>
      </c>
      <c r="K455" s="64" t="e">
        <f>IF(AND(E455=Data!#REF!,Data!#REF!&lt;&gt;""),Data!#REF!,"")</f>
        <v>#REF!</v>
      </c>
      <c r="L455" s="65" t="e">
        <f>IF(E455=Data!#REF!,Data!#REF!,"")</f>
        <v>#REF!</v>
      </c>
      <c r="M455" s="65" t="e">
        <f>IF(E455=Data!#REF!,Data!#REF!,"")</f>
        <v>#REF!</v>
      </c>
      <c r="N455" s="66" t="e">
        <f>IF(AND(Data!#REF!&lt;&gt;"",Data!#REF!="Accept&amp;#233;"),Data!#REF!,"")</f>
        <v>#REF!</v>
      </c>
    </row>
    <row r="456" spans="1:14" ht="19.5" hidden="1" customHeight="1" x14ac:dyDescent="0.3">
      <c r="A456" s="59" t="e">
        <f>IF(AND(Data!#REF!&lt;&gt;"",Data!#REF!="Accept&amp;#233;"),Data!#REF!,"")</f>
        <v>#REF!</v>
      </c>
      <c r="B456" s="59" t="e">
        <f>IF(AND(Data!#REF!&lt;&gt;"",Data!#REF!="Accept&amp;#233;"),Data!#REF!,"")</f>
        <v>#REF!</v>
      </c>
      <c r="C456" s="60" t="e">
        <f t="shared" si="14"/>
        <v>#REF!</v>
      </c>
      <c r="D456" s="42" t="e">
        <f>IF(AND(Data!#REF!&lt;&gt;"",Data!#REF!="Accept&amp;#233;"),Data!#REF!,"")</f>
        <v>#REF!</v>
      </c>
      <c r="E456" s="61" t="e">
        <f>IF(AND(Data!#REF!&lt;&gt;"",Data!#REF!="Accept&amp;#233;"),Data!#REF!,"")</f>
        <v>#REF!</v>
      </c>
      <c r="F456" s="62" t="e">
        <f>IF(AND(Data!#REF!&lt;&gt;"",Data!#REF!="Accept&amp;#233;"),Data!#REF!,"")</f>
        <v>#REF!</v>
      </c>
      <c r="G456" s="63" t="e">
        <f>IF(Data!#REF!='Delivery Plan'!E456,Data!#REF!,"")</f>
        <v>#REF!</v>
      </c>
      <c r="H456" s="51"/>
      <c r="I456" s="60" t="e">
        <f t="shared" si="15"/>
        <v>#REF!</v>
      </c>
      <c r="J456" s="42" t="e">
        <f>IF(AND(E456=Data!#REF!,Data!#REF!&lt;&gt;""),Data!#REF!,"")</f>
        <v>#REF!</v>
      </c>
      <c r="K456" s="64" t="e">
        <f>IF(AND(E456=Data!#REF!,Data!#REF!&lt;&gt;""),Data!#REF!,"")</f>
        <v>#REF!</v>
      </c>
      <c r="L456" s="65" t="e">
        <f>IF(E456=Data!#REF!,Data!#REF!,"")</f>
        <v>#REF!</v>
      </c>
      <c r="M456" s="65" t="e">
        <f>IF(E456=Data!#REF!,Data!#REF!,"")</f>
        <v>#REF!</v>
      </c>
      <c r="N456" s="66" t="e">
        <f>IF(AND(Data!#REF!&lt;&gt;"",Data!#REF!="Accept&amp;#233;"),Data!#REF!,"")</f>
        <v>#REF!</v>
      </c>
    </row>
    <row r="457" spans="1:14" ht="19.5" hidden="1" customHeight="1" x14ac:dyDescent="0.3">
      <c r="A457" s="59" t="e">
        <f>IF(AND(Data!#REF!&lt;&gt;"",Data!#REF!="Accept&amp;#233;"),Data!#REF!,"")</f>
        <v>#REF!</v>
      </c>
      <c r="B457" s="59" t="e">
        <f>IF(AND(Data!#REF!&lt;&gt;"",Data!#REF!="Accept&amp;#233;"),Data!#REF!,"")</f>
        <v>#REF!</v>
      </c>
      <c r="C457" s="60" t="e">
        <f t="shared" si="14"/>
        <v>#REF!</v>
      </c>
      <c r="D457" s="42" t="e">
        <f>IF(AND(Data!#REF!&lt;&gt;"",Data!#REF!="Accept&amp;#233;"),Data!#REF!,"")</f>
        <v>#REF!</v>
      </c>
      <c r="E457" s="61" t="e">
        <f>IF(AND(Data!#REF!&lt;&gt;"",Data!#REF!="Accept&amp;#233;"),Data!#REF!,"")</f>
        <v>#REF!</v>
      </c>
      <c r="F457" s="62" t="e">
        <f>IF(AND(Data!#REF!&lt;&gt;"",Data!#REF!="Accept&amp;#233;"),Data!#REF!,"")</f>
        <v>#REF!</v>
      </c>
      <c r="G457" s="63" t="e">
        <f>IF(Data!#REF!='Delivery Plan'!E457,Data!#REF!,"")</f>
        <v>#REF!</v>
      </c>
      <c r="H457" s="51"/>
      <c r="I457" s="60" t="e">
        <f t="shared" si="15"/>
        <v>#REF!</v>
      </c>
      <c r="J457" s="42" t="e">
        <f>IF(AND(E457=Data!#REF!,Data!#REF!&lt;&gt;""),Data!#REF!,"")</f>
        <v>#REF!</v>
      </c>
      <c r="K457" s="64" t="e">
        <f>IF(AND(E457=Data!#REF!,Data!#REF!&lt;&gt;""),Data!#REF!,"")</f>
        <v>#REF!</v>
      </c>
      <c r="L457" s="65" t="e">
        <f>IF(E457=Data!#REF!,Data!#REF!,"")</f>
        <v>#REF!</v>
      </c>
      <c r="M457" s="65" t="e">
        <f>IF(E457=Data!#REF!,Data!#REF!,"")</f>
        <v>#REF!</v>
      </c>
      <c r="N457" s="66" t="e">
        <f>IF(AND(Data!#REF!&lt;&gt;"",Data!#REF!="Accept&amp;#233;"),Data!#REF!,"")</f>
        <v>#REF!</v>
      </c>
    </row>
    <row r="458" spans="1:14" ht="19.5" hidden="1" customHeight="1" x14ac:dyDescent="0.3">
      <c r="A458" s="59" t="e">
        <f>IF(AND(Data!#REF!&lt;&gt;"",Data!#REF!="Accept&amp;#233;"),Data!#REF!,"")</f>
        <v>#REF!</v>
      </c>
      <c r="B458" s="59" t="e">
        <f>IF(AND(Data!#REF!&lt;&gt;"",Data!#REF!="Accept&amp;#233;"),Data!#REF!,"")</f>
        <v>#REF!</v>
      </c>
      <c r="C458" s="60" t="e">
        <f t="shared" si="14"/>
        <v>#REF!</v>
      </c>
      <c r="D458" s="42" t="e">
        <f>IF(AND(Data!#REF!&lt;&gt;"",Data!#REF!="Accept&amp;#233;"),Data!#REF!,"")</f>
        <v>#REF!</v>
      </c>
      <c r="E458" s="61" t="e">
        <f>IF(AND(Data!#REF!&lt;&gt;"",Data!#REF!="Accept&amp;#233;"),Data!#REF!,"")</f>
        <v>#REF!</v>
      </c>
      <c r="F458" s="62" t="e">
        <f>IF(AND(Data!#REF!&lt;&gt;"",Data!#REF!="Accept&amp;#233;"),Data!#REF!,"")</f>
        <v>#REF!</v>
      </c>
      <c r="G458" s="63" t="e">
        <f>IF(Data!#REF!='Delivery Plan'!E458,Data!#REF!,"")</f>
        <v>#REF!</v>
      </c>
      <c r="H458" s="51"/>
      <c r="I458" s="60" t="e">
        <f t="shared" si="15"/>
        <v>#REF!</v>
      </c>
      <c r="J458" s="42" t="e">
        <f>IF(AND(E458=Data!#REF!,Data!#REF!&lt;&gt;""),Data!#REF!,"")</f>
        <v>#REF!</v>
      </c>
      <c r="K458" s="64" t="e">
        <f>IF(AND(E458=Data!#REF!,Data!#REF!&lt;&gt;""),Data!#REF!,"")</f>
        <v>#REF!</v>
      </c>
      <c r="L458" s="65" t="e">
        <f>IF(E458=Data!#REF!,Data!#REF!,"")</f>
        <v>#REF!</v>
      </c>
      <c r="M458" s="65" t="e">
        <f>IF(E458=Data!#REF!,Data!#REF!,"")</f>
        <v>#REF!</v>
      </c>
      <c r="N458" s="66" t="e">
        <f>IF(AND(Data!#REF!&lt;&gt;"",Data!#REF!="Accept&amp;#233;"),Data!#REF!,"")</f>
        <v>#REF!</v>
      </c>
    </row>
    <row r="459" spans="1:14" ht="19.5" hidden="1" customHeight="1" x14ac:dyDescent="0.3">
      <c r="A459" s="59" t="e">
        <f>IF(AND(Data!#REF!&lt;&gt;"",Data!#REF!="Accept&amp;#233;"),Data!#REF!,"")</f>
        <v>#REF!</v>
      </c>
      <c r="B459" s="59" t="e">
        <f>IF(AND(Data!#REF!&lt;&gt;"",Data!#REF!="Accept&amp;#233;"),Data!#REF!,"")</f>
        <v>#REF!</v>
      </c>
      <c r="C459" s="60" t="e">
        <f t="shared" si="14"/>
        <v>#REF!</v>
      </c>
      <c r="D459" s="42" t="e">
        <f>IF(AND(Data!#REF!&lt;&gt;"",Data!#REF!="Accept&amp;#233;"),Data!#REF!,"")</f>
        <v>#REF!</v>
      </c>
      <c r="E459" s="61" t="e">
        <f>IF(AND(Data!#REF!&lt;&gt;"",Data!#REF!="Accept&amp;#233;"),Data!#REF!,"")</f>
        <v>#REF!</v>
      </c>
      <c r="F459" s="62" t="e">
        <f>IF(AND(Data!#REF!&lt;&gt;"",Data!#REF!="Accept&amp;#233;"),Data!#REF!,"")</f>
        <v>#REF!</v>
      </c>
      <c r="G459" s="63" t="e">
        <f>IF(Data!#REF!='Delivery Plan'!E459,Data!#REF!,"")</f>
        <v>#REF!</v>
      </c>
      <c r="H459" s="51"/>
      <c r="I459" s="60" t="e">
        <f t="shared" si="15"/>
        <v>#REF!</v>
      </c>
      <c r="J459" s="42" t="e">
        <f>IF(AND(E459=Data!#REF!,Data!#REF!&lt;&gt;""),Data!#REF!,"")</f>
        <v>#REF!</v>
      </c>
      <c r="K459" s="64" t="e">
        <f>IF(AND(E459=Data!#REF!,Data!#REF!&lt;&gt;""),Data!#REF!,"")</f>
        <v>#REF!</v>
      </c>
      <c r="L459" s="65" t="e">
        <f>IF(E459=Data!#REF!,Data!#REF!,"")</f>
        <v>#REF!</v>
      </c>
      <c r="M459" s="65" t="e">
        <f>IF(E459=Data!#REF!,Data!#REF!,"")</f>
        <v>#REF!</v>
      </c>
      <c r="N459" s="66" t="e">
        <f>IF(AND(Data!#REF!&lt;&gt;"",Data!#REF!="Accept&amp;#233;"),Data!#REF!,"")</f>
        <v>#REF!</v>
      </c>
    </row>
    <row r="460" spans="1:14" ht="19.5" hidden="1" customHeight="1" x14ac:dyDescent="0.3">
      <c r="A460" s="59" t="e">
        <f>IF(AND(Data!#REF!&lt;&gt;"",Data!#REF!="Accept&amp;#233;"),Data!#REF!,"")</f>
        <v>#REF!</v>
      </c>
      <c r="B460" s="59" t="e">
        <f>IF(AND(Data!#REF!&lt;&gt;"",Data!#REF!="Accept&amp;#233;"),Data!#REF!,"")</f>
        <v>#REF!</v>
      </c>
      <c r="C460" s="60" t="e">
        <f t="shared" si="14"/>
        <v>#REF!</v>
      </c>
      <c r="D460" s="42" t="e">
        <f>IF(AND(Data!#REF!&lt;&gt;"",Data!#REF!="Accept&amp;#233;"),Data!#REF!,"")</f>
        <v>#REF!</v>
      </c>
      <c r="E460" s="61" t="e">
        <f>IF(AND(Data!#REF!&lt;&gt;"",Data!#REF!="Accept&amp;#233;"),Data!#REF!,"")</f>
        <v>#REF!</v>
      </c>
      <c r="F460" s="62" t="e">
        <f>IF(AND(Data!#REF!&lt;&gt;"",Data!#REF!="Accept&amp;#233;"),Data!#REF!,"")</f>
        <v>#REF!</v>
      </c>
      <c r="G460" s="63" t="e">
        <f>IF(Data!#REF!='Delivery Plan'!E460,Data!#REF!,"")</f>
        <v>#REF!</v>
      </c>
      <c r="H460" s="51"/>
      <c r="I460" s="60" t="e">
        <f t="shared" si="15"/>
        <v>#REF!</v>
      </c>
      <c r="J460" s="42" t="e">
        <f>IF(AND(E460=Data!#REF!,Data!#REF!&lt;&gt;""),Data!#REF!,"")</f>
        <v>#REF!</v>
      </c>
      <c r="K460" s="64" t="e">
        <f>IF(AND(E460=Data!#REF!,Data!#REF!&lt;&gt;""),Data!#REF!,"")</f>
        <v>#REF!</v>
      </c>
      <c r="L460" s="65" t="e">
        <f>IF(E460=Data!#REF!,Data!#REF!,"")</f>
        <v>#REF!</v>
      </c>
      <c r="M460" s="65" t="e">
        <f>IF(E460=Data!#REF!,Data!#REF!,"")</f>
        <v>#REF!</v>
      </c>
      <c r="N460" s="66" t="e">
        <f>IF(AND(Data!#REF!&lt;&gt;"",Data!#REF!="Accept&amp;#233;"),Data!#REF!,"")</f>
        <v>#REF!</v>
      </c>
    </row>
    <row r="461" spans="1:14" ht="19.5" hidden="1" customHeight="1" x14ac:dyDescent="0.3">
      <c r="A461" s="59" t="e">
        <f>IF(AND(Data!#REF!&lt;&gt;"",Data!#REF!="Accept&amp;#233;"),Data!#REF!,"")</f>
        <v>#REF!</v>
      </c>
      <c r="B461" s="59" t="e">
        <f>IF(AND(Data!#REF!&lt;&gt;"",Data!#REF!="Accept&amp;#233;"),Data!#REF!,"")</f>
        <v>#REF!</v>
      </c>
      <c r="C461" s="60" t="e">
        <f t="shared" si="14"/>
        <v>#REF!</v>
      </c>
      <c r="D461" s="42" t="e">
        <f>IF(AND(Data!#REF!&lt;&gt;"",Data!#REF!="Accept&amp;#233;"),Data!#REF!,"")</f>
        <v>#REF!</v>
      </c>
      <c r="E461" s="61" t="e">
        <f>IF(AND(Data!#REF!&lt;&gt;"",Data!#REF!="Accept&amp;#233;"),Data!#REF!,"")</f>
        <v>#REF!</v>
      </c>
      <c r="F461" s="62" t="e">
        <f>IF(AND(Data!#REF!&lt;&gt;"",Data!#REF!="Accept&amp;#233;"),Data!#REF!,"")</f>
        <v>#REF!</v>
      </c>
      <c r="G461" s="63" t="e">
        <f>IF(Data!#REF!='Delivery Plan'!E461,Data!#REF!,"")</f>
        <v>#REF!</v>
      </c>
      <c r="H461" s="51"/>
      <c r="I461" s="60" t="e">
        <f t="shared" si="15"/>
        <v>#REF!</v>
      </c>
      <c r="J461" s="42" t="e">
        <f>IF(AND(E461=Data!#REF!,Data!#REF!&lt;&gt;""),Data!#REF!,"")</f>
        <v>#REF!</v>
      </c>
      <c r="K461" s="64" t="e">
        <f>IF(AND(E461=Data!#REF!,Data!#REF!&lt;&gt;""),Data!#REF!,"")</f>
        <v>#REF!</v>
      </c>
      <c r="L461" s="65" t="e">
        <f>IF(E461=Data!#REF!,Data!#REF!,"")</f>
        <v>#REF!</v>
      </c>
      <c r="M461" s="65" t="e">
        <f>IF(E461=Data!#REF!,Data!#REF!,"")</f>
        <v>#REF!</v>
      </c>
      <c r="N461" s="66" t="e">
        <f>IF(AND(Data!#REF!&lt;&gt;"",Data!#REF!="Accept&amp;#233;"),Data!#REF!,"")</f>
        <v>#REF!</v>
      </c>
    </row>
    <row r="462" spans="1:14" ht="19.5" hidden="1" customHeight="1" x14ac:dyDescent="0.3">
      <c r="A462" s="59" t="e">
        <f>IF(AND(Data!#REF!&lt;&gt;"",Data!#REF!="Accept&amp;#233;"),Data!#REF!,"")</f>
        <v>#REF!</v>
      </c>
      <c r="B462" s="59" t="e">
        <f>IF(AND(Data!#REF!&lt;&gt;"",Data!#REF!="Accept&amp;#233;"),Data!#REF!,"")</f>
        <v>#REF!</v>
      </c>
      <c r="C462" s="60" t="e">
        <f t="shared" si="14"/>
        <v>#REF!</v>
      </c>
      <c r="D462" s="42" t="e">
        <f>IF(AND(Data!#REF!&lt;&gt;"",Data!#REF!="Accept&amp;#233;"),Data!#REF!,"")</f>
        <v>#REF!</v>
      </c>
      <c r="E462" s="61" t="e">
        <f>IF(AND(Data!#REF!&lt;&gt;"",Data!#REF!="Accept&amp;#233;"),Data!#REF!,"")</f>
        <v>#REF!</v>
      </c>
      <c r="F462" s="62" t="e">
        <f>IF(AND(Data!#REF!&lt;&gt;"",Data!#REF!="Accept&amp;#233;"),Data!#REF!,"")</f>
        <v>#REF!</v>
      </c>
      <c r="G462" s="63" t="e">
        <f>IF(Data!#REF!='Delivery Plan'!E462,Data!#REF!,"")</f>
        <v>#REF!</v>
      </c>
      <c r="H462" s="51"/>
      <c r="I462" s="60" t="e">
        <f t="shared" si="15"/>
        <v>#REF!</v>
      </c>
      <c r="J462" s="42" t="e">
        <f>IF(AND(E462=Data!#REF!,Data!#REF!&lt;&gt;""),Data!#REF!,"")</f>
        <v>#REF!</v>
      </c>
      <c r="K462" s="64" t="e">
        <f>IF(AND(E462=Data!#REF!,Data!#REF!&lt;&gt;""),Data!#REF!,"")</f>
        <v>#REF!</v>
      </c>
      <c r="L462" s="65" t="e">
        <f>IF(E462=Data!#REF!,Data!#REF!,"")</f>
        <v>#REF!</v>
      </c>
      <c r="M462" s="65" t="e">
        <f>IF(E462=Data!#REF!,Data!#REF!,"")</f>
        <v>#REF!</v>
      </c>
      <c r="N462" s="66" t="e">
        <f>IF(AND(Data!#REF!&lt;&gt;"",Data!#REF!="Accept&amp;#233;"),Data!#REF!,"")</f>
        <v>#REF!</v>
      </c>
    </row>
    <row r="463" spans="1:14" ht="19.5" hidden="1" customHeight="1" x14ac:dyDescent="0.3">
      <c r="A463" s="59" t="e">
        <f>IF(AND(Data!#REF!&lt;&gt;"",Data!#REF!="Accept&amp;#233;"),Data!#REF!,"")</f>
        <v>#REF!</v>
      </c>
      <c r="B463" s="59" t="e">
        <f>IF(AND(Data!#REF!&lt;&gt;"",Data!#REF!="Accept&amp;#233;"),Data!#REF!,"")</f>
        <v>#REF!</v>
      </c>
      <c r="C463" s="60" t="e">
        <f t="shared" si="14"/>
        <v>#REF!</v>
      </c>
      <c r="D463" s="42" t="e">
        <f>IF(AND(Data!#REF!&lt;&gt;"",Data!#REF!="Accept&amp;#233;"),Data!#REF!,"")</f>
        <v>#REF!</v>
      </c>
      <c r="E463" s="61" t="e">
        <f>IF(AND(Data!#REF!&lt;&gt;"",Data!#REF!="Accept&amp;#233;"),Data!#REF!,"")</f>
        <v>#REF!</v>
      </c>
      <c r="F463" s="62" t="e">
        <f>IF(AND(Data!#REF!&lt;&gt;"",Data!#REF!="Accept&amp;#233;"),Data!#REF!,"")</f>
        <v>#REF!</v>
      </c>
      <c r="G463" s="63" t="e">
        <f>IF(Data!#REF!='Delivery Plan'!E463,Data!#REF!,"")</f>
        <v>#REF!</v>
      </c>
      <c r="H463" s="51"/>
      <c r="I463" s="60" t="e">
        <f t="shared" si="15"/>
        <v>#REF!</v>
      </c>
      <c r="J463" s="42" t="e">
        <f>IF(AND(E463=Data!#REF!,Data!#REF!&lt;&gt;""),Data!#REF!,"")</f>
        <v>#REF!</v>
      </c>
      <c r="K463" s="64" t="e">
        <f>IF(AND(E463=Data!#REF!,Data!#REF!&lt;&gt;""),Data!#REF!,"")</f>
        <v>#REF!</v>
      </c>
      <c r="L463" s="65" t="e">
        <f>IF(E463=Data!#REF!,Data!#REF!,"")</f>
        <v>#REF!</v>
      </c>
      <c r="M463" s="65" t="e">
        <f>IF(E463=Data!#REF!,Data!#REF!,"")</f>
        <v>#REF!</v>
      </c>
      <c r="N463" s="66" t="e">
        <f>IF(AND(Data!#REF!&lt;&gt;"",Data!#REF!="Accept&amp;#233;"),Data!#REF!,"")</f>
        <v>#REF!</v>
      </c>
    </row>
    <row r="464" spans="1:14" ht="19.5" hidden="1" customHeight="1" x14ac:dyDescent="0.3">
      <c r="A464" s="59" t="e">
        <f>IF(AND(Data!#REF!&lt;&gt;"",Data!#REF!="Accept&amp;#233;"),Data!#REF!,"")</f>
        <v>#REF!</v>
      </c>
      <c r="B464" s="59" t="e">
        <f>IF(AND(Data!#REF!&lt;&gt;"",Data!#REF!="Accept&amp;#233;"),Data!#REF!,"")</f>
        <v>#REF!</v>
      </c>
      <c r="C464" s="60" t="e">
        <f t="shared" si="14"/>
        <v>#REF!</v>
      </c>
      <c r="D464" s="42" t="e">
        <f>IF(AND(Data!#REF!&lt;&gt;"",Data!#REF!="Accept&amp;#233;"),Data!#REF!,"")</f>
        <v>#REF!</v>
      </c>
      <c r="E464" s="61" t="e">
        <f>IF(AND(Data!#REF!&lt;&gt;"",Data!#REF!="Accept&amp;#233;"),Data!#REF!,"")</f>
        <v>#REF!</v>
      </c>
      <c r="F464" s="62" t="e">
        <f>IF(AND(Data!#REF!&lt;&gt;"",Data!#REF!="Accept&amp;#233;"),Data!#REF!,"")</f>
        <v>#REF!</v>
      </c>
      <c r="G464" s="63" t="e">
        <f>IF(Data!#REF!='Delivery Plan'!E464,Data!#REF!,"")</f>
        <v>#REF!</v>
      </c>
      <c r="H464" s="51"/>
      <c r="I464" s="60" t="e">
        <f t="shared" si="15"/>
        <v>#REF!</v>
      </c>
      <c r="J464" s="42" t="e">
        <f>IF(AND(E464=Data!#REF!,Data!#REF!&lt;&gt;""),Data!#REF!,"")</f>
        <v>#REF!</v>
      </c>
      <c r="K464" s="64" t="e">
        <f>IF(AND(E464=Data!#REF!,Data!#REF!&lt;&gt;""),Data!#REF!,"")</f>
        <v>#REF!</v>
      </c>
      <c r="L464" s="65" t="e">
        <f>IF(E464=Data!#REF!,Data!#REF!,"")</f>
        <v>#REF!</v>
      </c>
      <c r="M464" s="65" t="e">
        <f>IF(E464=Data!#REF!,Data!#REF!,"")</f>
        <v>#REF!</v>
      </c>
      <c r="N464" s="66" t="e">
        <f>IF(AND(Data!#REF!&lt;&gt;"",Data!#REF!="Accept&amp;#233;"),Data!#REF!,"")</f>
        <v>#REF!</v>
      </c>
    </row>
    <row r="465" spans="1:14" ht="19.5" hidden="1" customHeight="1" x14ac:dyDescent="0.3">
      <c r="A465" s="59" t="e">
        <f>IF(AND(Data!#REF!&lt;&gt;"",Data!#REF!="Accept&amp;#233;"),Data!#REF!,"")</f>
        <v>#REF!</v>
      </c>
      <c r="B465" s="59" t="e">
        <f>IF(AND(Data!#REF!&lt;&gt;"",Data!#REF!="Accept&amp;#233;"),Data!#REF!,"")</f>
        <v>#REF!</v>
      </c>
      <c r="C465" s="60" t="e">
        <f t="shared" si="14"/>
        <v>#REF!</v>
      </c>
      <c r="D465" s="42" t="e">
        <f>IF(AND(Data!#REF!&lt;&gt;"",Data!#REF!="Accept&amp;#233;"),Data!#REF!,"")</f>
        <v>#REF!</v>
      </c>
      <c r="E465" s="61" t="e">
        <f>IF(AND(Data!#REF!&lt;&gt;"",Data!#REF!="Accept&amp;#233;"),Data!#REF!,"")</f>
        <v>#REF!</v>
      </c>
      <c r="F465" s="62" t="e">
        <f>IF(AND(Data!#REF!&lt;&gt;"",Data!#REF!="Accept&amp;#233;"),Data!#REF!,"")</f>
        <v>#REF!</v>
      </c>
      <c r="G465" s="63" t="e">
        <f>IF(Data!#REF!='Delivery Plan'!E465,Data!#REF!,"")</f>
        <v>#REF!</v>
      </c>
      <c r="H465" s="51"/>
      <c r="I465" s="60" t="e">
        <f t="shared" si="15"/>
        <v>#REF!</v>
      </c>
      <c r="J465" s="42" t="e">
        <f>IF(AND(E465=Data!#REF!,Data!#REF!&lt;&gt;""),Data!#REF!,"")</f>
        <v>#REF!</v>
      </c>
      <c r="K465" s="64" t="e">
        <f>IF(AND(E465=Data!#REF!,Data!#REF!&lt;&gt;""),Data!#REF!,"")</f>
        <v>#REF!</v>
      </c>
      <c r="L465" s="65" t="e">
        <f>IF(E465=Data!#REF!,Data!#REF!,"")</f>
        <v>#REF!</v>
      </c>
      <c r="M465" s="65" t="e">
        <f>IF(E465=Data!#REF!,Data!#REF!,"")</f>
        <v>#REF!</v>
      </c>
      <c r="N465" s="66" t="e">
        <f>IF(AND(Data!#REF!&lt;&gt;"",Data!#REF!="Accept&amp;#233;"),Data!#REF!,"")</f>
        <v>#REF!</v>
      </c>
    </row>
    <row r="466" spans="1:14" ht="19.5" hidden="1" customHeight="1" x14ac:dyDescent="0.3">
      <c r="A466" s="59" t="e">
        <f>IF(AND(Data!#REF!&lt;&gt;"",Data!#REF!="Accept&amp;#233;"),Data!#REF!,"")</f>
        <v>#REF!</v>
      </c>
      <c r="B466" s="59" t="e">
        <f>IF(AND(Data!#REF!&lt;&gt;"",Data!#REF!="Accept&amp;#233;"),Data!#REF!,"")</f>
        <v>#REF!</v>
      </c>
      <c r="C466" s="60" t="e">
        <f t="shared" si="14"/>
        <v>#REF!</v>
      </c>
      <c r="D466" s="42" t="e">
        <f>IF(AND(Data!#REF!&lt;&gt;"",Data!#REF!="Accept&amp;#233;"),Data!#REF!,"")</f>
        <v>#REF!</v>
      </c>
      <c r="E466" s="61" t="e">
        <f>IF(AND(Data!#REF!&lt;&gt;"",Data!#REF!="Accept&amp;#233;"),Data!#REF!,"")</f>
        <v>#REF!</v>
      </c>
      <c r="F466" s="62" t="e">
        <f>IF(AND(Data!#REF!&lt;&gt;"",Data!#REF!="Accept&amp;#233;"),Data!#REF!,"")</f>
        <v>#REF!</v>
      </c>
      <c r="G466" s="63" t="e">
        <f>IF(Data!#REF!='Delivery Plan'!E466,Data!#REF!,"")</f>
        <v>#REF!</v>
      </c>
      <c r="H466" s="51"/>
      <c r="I466" s="60" t="e">
        <f t="shared" si="15"/>
        <v>#REF!</v>
      </c>
      <c r="J466" s="42" t="e">
        <f>IF(AND(E466=Data!#REF!,Data!#REF!&lt;&gt;""),Data!#REF!,"")</f>
        <v>#REF!</v>
      </c>
      <c r="K466" s="64" t="e">
        <f>IF(AND(E466=Data!#REF!,Data!#REF!&lt;&gt;""),Data!#REF!,"")</f>
        <v>#REF!</v>
      </c>
      <c r="L466" s="65" t="e">
        <f>IF(E466=Data!#REF!,Data!#REF!,"")</f>
        <v>#REF!</v>
      </c>
      <c r="M466" s="65" t="e">
        <f>IF(E466=Data!#REF!,Data!#REF!,"")</f>
        <v>#REF!</v>
      </c>
      <c r="N466" s="66" t="e">
        <f>IF(AND(Data!#REF!&lt;&gt;"",Data!#REF!="Accept&amp;#233;"),Data!#REF!,"")</f>
        <v>#REF!</v>
      </c>
    </row>
    <row r="467" spans="1:14" ht="19.5" hidden="1" customHeight="1" x14ac:dyDescent="0.3">
      <c r="A467" s="59" t="e">
        <f>IF(AND(Data!#REF!&lt;&gt;"",Data!#REF!="Accept&amp;#233;"),Data!#REF!,"")</f>
        <v>#REF!</v>
      </c>
      <c r="B467" s="59" t="e">
        <f>IF(AND(Data!#REF!&lt;&gt;"",Data!#REF!="Accept&amp;#233;"),Data!#REF!,"")</f>
        <v>#REF!</v>
      </c>
      <c r="C467" s="60" t="e">
        <f t="shared" si="14"/>
        <v>#REF!</v>
      </c>
      <c r="D467" s="42" t="e">
        <f>IF(AND(Data!#REF!&lt;&gt;"",Data!#REF!="Accept&amp;#233;"),Data!#REF!,"")</f>
        <v>#REF!</v>
      </c>
      <c r="E467" s="61" t="e">
        <f>IF(AND(Data!#REF!&lt;&gt;"",Data!#REF!="Accept&amp;#233;"),Data!#REF!,"")</f>
        <v>#REF!</v>
      </c>
      <c r="F467" s="62" t="e">
        <f>IF(AND(Data!#REF!&lt;&gt;"",Data!#REF!="Accept&amp;#233;"),Data!#REF!,"")</f>
        <v>#REF!</v>
      </c>
      <c r="G467" s="63" t="e">
        <f>IF(Data!#REF!='Delivery Plan'!E467,Data!#REF!,"")</f>
        <v>#REF!</v>
      </c>
      <c r="H467" s="51"/>
      <c r="I467" s="60" t="e">
        <f t="shared" si="15"/>
        <v>#REF!</v>
      </c>
      <c r="J467" s="42" t="e">
        <f>IF(AND(E467=Data!#REF!,Data!#REF!&lt;&gt;""),Data!#REF!,"")</f>
        <v>#REF!</v>
      </c>
      <c r="K467" s="64" t="e">
        <f>IF(AND(E467=Data!#REF!,Data!#REF!&lt;&gt;""),Data!#REF!,"")</f>
        <v>#REF!</v>
      </c>
      <c r="L467" s="65" t="e">
        <f>IF(E467=Data!#REF!,Data!#REF!,"")</f>
        <v>#REF!</v>
      </c>
      <c r="M467" s="65" t="e">
        <f>IF(E467=Data!#REF!,Data!#REF!,"")</f>
        <v>#REF!</v>
      </c>
      <c r="N467" s="66" t="e">
        <f>IF(AND(Data!#REF!&lt;&gt;"",Data!#REF!="Accept&amp;#233;"),Data!#REF!,"")</f>
        <v>#REF!</v>
      </c>
    </row>
    <row r="468" spans="1:14" ht="19.5" hidden="1" customHeight="1" x14ac:dyDescent="0.3">
      <c r="A468" s="59" t="e">
        <f>IF(AND(Data!#REF!&lt;&gt;"",Data!#REF!="Accept&amp;#233;"),Data!#REF!,"")</f>
        <v>#REF!</v>
      </c>
      <c r="B468" s="59" t="e">
        <f>IF(AND(Data!#REF!&lt;&gt;"",Data!#REF!="Accept&amp;#233;"),Data!#REF!,"")</f>
        <v>#REF!</v>
      </c>
      <c r="C468" s="60" t="e">
        <f t="shared" si="14"/>
        <v>#REF!</v>
      </c>
      <c r="D468" s="42" t="e">
        <f>IF(AND(Data!#REF!&lt;&gt;"",Data!#REF!="Accept&amp;#233;"),Data!#REF!,"")</f>
        <v>#REF!</v>
      </c>
      <c r="E468" s="61" t="e">
        <f>IF(AND(Data!#REF!&lt;&gt;"",Data!#REF!="Accept&amp;#233;"),Data!#REF!,"")</f>
        <v>#REF!</v>
      </c>
      <c r="F468" s="62" t="e">
        <f>IF(AND(Data!#REF!&lt;&gt;"",Data!#REF!="Accept&amp;#233;"),Data!#REF!,"")</f>
        <v>#REF!</v>
      </c>
      <c r="G468" s="63" t="e">
        <f>IF(Data!#REF!='Delivery Plan'!E468,Data!#REF!,"")</f>
        <v>#REF!</v>
      </c>
      <c r="H468" s="51"/>
      <c r="I468" s="60" t="e">
        <f t="shared" si="15"/>
        <v>#REF!</v>
      </c>
      <c r="J468" s="42" t="e">
        <f>IF(AND(E468=Data!#REF!,Data!#REF!&lt;&gt;""),Data!#REF!,"")</f>
        <v>#REF!</v>
      </c>
      <c r="K468" s="64" t="e">
        <f>IF(AND(E468=Data!#REF!,Data!#REF!&lt;&gt;""),Data!#REF!,"")</f>
        <v>#REF!</v>
      </c>
      <c r="L468" s="65" t="e">
        <f>IF(E468=Data!#REF!,Data!#REF!,"")</f>
        <v>#REF!</v>
      </c>
      <c r="M468" s="65" t="e">
        <f>IF(E468=Data!#REF!,Data!#REF!,"")</f>
        <v>#REF!</v>
      </c>
      <c r="N468" s="66" t="e">
        <f>IF(AND(Data!#REF!&lt;&gt;"",Data!#REF!="Accept&amp;#233;"),Data!#REF!,"")</f>
        <v>#REF!</v>
      </c>
    </row>
    <row r="469" spans="1:14" ht="19.5" hidden="1" customHeight="1" x14ac:dyDescent="0.3">
      <c r="A469" s="59" t="e">
        <f>IF(AND(Data!#REF!&lt;&gt;"",Data!#REF!="Accept&amp;#233;"),Data!#REF!,"")</f>
        <v>#REF!</v>
      </c>
      <c r="B469" s="59" t="e">
        <f>IF(AND(Data!#REF!&lt;&gt;"",Data!#REF!="Accept&amp;#233;"),Data!#REF!,"")</f>
        <v>#REF!</v>
      </c>
      <c r="C469" s="60" t="e">
        <f t="shared" si="14"/>
        <v>#REF!</v>
      </c>
      <c r="D469" s="42" t="e">
        <f>IF(AND(Data!#REF!&lt;&gt;"",Data!#REF!="Accept&amp;#233;"),Data!#REF!,"")</f>
        <v>#REF!</v>
      </c>
      <c r="E469" s="61" t="e">
        <f>IF(AND(Data!#REF!&lt;&gt;"",Data!#REF!="Accept&amp;#233;"),Data!#REF!,"")</f>
        <v>#REF!</v>
      </c>
      <c r="F469" s="62" t="e">
        <f>IF(AND(Data!#REF!&lt;&gt;"",Data!#REF!="Accept&amp;#233;"),Data!#REF!,"")</f>
        <v>#REF!</v>
      </c>
      <c r="G469" s="63" t="e">
        <f>IF(Data!#REF!='Delivery Plan'!E469,Data!#REF!,"")</f>
        <v>#REF!</v>
      </c>
      <c r="H469" s="51"/>
      <c r="I469" s="60" t="e">
        <f t="shared" si="15"/>
        <v>#REF!</v>
      </c>
      <c r="J469" s="42" t="e">
        <f>IF(AND(E469=Data!#REF!,Data!#REF!&lt;&gt;""),Data!#REF!,"")</f>
        <v>#REF!</v>
      </c>
      <c r="K469" s="64" t="e">
        <f>IF(AND(E469=Data!#REF!,Data!#REF!&lt;&gt;""),Data!#REF!,"")</f>
        <v>#REF!</v>
      </c>
      <c r="L469" s="65" t="e">
        <f>IF(E469=Data!#REF!,Data!#REF!,"")</f>
        <v>#REF!</v>
      </c>
      <c r="M469" s="65" t="e">
        <f>IF(E469=Data!#REF!,Data!#REF!,"")</f>
        <v>#REF!</v>
      </c>
      <c r="N469" s="66" t="e">
        <f>IF(AND(Data!#REF!&lt;&gt;"",Data!#REF!="Accept&amp;#233;"),Data!#REF!,"")</f>
        <v>#REF!</v>
      </c>
    </row>
    <row r="470" spans="1:14" ht="19.5" hidden="1" customHeight="1" x14ac:dyDescent="0.3">
      <c r="A470" s="59" t="e">
        <f>IF(AND(Data!#REF!&lt;&gt;"",Data!#REF!="Accept&amp;#233;"),Data!#REF!,"")</f>
        <v>#REF!</v>
      </c>
      <c r="B470" s="59" t="e">
        <f>IF(AND(Data!#REF!&lt;&gt;"",Data!#REF!="Accept&amp;#233;"),Data!#REF!,"")</f>
        <v>#REF!</v>
      </c>
      <c r="C470" s="60" t="e">
        <f t="shared" si="14"/>
        <v>#REF!</v>
      </c>
      <c r="D470" s="42" t="e">
        <f>IF(AND(Data!#REF!&lt;&gt;"",Data!#REF!="Accept&amp;#233;"),Data!#REF!,"")</f>
        <v>#REF!</v>
      </c>
      <c r="E470" s="61" t="e">
        <f>IF(AND(Data!#REF!&lt;&gt;"",Data!#REF!="Accept&amp;#233;"),Data!#REF!,"")</f>
        <v>#REF!</v>
      </c>
      <c r="F470" s="62" t="e">
        <f>IF(AND(Data!#REF!&lt;&gt;"",Data!#REF!="Accept&amp;#233;"),Data!#REF!,"")</f>
        <v>#REF!</v>
      </c>
      <c r="G470" s="63" t="e">
        <f>IF(Data!#REF!='Delivery Plan'!E470,Data!#REF!,"")</f>
        <v>#REF!</v>
      </c>
      <c r="H470" s="51"/>
      <c r="I470" s="60" t="e">
        <f t="shared" si="15"/>
        <v>#REF!</v>
      </c>
      <c r="J470" s="42" t="e">
        <f>IF(AND(E470=Data!#REF!,Data!#REF!&lt;&gt;""),Data!#REF!,"")</f>
        <v>#REF!</v>
      </c>
      <c r="K470" s="64" t="e">
        <f>IF(AND(E470=Data!#REF!,Data!#REF!&lt;&gt;""),Data!#REF!,"")</f>
        <v>#REF!</v>
      </c>
      <c r="L470" s="65" t="e">
        <f>IF(E470=Data!#REF!,Data!#REF!,"")</f>
        <v>#REF!</v>
      </c>
      <c r="M470" s="65" t="e">
        <f>IF(E470=Data!#REF!,Data!#REF!,"")</f>
        <v>#REF!</v>
      </c>
      <c r="N470" s="66" t="e">
        <f>IF(AND(Data!#REF!&lt;&gt;"",Data!#REF!="Accept&amp;#233;"),Data!#REF!,"")</f>
        <v>#REF!</v>
      </c>
    </row>
    <row r="471" spans="1:14" ht="19.5" hidden="1" customHeight="1" x14ac:dyDescent="0.3">
      <c r="A471" s="59" t="e">
        <f>IF(AND(Data!#REF!&lt;&gt;"",Data!#REF!="Accept&amp;#233;"),Data!#REF!,"")</f>
        <v>#REF!</v>
      </c>
      <c r="B471" s="59" t="e">
        <f>IF(AND(Data!#REF!&lt;&gt;"",Data!#REF!="Accept&amp;#233;"),Data!#REF!,"")</f>
        <v>#REF!</v>
      </c>
      <c r="C471" s="60" t="e">
        <f t="shared" si="14"/>
        <v>#REF!</v>
      </c>
      <c r="D471" s="42" t="e">
        <f>IF(AND(Data!#REF!&lt;&gt;"",Data!#REF!="Accept&amp;#233;"),Data!#REF!,"")</f>
        <v>#REF!</v>
      </c>
      <c r="E471" s="61" t="e">
        <f>IF(AND(Data!#REF!&lt;&gt;"",Data!#REF!="Accept&amp;#233;"),Data!#REF!,"")</f>
        <v>#REF!</v>
      </c>
      <c r="F471" s="62" t="e">
        <f>IF(AND(Data!#REF!&lt;&gt;"",Data!#REF!="Accept&amp;#233;"),Data!#REF!,"")</f>
        <v>#REF!</v>
      </c>
      <c r="G471" s="63" t="e">
        <f>IF(Data!#REF!='Delivery Plan'!E471,Data!#REF!,"")</f>
        <v>#REF!</v>
      </c>
      <c r="H471" s="51"/>
      <c r="I471" s="60" t="e">
        <f t="shared" si="15"/>
        <v>#REF!</v>
      </c>
      <c r="J471" s="42" t="e">
        <f>IF(AND(E471=Data!#REF!,Data!#REF!&lt;&gt;""),Data!#REF!,"")</f>
        <v>#REF!</v>
      </c>
      <c r="K471" s="64" t="e">
        <f>IF(AND(E471=Data!#REF!,Data!#REF!&lt;&gt;""),Data!#REF!,"")</f>
        <v>#REF!</v>
      </c>
      <c r="L471" s="65" t="e">
        <f>IF(E471=Data!#REF!,Data!#REF!,"")</f>
        <v>#REF!</v>
      </c>
      <c r="M471" s="65" t="e">
        <f>IF(E471=Data!#REF!,Data!#REF!,"")</f>
        <v>#REF!</v>
      </c>
      <c r="N471" s="66" t="e">
        <f>IF(AND(Data!#REF!&lt;&gt;"",Data!#REF!="Accept&amp;#233;"),Data!#REF!,"")</f>
        <v>#REF!</v>
      </c>
    </row>
    <row r="472" spans="1:14" ht="19.5" hidden="1" customHeight="1" x14ac:dyDescent="0.3">
      <c r="A472" s="59" t="e">
        <f>IF(AND(Data!#REF!&lt;&gt;"",Data!#REF!="Accept&amp;#233;"),Data!#REF!,"")</f>
        <v>#REF!</v>
      </c>
      <c r="B472" s="59" t="e">
        <f>IF(AND(Data!#REF!&lt;&gt;"",Data!#REF!="Accept&amp;#233;"),Data!#REF!,"")</f>
        <v>#REF!</v>
      </c>
      <c r="C472" s="60" t="e">
        <f t="shared" si="14"/>
        <v>#REF!</v>
      </c>
      <c r="D472" s="42" t="e">
        <f>IF(AND(Data!#REF!&lt;&gt;"",Data!#REF!="Accept&amp;#233;"),Data!#REF!,"")</f>
        <v>#REF!</v>
      </c>
      <c r="E472" s="61" t="e">
        <f>IF(AND(Data!#REF!&lt;&gt;"",Data!#REF!="Accept&amp;#233;"),Data!#REF!,"")</f>
        <v>#REF!</v>
      </c>
      <c r="F472" s="62" t="e">
        <f>IF(AND(Data!#REF!&lt;&gt;"",Data!#REF!="Accept&amp;#233;"),Data!#REF!,"")</f>
        <v>#REF!</v>
      </c>
      <c r="G472" s="63" t="e">
        <f>IF(Data!#REF!='Delivery Plan'!E472,Data!#REF!,"")</f>
        <v>#REF!</v>
      </c>
      <c r="H472" s="51"/>
      <c r="I472" s="60" t="e">
        <f t="shared" si="15"/>
        <v>#REF!</v>
      </c>
      <c r="J472" s="42" t="e">
        <f>IF(AND(E472=Data!#REF!,Data!#REF!&lt;&gt;""),Data!#REF!,"")</f>
        <v>#REF!</v>
      </c>
      <c r="K472" s="64" t="e">
        <f>IF(AND(E472=Data!#REF!,Data!#REF!&lt;&gt;""),Data!#REF!,"")</f>
        <v>#REF!</v>
      </c>
      <c r="L472" s="65" t="e">
        <f>IF(E472=Data!#REF!,Data!#REF!,"")</f>
        <v>#REF!</v>
      </c>
      <c r="M472" s="65" t="e">
        <f>IF(E472=Data!#REF!,Data!#REF!,"")</f>
        <v>#REF!</v>
      </c>
      <c r="N472" s="66" t="e">
        <f>IF(AND(Data!#REF!&lt;&gt;"",Data!#REF!="Accept&amp;#233;"),Data!#REF!,"")</f>
        <v>#REF!</v>
      </c>
    </row>
    <row r="473" spans="1:14" ht="19.5" hidden="1" customHeight="1" x14ac:dyDescent="0.3">
      <c r="A473" s="59" t="e">
        <f>IF(AND(Data!#REF!&lt;&gt;"",Data!#REF!="Accept&amp;#233;"),Data!#REF!,"")</f>
        <v>#REF!</v>
      </c>
      <c r="B473" s="59" t="e">
        <f>IF(AND(Data!#REF!&lt;&gt;"",Data!#REF!="Accept&amp;#233;"),Data!#REF!,"")</f>
        <v>#REF!</v>
      </c>
      <c r="C473" s="60" t="e">
        <f t="shared" si="14"/>
        <v>#REF!</v>
      </c>
      <c r="D473" s="42" t="e">
        <f>IF(AND(Data!#REF!&lt;&gt;"",Data!#REF!="Accept&amp;#233;"),Data!#REF!,"")</f>
        <v>#REF!</v>
      </c>
      <c r="E473" s="61" t="e">
        <f>IF(AND(Data!#REF!&lt;&gt;"",Data!#REF!="Accept&amp;#233;"),Data!#REF!,"")</f>
        <v>#REF!</v>
      </c>
      <c r="F473" s="62" t="e">
        <f>IF(AND(Data!#REF!&lt;&gt;"",Data!#REF!="Accept&amp;#233;"),Data!#REF!,"")</f>
        <v>#REF!</v>
      </c>
      <c r="G473" s="63" t="e">
        <f>IF(Data!#REF!='Delivery Plan'!E473,Data!#REF!,"")</f>
        <v>#REF!</v>
      </c>
      <c r="H473" s="51"/>
      <c r="I473" s="60" t="e">
        <f t="shared" si="15"/>
        <v>#REF!</v>
      </c>
      <c r="J473" s="42" t="e">
        <f>IF(AND(E473=Data!#REF!,Data!#REF!&lt;&gt;""),Data!#REF!,"")</f>
        <v>#REF!</v>
      </c>
      <c r="K473" s="64" t="e">
        <f>IF(AND(E473=Data!#REF!,Data!#REF!&lt;&gt;""),Data!#REF!,"")</f>
        <v>#REF!</v>
      </c>
      <c r="L473" s="65" t="e">
        <f>IF(E473=Data!#REF!,Data!#REF!,"")</f>
        <v>#REF!</v>
      </c>
      <c r="M473" s="65" t="e">
        <f>IF(E473=Data!#REF!,Data!#REF!,"")</f>
        <v>#REF!</v>
      </c>
      <c r="N473" s="66" t="e">
        <f>IF(AND(Data!#REF!&lt;&gt;"",Data!#REF!="Accept&amp;#233;"),Data!#REF!,"")</f>
        <v>#REF!</v>
      </c>
    </row>
    <row r="474" spans="1:14" ht="19.5" hidden="1" customHeight="1" x14ac:dyDescent="0.3">
      <c r="A474" s="59" t="e">
        <f>IF(AND(Data!#REF!&lt;&gt;"",Data!#REF!="Accept&amp;#233;"),Data!#REF!,"")</f>
        <v>#REF!</v>
      </c>
      <c r="B474" s="59" t="e">
        <f>IF(AND(Data!#REF!&lt;&gt;"",Data!#REF!="Accept&amp;#233;"),Data!#REF!,"")</f>
        <v>#REF!</v>
      </c>
      <c r="C474" s="60" t="e">
        <f t="shared" si="14"/>
        <v>#REF!</v>
      </c>
      <c r="D474" s="42" t="e">
        <f>IF(AND(Data!#REF!&lt;&gt;"",Data!#REF!="Accept&amp;#233;"),Data!#REF!,"")</f>
        <v>#REF!</v>
      </c>
      <c r="E474" s="61" t="e">
        <f>IF(AND(Data!#REF!&lt;&gt;"",Data!#REF!="Accept&amp;#233;"),Data!#REF!,"")</f>
        <v>#REF!</v>
      </c>
      <c r="F474" s="62" t="e">
        <f>IF(AND(Data!#REF!&lt;&gt;"",Data!#REF!="Accept&amp;#233;"),Data!#REF!,"")</f>
        <v>#REF!</v>
      </c>
      <c r="G474" s="63" t="e">
        <f>IF(Data!#REF!='Delivery Plan'!E474,Data!#REF!,"")</f>
        <v>#REF!</v>
      </c>
      <c r="H474" s="51"/>
      <c r="I474" s="60" t="e">
        <f t="shared" si="15"/>
        <v>#REF!</v>
      </c>
      <c r="J474" s="42" t="e">
        <f>IF(AND(E474=Data!#REF!,Data!#REF!&lt;&gt;""),Data!#REF!,"")</f>
        <v>#REF!</v>
      </c>
      <c r="K474" s="64" t="e">
        <f>IF(AND(E474=Data!#REF!,Data!#REF!&lt;&gt;""),Data!#REF!,"")</f>
        <v>#REF!</v>
      </c>
      <c r="L474" s="65" t="e">
        <f>IF(E474=Data!#REF!,Data!#REF!,"")</f>
        <v>#REF!</v>
      </c>
      <c r="M474" s="65" t="e">
        <f>IF(E474=Data!#REF!,Data!#REF!,"")</f>
        <v>#REF!</v>
      </c>
      <c r="N474" s="66" t="e">
        <f>IF(AND(Data!#REF!&lt;&gt;"",Data!#REF!="Accept&amp;#233;"),Data!#REF!,"")</f>
        <v>#REF!</v>
      </c>
    </row>
    <row r="475" spans="1:14" ht="19.5" hidden="1" customHeight="1" x14ac:dyDescent="0.3">
      <c r="A475" s="59" t="e">
        <f>IF(AND(Data!#REF!&lt;&gt;"",Data!#REF!="Accept&amp;#233;"),Data!#REF!,"")</f>
        <v>#REF!</v>
      </c>
      <c r="B475" s="59" t="e">
        <f>IF(AND(Data!#REF!&lt;&gt;"",Data!#REF!="Accept&amp;#233;"),Data!#REF!,"")</f>
        <v>#REF!</v>
      </c>
      <c r="C475" s="60" t="e">
        <f t="shared" si="14"/>
        <v>#REF!</v>
      </c>
      <c r="D475" s="42" t="e">
        <f>IF(AND(Data!#REF!&lt;&gt;"",Data!#REF!="Accept&amp;#233;"),Data!#REF!,"")</f>
        <v>#REF!</v>
      </c>
      <c r="E475" s="61" t="e">
        <f>IF(AND(Data!#REF!&lt;&gt;"",Data!#REF!="Accept&amp;#233;"),Data!#REF!,"")</f>
        <v>#REF!</v>
      </c>
      <c r="F475" s="62" t="e">
        <f>IF(AND(Data!#REF!&lt;&gt;"",Data!#REF!="Accept&amp;#233;"),Data!#REF!,"")</f>
        <v>#REF!</v>
      </c>
      <c r="G475" s="63" t="e">
        <f>IF(Data!#REF!='Delivery Plan'!E475,Data!#REF!,"")</f>
        <v>#REF!</v>
      </c>
      <c r="H475" s="51"/>
      <c r="I475" s="60" t="e">
        <f t="shared" si="15"/>
        <v>#REF!</v>
      </c>
      <c r="J475" s="42" t="e">
        <f>IF(AND(E475=Data!#REF!,Data!#REF!&lt;&gt;""),Data!#REF!,"")</f>
        <v>#REF!</v>
      </c>
      <c r="K475" s="64" t="e">
        <f>IF(AND(E475=Data!#REF!,Data!#REF!&lt;&gt;""),Data!#REF!,"")</f>
        <v>#REF!</v>
      </c>
      <c r="L475" s="65" t="e">
        <f>IF(E475=Data!#REF!,Data!#REF!,"")</f>
        <v>#REF!</v>
      </c>
      <c r="M475" s="65" t="e">
        <f>IF(E475=Data!#REF!,Data!#REF!,"")</f>
        <v>#REF!</v>
      </c>
      <c r="N475" s="66" t="e">
        <f>IF(AND(Data!#REF!&lt;&gt;"",Data!#REF!="Accept&amp;#233;"),Data!#REF!,"")</f>
        <v>#REF!</v>
      </c>
    </row>
    <row r="476" spans="1:14" ht="19.5" hidden="1" customHeight="1" x14ac:dyDescent="0.3">
      <c r="A476" s="59" t="e">
        <f>IF(AND(Data!#REF!&lt;&gt;"",Data!#REF!="Accept&amp;#233;"),Data!#REF!,"")</f>
        <v>#REF!</v>
      </c>
      <c r="B476" s="59" t="e">
        <f>IF(AND(Data!#REF!&lt;&gt;"",Data!#REF!="Accept&amp;#233;"),Data!#REF!,"")</f>
        <v>#REF!</v>
      </c>
      <c r="C476" s="60" t="e">
        <f t="shared" si="14"/>
        <v>#REF!</v>
      </c>
      <c r="D476" s="42" t="e">
        <f>IF(AND(Data!#REF!&lt;&gt;"",Data!#REF!="Accept&amp;#233;"),Data!#REF!,"")</f>
        <v>#REF!</v>
      </c>
      <c r="E476" s="61" t="e">
        <f>IF(AND(Data!#REF!&lt;&gt;"",Data!#REF!="Accept&amp;#233;"),Data!#REF!,"")</f>
        <v>#REF!</v>
      </c>
      <c r="F476" s="62" t="e">
        <f>IF(AND(Data!#REF!&lt;&gt;"",Data!#REF!="Accept&amp;#233;"),Data!#REF!,"")</f>
        <v>#REF!</v>
      </c>
      <c r="G476" s="63" t="e">
        <f>IF(Data!#REF!='Delivery Plan'!E476,Data!#REF!,"")</f>
        <v>#REF!</v>
      </c>
      <c r="H476" s="51"/>
      <c r="I476" s="60" t="e">
        <f t="shared" si="15"/>
        <v>#REF!</v>
      </c>
      <c r="J476" s="42" t="e">
        <f>IF(AND(E476=Data!#REF!,Data!#REF!&lt;&gt;""),Data!#REF!,"")</f>
        <v>#REF!</v>
      </c>
      <c r="K476" s="64" t="e">
        <f>IF(AND(E476=Data!#REF!,Data!#REF!&lt;&gt;""),Data!#REF!,"")</f>
        <v>#REF!</v>
      </c>
      <c r="L476" s="65" t="e">
        <f>IF(E476=Data!#REF!,Data!#REF!,"")</f>
        <v>#REF!</v>
      </c>
      <c r="M476" s="65" t="e">
        <f>IF(E476=Data!#REF!,Data!#REF!,"")</f>
        <v>#REF!</v>
      </c>
      <c r="N476" s="66" t="e">
        <f>IF(AND(Data!#REF!&lt;&gt;"",Data!#REF!="Accept&amp;#233;"),Data!#REF!,"")</f>
        <v>#REF!</v>
      </c>
    </row>
    <row r="477" spans="1:14" ht="19.5" hidden="1" customHeight="1" x14ac:dyDescent="0.3">
      <c r="A477" s="59" t="e">
        <f>IF(AND(Data!#REF!&lt;&gt;"",Data!#REF!="Accept&amp;#233;"),Data!#REF!,"")</f>
        <v>#REF!</v>
      </c>
      <c r="B477" s="59" t="e">
        <f>IF(AND(Data!#REF!&lt;&gt;"",Data!#REF!="Accept&amp;#233;"),Data!#REF!,"")</f>
        <v>#REF!</v>
      </c>
      <c r="C477" s="60" t="e">
        <f t="shared" si="14"/>
        <v>#REF!</v>
      </c>
      <c r="D477" s="42" t="e">
        <f>IF(AND(Data!#REF!&lt;&gt;"",Data!#REF!="Accept&amp;#233;"),Data!#REF!,"")</f>
        <v>#REF!</v>
      </c>
      <c r="E477" s="61" t="e">
        <f>IF(AND(Data!#REF!&lt;&gt;"",Data!#REF!="Accept&amp;#233;"),Data!#REF!,"")</f>
        <v>#REF!</v>
      </c>
      <c r="F477" s="62" t="e">
        <f>IF(AND(Data!#REF!&lt;&gt;"",Data!#REF!="Accept&amp;#233;"),Data!#REF!,"")</f>
        <v>#REF!</v>
      </c>
      <c r="G477" s="63" t="e">
        <f>IF(Data!#REF!='Delivery Plan'!E477,Data!#REF!,"")</f>
        <v>#REF!</v>
      </c>
      <c r="H477" s="51"/>
      <c r="I477" s="60" t="e">
        <f t="shared" si="15"/>
        <v>#REF!</v>
      </c>
      <c r="J477" s="42" t="e">
        <f>IF(AND(E477=Data!#REF!,Data!#REF!&lt;&gt;""),Data!#REF!,"")</f>
        <v>#REF!</v>
      </c>
      <c r="K477" s="64" t="e">
        <f>IF(AND(E477=Data!#REF!,Data!#REF!&lt;&gt;""),Data!#REF!,"")</f>
        <v>#REF!</v>
      </c>
      <c r="L477" s="65" t="e">
        <f>IF(E477=Data!#REF!,Data!#REF!,"")</f>
        <v>#REF!</v>
      </c>
      <c r="M477" s="65" t="e">
        <f>IF(E477=Data!#REF!,Data!#REF!,"")</f>
        <v>#REF!</v>
      </c>
      <c r="N477" s="66" t="e">
        <f>IF(AND(Data!#REF!&lt;&gt;"",Data!#REF!="Accept&amp;#233;"),Data!#REF!,"")</f>
        <v>#REF!</v>
      </c>
    </row>
    <row r="478" spans="1:14" ht="19.5" hidden="1" customHeight="1" x14ac:dyDescent="0.3">
      <c r="A478" s="59" t="e">
        <f>IF(AND(Data!#REF!&lt;&gt;"",Data!#REF!="Accept&amp;#233;"),Data!#REF!,"")</f>
        <v>#REF!</v>
      </c>
      <c r="B478" s="59" t="e">
        <f>IF(AND(Data!#REF!&lt;&gt;"",Data!#REF!="Accept&amp;#233;"),Data!#REF!,"")</f>
        <v>#REF!</v>
      </c>
      <c r="C478" s="60" t="e">
        <f t="shared" si="14"/>
        <v>#REF!</v>
      </c>
      <c r="D478" s="42" t="e">
        <f>IF(AND(Data!#REF!&lt;&gt;"",Data!#REF!="Accept&amp;#233;"),Data!#REF!,"")</f>
        <v>#REF!</v>
      </c>
      <c r="E478" s="61" t="e">
        <f>IF(AND(Data!#REF!&lt;&gt;"",Data!#REF!="Accept&amp;#233;"),Data!#REF!,"")</f>
        <v>#REF!</v>
      </c>
      <c r="F478" s="62" t="e">
        <f>IF(AND(Data!#REF!&lt;&gt;"",Data!#REF!="Accept&amp;#233;"),Data!#REF!,"")</f>
        <v>#REF!</v>
      </c>
      <c r="G478" s="63" t="e">
        <f>IF(Data!#REF!='Delivery Plan'!E478,Data!#REF!,"")</f>
        <v>#REF!</v>
      </c>
      <c r="H478" s="51"/>
      <c r="I478" s="60" t="e">
        <f t="shared" si="15"/>
        <v>#REF!</v>
      </c>
      <c r="J478" s="42" t="e">
        <f>IF(AND(E478=Data!#REF!,Data!#REF!&lt;&gt;""),Data!#REF!,"")</f>
        <v>#REF!</v>
      </c>
      <c r="K478" s="64" t="e">
        <f>IF(AND(E478=Data!#REF!,Data!#REF!&lt;&gt;""),Data!#REF!,"")</f>
        <v>#REF!</v>
      </c>
      <c r="L478" s="65" t="e">
        <f>IF(E478=Data!#REF!,Data!#REF!,"")</f>
        <v>#REF!</v>
      </c>
      <c r="M478" s="65" t="e">
        <f>IF(E478=Data!#REF!,Data!#REF!,"")</f>
        <v>#REF!</v>
      </c>
      <c r="N478" s="66" t="e">
        <f>IF(AND(Data!#REF!&lt;&gt;"",Data!#REF!="Accept&amp;#233;"),Data!#REF!,"")</f>
        <v>#REF!</v>
      </c>
    </row>
    <row r="479" spans="1:14" ht="19.5" hidden="1" customHeight="1" x14ac:dyDescent="0.3">
      <c r="A479" s="59" t="e">
        <f>IF(AND(Data!#REF!&lt;&gt;"",Data!#REF!="Accept&amp;#233;"),Data!#REF!,"")</f>
        <v>#REF!</v>
      </c>
      <c r="B479" s="59" t="e">
        <f>IF(AND(Data!#REF!&lt;&gt;"",Data!#REF!="Accept&amp;#233;"),Data!#REF!,"")</f>
        <v>#REF!</v>
      </c>
      <c r="C479" s="60" t="e">
        <f t="shared" si="14"/>
        <v>#REF!</v>
      </c>
      <c r="D479" s="42" t="e">
        <f>IF(AND(Data!#REF!&lt;&gt;"",Data!#REF!="Accept&amp;#233;"),Data!#REF!,"")</f>
        <v>#REF!</v>
      </c>
      <c r="E479" s="61" t="e">
        <f>IF(AND(Data!#REF!&lt;&gt;"",Data!#REF!="Accept&amp;#233;"),Data!#REF!,"")</f>
        <v>#REF!</v>
      </c>
      <c r="F479" s="62" t="e">
        <f>IF(AND(Data!#REF!&lt;&gt;"",Data!#REF!="Accept&amp;#233;"),Data!#REF!,"")</f>
        <v>#REF!</v>
      </c>
      <c r="G479" s="63" t="e">
        <f>IF(Data!#REF!='Delivery Plan'!E479,Data!#REF!,"")</f>
        <v>#REF!</v>
      </c>
      <c r="H479" s="51"/>
      <c r="I479" s="60" t="e">
        <f t="shared" si="15"/>
        <v>#REF!</v>
      </c>
      <c r="J479" s="42" t="e">
        <f>IF(AND(E479=Data!#REF!,Data!#REF!&lt;&gt;""),Data!#REF!,"")</f>
        <v>#REF!</v>
      </c>
      <c r="K479" s="64" t="e">
        <f>IF(AND(E479=Data!#REF!,Data!#REF!&lt;&gt;""),Data!#REF!,"")</f>
        <v>#REF!</v>
      </c>
      <c r="L479" s="65" t="e">
        <f>IF(E479=Data!#REF!,Data!#REF!,"")</f>
        <v>#REF!</v>
      </c>
      <c r="M479" s="65" t="e">
        <f>IF(E479=Data!#REF!,Data!#REF!,"")</f>
        <v>#REF!</v>
      </c>
      <c r="N479" s="66" t="e">
        <f>IF(AND(Data!#REF!&lt;&gt;"",Data!#REF!="Accept&amp;#233;"),Data!#REF!,"")</f>
        <v>#REF!</v>
      </c>
    </row>
    <row r="480" spans="1:14" ht="19.5" hidden="1" customHeight="1" x14ac:dyDescent="0.3">
      <c r="A480" s="59" t="e">
        <f>IF(AND(Data!#REF!&lt;&gt;"",Data!#REF!="Accept&amp;#233;"),Data!#REF!,"")</f>
        <v>#REF!</v>
      </c>
      <c r="B480" s="59" t="e">
        <f>IF(AND(Data!#REF!&lt;&gt;"",Data!#REF!="Accept&amp;#233;"),Data!#REF!,"")</f>
        <v>#REF!</v>
      </c>
      <c r="C480" s="60" t="e">
        <f t="shared" si="14"/>
        <v>#REF!</v>
      </c>
      <c r="D480" s="42" t="e">
        <f>IF(AND(Data!#REF!&lt;&gt;"",Data!#REF!="Accept&amp;#233;"),Data!#REF!,"")</f>
        <v>#REF!</v>
      </c>
      <c r="E480" s="61" t="e">
        <f>IF(AND(Data!#REF!&lt;&gt;"",Data!#REF!="Accept&amp;#233;"),Data!#REF!,"")</f>
        <v>#REF!</v>
      </c>
      <c r="F480" s="62" t="e">
        <f>IF(AND(Data!#REF!&lt;&gt;"",Data!#REF!="Accept&amp;#233;"),Data!#REF!,"")</f>
        <v>#REF!</v>
      </c>
      <c r="G480" s="63" t="e">
        <f>IF(Data!#REF!='Delivery Plan'!E480,Data!#REF!,"")</f>
        <v>#REF!</v>
      </c>
      <c r="H480" s="51"/>
      <c r="I480" s="60" t="e">
        <f t="shared" si="15"/>
        <v>#REF!</v>
      </c>
      <c r="J480" s="42" t="e">
        <f>IF(AND(E480=Data!#REF!,Data!#REF!&lt;&gt;""),Data!#REF!,"")</f>
        <v>#REF!</v>
      </c>
      <c r="K480" s="64" t="e">
        <f>IF(AND(E480=Data!#REF!,Data!#REF!&lt;&gt;""),Data!#REF!,"")</f>
        <v>#REF!</v>
      </c>
      <c r="L480" s="65" t="e">
        <f>IF(E480=Data!#REF!,Data!#REF!,"")</f>
        <v>#REF!</v>
      </c>
      <c r="M480" s="65" t="e">
        <f>IF(E480=Data!#REF!,Data!#REF!,"")</f>
        <v>#REF!</v>
      </c>
      <c r="N480" s="66" t="e">
        <f>IF(AND(Data!#REF!&lt;&gt;"",Data!#REF!="Accept&amp;#233;"),Data!#REF!,"")</f>
        <v>#REF!</v>
      </c>
    </row>
    <row r="481" spans="1:14" ht="19.5" hidden="1" customHeight="1" x14ac:dyDescent="0.3">
      <c r="A481" s="59" t="e">
        <f>IF(AND(Data!#REF!&lt;&gt;"",Data!#REF!="Accept&amp;#233;"),Data!#REF!,"")</f>
        <v>#REF!</v>
      </c>
      <c r="B481" s="59" t="e">
        <f>IF(AND(Data!#REF!&lt;&gt;"",Data!#REF!="Accept&amp;#233;"),Data!#REF!,"")</f>
        <v>#REF!</v>
      </c>
      <c r="C481" s="60" t="e">
        <f t="shared" si="14"/>
        <v>#REF!</v>
      </c>
      <c r="D481" s="42" t="e">
        <f>IF(AND(Data!#REF!&lt;&gt;"",Data!#REF!="Accept&amp;#233;"),Data!#REF!,"")</f>
        <v>#REF!</v>
      </c>
      <c r="E481" s="61" t="e">
        <f>IF(AND(Data!#REF!&lt;&gt;"",Data!#REF!="Accept&amp;#233;"),Data!#REF!,"")</f>
        <v>#REF!</v>
      </c>
      <c r="F481" s="62" t="e">
        <f>IF(AND(Data!#REF!&lt;&gt;"",Data!#REF!="Accept&amp;#233;"),Data!#REF!,"")</f>
        <v>#REF!</v>
      </c>
      <c r="G481" s="63" t="e">
        <f>IF(Data!#REF!='Delivery Plan'!E481,Data!#REF!,"")</f>
        <v>#REF!</v>
      </c>
      <c r="H481" s="51"/>
      <c r="I481" s="60" t="e">
        <f t="shared" si="15"/>
        <v>#REF!</v>
      </c>
      <c r="J481" s="42" t="e">
        <f>IF(AND(E481=Data!#REF!,Data!#REF!&lt;&gt;""),Data!#REF!,"")</f>
        <v>#REF!</v>
      </c>
      <c r="K481" s="64" t="e">
        <f>IF(AND(E481=Data!#REF!,Data!#REF!&lt;&gt;""),Data!#REF!,"")</f>
        <v>#REF!</v>
      </c>
      <c r="L481" s="65" t="e">
        <f>IF(E481=Data!#REF!,Data!#REF!,"")</f>
        <v>#REF!</v>
      </c>
      <c r="M481" s="65" t="e">
        <f>IF(E481=Data!#REF!,Data!#REF!,"")</f>
        <v>#REF!</v>
      </c>
      <c r="N481" s="66" t="e">
        <f>IF(AND(Data!#REF!&lt;&gt;"",Data!#REF!="Accept&amp;#233;"),Data!#REF!,"")</f>
        <v>#REF!</v>
      </c>
    </row>
    <row r="482" spans="1:14" ht="19.5" hidden="1" customHeight="1" x14ac:dyDescent="0.3">
      <c r="A482" s="59" t="e">
        <f>IF(AND(Data!#REF!&lt;&gt;"",Data!#REF!="Accept&amp;#233;"),Data!#REF!,"")</f>
        <v>#REF!</v>
      </c>
      <c r="B482" s="59" t="e">
        <f>IF(AND(Data!#REF!&lt;&gt;"",Data!#REF!="Accept&amp;#233;"),Data!#REF!,"")</f>
        <v>#REF!</v>
      </c>
      <c r="C482" s="60" t="e">
        <f t="shared" si="14"/>
        <v>#REF!</v>
      </c>
      <c r="D482" s="42" t="e">
        <f>IF(AND(Data!#REF!&lt;&gt;"",Data!#REF!="Accept&amp;#233;"),Data!#REF!,"")</f>
        <v>#REF!</v>
      </c>
      <c r="E482" s="61" t="e">
        <f>IF(AND(Data!#REF!&lt;&gt;"",Data!#REF!="Accept&amp;#233;"),Data!#REF!,"")</f>
        <v>#REF!</v>
      </c>
      <c r="F482" s="62" t="e">
        <f>IF(AND(Data!#REF!&lt;&gt;"",Data!#REF!="Accept&amp;#233;"),Data!#REF!,"")</f>
        <v>#REF!</v>
      </c>
      <c r="G482" s="63" t="e">
        <f>IF(Data!#REF!='Delivery Plan'!E482,Data!#REF!,"")</f>
        <v>#REF!</v>
      </c>
      <c r="H482" s="51"/>
      <c r="I482" s="60" t="e">
        <f t="shared" si="15"/>
        <v>#REF!</v>
      </c>
      <c r="J482" s="42" t="e">
        <f>IF(AND(E482=Data!#REF!,Data!#REF!&lt;&gt;""),Data!#REF!,"")</f>
        <v>#REF!</v>
      </c>
      <c r="K482" s="64" t="e">
        <f>IF(AND(E482=Data!#REF!,Data!#REF!&lt;&gt;""),Data!#REF!,"")</f>
        <v>#REF!</v>
      </c>
      <c r="L482" s="65" t="e">
        <f>IF(E482=Data!#REF!,Data!#REF!,"")</f>
        <v>#REF!</v>
      </c>
      <c r="M482" s="65" t="e">
        <f>IF(E482=Data!#REF!,Data!#REF!,"")</f>
        <v>#REF!</v>
      </c>
      <c r="N482" s="66" t="e">
        <f>IF(AND(Data!#REF!&lt;&gt;"",Data!#REF!="Accept&amp;#233;"),Data!#REF!,"")</f>
        <v>#REF!</v>
      </c>
    </row>
    <row r="483" spans="1:14" ht="19.5" hidden="1" customHeight="1" x14ac:dyDescent="0.3">
      <c r="A483" s="59" t="e">
        <f>IF(AND(Data!#REF!&lt;&gt;"",Data!#REF!="Accept&amp;#233;"),Data!#REF!,"")</f>
        <v>#REF!</v>
      </c>
      <c r="B483" s="59" t="e">
        <f>IF(AND(Data!#REF!&lt;&gt;"",Data!#REF!="Accept&amp;#233;"),Data!#REF!,"")</f>
        <v>#REF!</v>
      </c>
      <c r="C483" s="60" t="e">
        <f t="shared" si="14"/>
        <v>#REF!</v>
      </c>
      <c r="D483" s="42" t="e">
        <f>IF(AND(Data!#REF!&lt;&gt;"",Data!#REF!="Accept&amp;#233;"),Data!#REF!,"")</f>
        <v>#REF!</v>
      </c>
      <c r="E483" s="61" t="e">
        <f>IF(AND(Data!#REF!&lt;&gt;"",Data!#REF!="Accept&amp;#233;"),Data!#REF!,"")</f>
        <v>#REF!</v>
      </c>
      <c r="F483" s="62" t="e">
        <f>IF(AND(Data!#REF!&lt;&gt;"",Data!#REF!="Accept&amp;#233;"),Data!#REF!,"")</f>
        <v>#REF!</v>
      </c>
      <c r="G483" s="63" t="e">
        <f>IF(Data!#REF!='Delivery Plan'!E483,Data!#REF!,"")</f>
        <v>#REF!</v>
      </c>
      <c r="H483" s="51"/>
      <c r="I483" s="60" t="e">
        <f t="shared" si="15"/>
        <v>#REF!</v>
      </c>
      <c r="J483" s="42" t="e">
        <f>IF(AND(E483=Data!#REF!,Data!#REF!&lt;&gt;""),Data!#REF!,"")</f>
        <v>#REF!</v>
      </c>
      <c r="K483" s="64" t="e">
        <f>IF(AND(E483=Data!#REF!,Data!#REF!&lt;&gt;""),Data!#REF!,"")</f>
        <v>#REF!</v>
      </c>
      <c r="L483" s="65" t="e">
        <f>IF(E483=Data!#REF!,Data!#REF!,"")</f>
        <v>#REF!</v>
      </c>
      <c r="M483" s="65" t="e">
        <f>IF(E483=Data!#REF!,Data!#REF!,"")</f>
        <v>#REF!</v>
      </c>
      <c r="N483" s="66" t="e">
        <f>IF(AND(Data!#REF!&lt;&gt;"",Data!#REF!="Accept&amp;#233;"),Data!#REF!,"")</f>
        <v>#REF!</v>
      </c>
    </row>
    <row r="484" spans="1:14" ht="19.5" hidden="1" customHeight="1" x14ac:dyDescent="0.3">
      <c r="A484" s="59" t="e">
        <f>IF(AND(Data!#REF!&lt;&gt;"",Data!#REF!="Accept&amp;#233;"),Data!#REF!,"")</f>
        <v>#REF!</v>
      </c>
      <c r="B484" s="59" t="e">
        <f>IF(AND(Data!#REF!&lt;&gt;"",Data!#REF!="Accept&amp;#233;"),Data!#REF!,"")</f>
        <v>#REF!</v>
      </c>
      <c r="C484" s="60" t="e">
        <f t="shared" si="14"/>
        <v>#REF!</v>
      </c>
      <c r="D484" s="42" t="e">
        <f>IF(AND(Data!#REF!&lt;&gt;"",Data!#REF!="Accept&amp;#233;"),Data!#REF!,"")</f>
        <v>#REF!</v>
      </c>
      <c r="E484" s="61" t="e">
        <f>IF(AND(Data!#REF!&lt;&gt;"",Data!#REF!="Accept&amp;#233;"),Data!#REF!,"")</f>
        <v>#REF!</v>
      </c>
      <c r="F484" s="62" t="e">
        <f>IF(AND(Data!#REF!&lt;&gt;"",Data!#REF!="Accept&amp;#233;"),Data!#REF!,"")</f>
        <v>#REF!</v>
      </c>
      <c r="G484" s="63" t="e">
        <f>IF(Data!#REF!='Delivery Plan'!E484,Data!#REF!,"")</f>
        <v>#REF!</v>
      </c>
      <c r="H484" s="51"/>
      <c r="I484" s="60" t="e">
        <f t="shared" si="15"/>
        <v>#REF!</v>
      </c>
      <c r="J484" s="42" t="e">
        <f>IF(AND(E484=Data!#REF!,Data!#REF!&lt;&gt;""),Data!#REF!,"")</f>
        <v>#REF!</v>
      </c>
      <c r="K484" s="64" t="e">
        <f>IF(AND(E484=Data!#REF!,Data!#REF!&lt;&gt;""),Data!#REF!,"")</f>
        <v>#REF!</v>
      </c>
      <c r="L484" s="65" t="e">
        <f>IF(E484=Data!#REF!,Data!#REF!,"")</f>
        <v>#REF!</v>
      </c>
      <c r="M484" s="65" t="e">
        <f>IF(E484=Data!#REF!,Data!#REF!,"")</f>
        <v>#REF!</v>
      </c>
      <c r="N484" s="66" t="e">
        <f>IF(AND(Data!#REF!&lt;&gt;"",Data!#REF!="Accept&amp;#233;"),Data!#REF!,"")</f>
        <v>#REF!</v>
      </c>
    </row>
    <row r="485" spans="1:14" ht="19.5" hidden="1" customHeight="1" x14ac:dyDescent="0.3">
      <c r="A485" s="59" t="e">
        <f>IF(AND(Data!#REF!&lt;&gt;"",Data!#REF!="Accept&amp;#233;"),Data!#REF!,"")</f>
        <v>#REF!</v>
      </c>
      <c r="B485" s="59" t="e">
        <f>IF(AND(Data!#REF!&lt;&gt;"",Data!#REF!="Accept&amp;#233;"),Data!#REF!,"")</f>
        <v>#REF!</v>
      </c>
      <c r="C485" s="60" t="e">
        <f t="shared" si="14"/>
        <v>#REF!</v>
      </c>
      <c r="D485" s="42" t="e">
        <f>IF(AND(Data!#REF!&lt;&gt;"",Data!#REF!="Accept&amp;#233;"),Data!#REF!,"")</f>
        <v>#REF!</v>
      </c>
      <c r="E485" s="61" t="e">
        <f>IF(AND(Data!#REF!&lt;&gt;"",Data!#REF!="Accept&amp;#233;"),Data!#REF!,"")</f>
        <v>#REF!</v>
      </c>
      <c r="F485" s="62" t="e">
        <f>IF(AND(Data!#REF!&lt;&gt;"",Data!#REF!="Accept&amp;#233;"),Data!#REF!,"")</f>
        <v>#REF!</v>
      </c>
      <c r="G485" s="63" t="e">
        <f>IF(Data!#REF!='Delivery Plan'!E485,Data!#REF!,"")</f>
        <v>#REF!</v>
      </c>
      <c r="H485" s="51"/>
      <c r="I485" s="60" t="e">
        <f t="shared" si="15"/>
        <v>#REF!</v>
      </c>
      <c r="J485" s="42" t="e">
        <f>IF(AND(E485=Data!#REF!,Data!#REF!&lt;&gt;""),Data!#REF!,"")</f>
        <v>#REF!</v>
      </c>
      <c r="K485" s="64" t="e">
        <f>IF(AND(E485=Data!#REF!,Data!#REF!&lt;&gt;""),Data!#REF!,"")</f>
        <v>#REF!</v>
      </c>
      <c r="L485" s="65" t="e">
        <f>IF(E485=Data!#REF!,Data!#REF!,"")</f>
        <v>#REF!</v>
      </c>
      <c r="M485" s="65" t="e">
        <f>IF(E485=Data!#REF!,Data!#REF!,"")</f>
        <v>#REF!</v>
      </c>
      <c r="N485" s="66" t="e">
        <f>IF(AND(Data!#REF!&lt;&gt;"",Data!#REF!="Accept&amp;#233;"),Data!#REF!,"")</f>
        <v>#REF!</v>
      </c>
    </row>
    <row r="486" spans="1:14" ht="19.5" hidden="1" customHeight="1" x14ac:dyDescent="0.3">
      <c r="A486" s="59" t="e">
        <f>IF(AND(Data!#REF!&lt;&gt;"",Data!#REF!="Accept&amp;#233;"),Data!#REF!,"")</f>
        <v>#REF!</v>
      </c>
      <c r="B486" s="59" t="e">
        <f>IF(AND(Data!#REF!&lt;&gt;"",Data!#REF!="Accept&amp;#233;"),Data!#REF!,"")</f>
        <v>#REF!</v>
      </c>
      <c r="C486" s="60" t="e">
        <f t="shared" si="14"/>
        <v>#REF!</v>
      </c>
      <c r="D486" s="42" t="e">
        <f>IF(AND(Data!#REF!&lt;&gt;"",Data!#REF!="Accept&amp;#233;"),Data!#REF!,"")</f>
        <v>#REF!</v>
      </c>
      <c r="E486" s="61" t="e">
        <f>IF(AND(Data!#REF!&lt;&gt;"",Data!#REF!="Accept&amp;#233;"),Data!#REF!,"")</f>
        <v>#REF!</v>
      </c>
      <c r="F486" s="62" t="e">
        <f>IF(AND(Data!#REF!&lt;&gt;"",Data!#REF!="Accept&amp;#233;"),Data!#REF!,"")</f>
        <v>#REF!</v>
      </c>
      <c r="G486" s="63" t="e">
        <f>IF(Data!#REF!='Delivery Plan'!E486,Data!#REF!,"")</f>
        <v>#REF!</v>
      </c>
      <c r="H486" s="51"/>
      <c r="I486" s="60" t="e">
        <f t="shared" si="15"/>
        <v>#REF!</v>
      </c>
      <c r="J486" s="42" t="e">
        <f>IF(AND(E486=Data!#REF!,Data!#REF!&lt;&gt;""),Data!#REF!,"")</f>
        <v>#REF!</v>
      </c>
      <c r="K486" s="64" t="e">
        <f>IF(AND(E486=Data!#REF!,Data!#REF!&lt;&gt;""),Data!#REF!,"")</f>
        <v>#REF!</v>
      </c>
      <c r="L486" s="65" t="e">
        <f>IF(E486=Data!#REF!,Data!#REF!,"")</f>
        <v>#REF!</v>
      </c>
      <c r="M486" s="65" t="e">
        <f>IF(E486=Data!#REF!,Data!#REF!,"")</f>
        <v>#REF!</v>
      </c>
      <c r="N486" s="66" t="e">
        <f>IF(AND(Data!#REF!&lt;&gt;"",Data!#REF!="Accept&amp;#233;"),Data!#REF!,"")</f>
        <v>#REF!</v>
      </c>
    </row>
    <row r="487" spans="1:14" ht="19.5" hidden="1" customHeight="1" x14ac:dyDescent="0.3">
      <c r="A487" s="59" t="e">
        <f>IF(AND(Data!#REF!&lt;&gt;"",Data!#REF!="Accept&amp;#233;"),Data!#REF!,"")</f>
        <v>#REF!</v>
      </c>
      <c r="B487" s="59" t="e">
        <f>IF(AND(Data!#REF!&lt;&gt;"",Data!#REF!="Accept&amp;#233;"),Data!#REF!,"")</f>
        <v>#REF!</v>
      </c>
      <c r="C487" s="60" t="e">
        <f t="shared" si="14"/>
        <v>#REF!</v>
      </c>
      <c r="D487" s="42" t="e">
        <f>IF(AND(Data!#REF!&lt;&gt;"",Data!#REF!="Accept&amp;#233;"),Data!#REF!,"")</f>
        <v>#REF!</v>
      </c>
      <c r="E487" s="61" t="e">
        <f>IF(AND(Data!#REF!&lt;&gt;"",Data!#REF!="Accept&amp;#233;"),Data!#REF!,"")</f>
        <v>#REF!</v>
      </c>
      <c r="F487" s="62" t="e">
        <f>IF(AND(Data!#REF!&lt;&gt;"",Data!#REF!="Accept&amp;#233;"),Data!#REF!,"")</f>
        <v>#REF!</v>
      </c>
      <c r="G487" s="63" t="e">
        <f>IF(Data!#REF!='Delivery Plan'!E487,Data!#REF!,"")</f>
        <v>#REF!</v>
      </c>
      <c r="H487" s="51"/>
      <c r="I487" s="60" t="e">
        <f t="shared" si="15"/>
        <v>#REF!</v>
      </c>
      <c r="J487" s="42" t="e">
        <f>IF(AND(E487=Data!#REF!,Data!#REF!&lt;&gt;""),Data!#REF!,"")</f>
        <v>#REF!</v>
      </c>
      <c r="K487" s="64" t="e">
        <f>IF(AND(E487=Data!#REF!,Data!#REF!&lt;&gt;""),Data!#REF!,"")</f>
        <v>#REF!</v>
      </c>
      <c r="L487" s="65" t="e">
        <f>IF(E487=Data!#REF!,Data!#REF!,"")</f>
        <v>#REF!</v>
      </c>
      <c r="M487" s="65" t="e">
        <f>IF(E487=Data!#REF!,Data!#REF!,"")</f>
        <v>#REF!</v>
      </c>
      <c r="N487" s="66" t="e">
        <f>IF(AND(Data!#REF!&lt;&gt;"",Data!#REF!="Accept&amp;#233;"),Data!#REF!,"")</f>
        <v>#REF!</v>
      </c>
    </row>
    <row r="488" spans="1:14" ht="19.5" hidden="1" customHeight="1" x14ac:dyDescent="0.3">
      <c r="A488" s="59" t="e">
        <f>IF(AND(Data!#REF!&lt;&gt;"",Data!#REF!="Accept&amp;#233;"),Data!#REF!,"")</f>
        <v>#REF!</v>
      </c>
      <c r="B488" s="59" t="e">
        <f>IF(AND(Data!#REF!&lt;&gt;"",Data!#REF!="Accept&amp;#233;"),Data!#REF!,"")</f>
        <v>#REF!</v>
      </c>
      <c r="C488" s="60" t="e">
        <f t="shared" si="14"/>
        <v>#REF!</v>
      </c>
      <c r="D488" s="42" t="e">
        <f>IF(AND(Data!#REF!&lt;&gt;"",Data!#REF!="Accept&amp;#233;"),Data!#REF!,"")</f>
        <v>#REF!</v>
      </c>
      <c r="E488" s="61" t="e">
        <f>IF(AND(Data!#REF!&lt;&gt;"",Data!#REF!="Accept&amp;#233;"),Data!#REF!,"")</f>
        <v>#REF!</v>
      </c>
      <c r="F488" s="62" t="e">
        <f>IF(AND(Data!#REF!&lt;&gt;"",Data!#REF!="Accept&amp;#233;"),Data!#REF!,"")</f>
        <v>#REF!</v>
      </c>
      <c r="G488" s="63" t="e">
        <f>IF(Data!#REF!='Delivery Plan'!E488,Data!#REF!,"")</f>
        <v>#REF!</v>
      </c>
      <c r="H488" s="51"/>
      <c r="I488" s="60" t="e">
        <f t="shared" si="15"/>
        <v>#REF!</v>
      </c>
      <c r="J488" s="42" t="e">
        <f>IF(AND(E488=Data!#REF!,Data!#REF!&lt;&gt;""),Data!#REF!,"")</f>
        <v>#REF!</v>
      </c>
      <c r="K488" s="64" t="e">
        <f>IF(AND(E488=Data!#REF!,Data!#REF!&lt;&gt;""),Data!#REF!,"")</f>
        <v>#REF!</v>
      </c>
      <c r="L488" s="65" t="e">
        <f>IF(E488=Data!#REF!,Data!#REF!,"")</f>
        <v>#REF!</v>
      </c>
      <c r="M488" s="65" t="e">
        <f>IF(E488=Data!#REF!,Data!#REF!,"")</f>
        <v>#REF!</v>
      </c>
      <c r="N488" s="66" t="e">
        <f>IF(AND(Data!#REF!&lt;&gt;"",Data!#REF!="Accept&amp;#233;"),Data!#REF!,"")</f>
        <v>#REF!</v>
      </c>
    </row>
    <row r="489" spans="1:14" ht="19.5" hidden="1" customHeight="1" x14ac:dyDescent="0.3">
      <c r="A489" s="59" t="e">
        <f>IF(AND(Data!#REF!&lt;&gt;"",Data!#REF!="Accept&amp;#233;"),Data!#REF!,"")</f>
        <v>#REF!</v>
      </c>
      <c r="B489" s="59" t="e">
        <f>IF(AND(Data!#REF!&lt;&gt;"",Data!#REF!="Accept&amp;#233;"),Data!#REF!,"")</f>
        <v>#REF!</v>
      </c>
      <c r="C489" s="60" t="e">
        <f t="shared" si="14"/>
        <v>#REF!</v>
      </c>
      <c r="D489" s="42" t="e">
        <f>IF(AND(Data!#REF!&lt;&gt;"",Data!#REF!="Accept&amp;#233;"),Data!#REF!,"")</f>
        <v>#REF!</v>
      </c>
      <c r="E489" s="61" t="e">
        <f>IF(AND(Data!#REF!&lt;&gt;"",Data!#REF!="Accept&amp;#233;"),Data!#REF!,"")</f>
        <v>#REF!</v>
      </c>
      <c r="F489" s="62" t="e">
        <f>IF(AND(Data!#REF!&lt;&gt;"",Data!#REF!="Accept&amp;#233;"),Data!#REF!,"")</f>
        <v>#REF!</v>
      </c>
      <c r="G489" s="63" t="e">
        <f>IF(Data!#REF!='Delivery Plan'!E489,Data!#REF!,"")</f>
        <v>#REF!</v>
      </c>
      <c r="H489" s="51"/>
      <c r="I489" s="60" t="e">
        <f t="shared" si="15"/>
        <v>#REF!</v>
      </c>
      <c r="J489" s="42" t="e">
        <f>IF(AND(E489=Data!#REF!,Data!#REF!&lt;&gt;""),Data!#REF!,"")</f>
        <v>#REF!</v>
      </c>
      <c r="K489" s="64" t="e">
        <f>IF(AND(E489=Data!#REF!,Data!#REF!&lt;&gt;""),Data!#REF!,"")</f>
        <v>#REF!</v>
      </c>
      <c r="L489" s="65" t="e">
        <f>IF(E489=Data!#REF!,Data!#REF!,"")</f>
        <v>#REF!</v>
      </c>
      <c r="M489" s="65" t="e">
        <f>IF(E489=Data!#REF!,Data!#REF!,"")</f>
        <v>#REF!</v>
      </c>
      <c r="N489" s="66" t="e">
        <f>IF(AND(Data!#REF!&lt;&gt;"",Data!#REF!="Accept&amp;#233;"),Data!#REF!,"")</f>
        <v>#REF!</v>
      </c>
    </row>
    <row r="490" spans="1:14" ht="19.5" hidden="1" customHeight="1" x14ac:dyDescent="0.3">
      <c r="A490" s="59" t="e">
        <f>IF(AND(Data!#REF!&lt;&gt;"",Data!#REF!="Accept&amp;#233;"),Data!#REF!,"")</f>
        <v>#REF!</v>
      </c>
      <c r="B490" s="59" t="e">
        <f>IF(AND(Data!#REF!&lt;&gt;"",Data!#REF!="Accept&amp;#233;"),Data!#REF!,"")</f>
        <v>#REF!</v>
      </c>
      <c r="C490" s="60" t="e">
        <f t="shared" si="14"/>
        <v>#REF!</v>
      </c>
      <c r="D490" s="42" t="e">
        <f>IF(AND(Data!#REF!&lt;&gt;"",Data!#REF!="Accept&amp;#233;"),Data!#REF!,"")</f>
        <v>#REF!</v>
      </c>
      <c r="E490" s="61" t="e">
        <f>IF(AND(Data!#REF!&lt;&gt;"",Data!#REF!="Accept&amp;#233;"),Data!#REF!,"")</f>
        <v>#REF!</v>
      </c>
      <c r="F490" s="62" t="e">
        <f>IF(AND(Data!#REF!&lt;&gt;"",Data!#REF!="Accept&amp;#233;"),Data!#REF!,"")</f>
        <v>#REF!</v>
      </c>
      <c r="G490" s="63" t="e">
        <f>IF(Data!#REF!='Delivery Plan'!E490,Data!#REF!,"")</f>
        <v>#REF!</v>
      </c>
      <c r="H490" s="51"/>
      <c r="I490" s="60" t="e">
        <f t="shared" si="15"/>
        <v>#REF!</v>
      </c>
      <c r="J490" s="42" t="e">
        <f>IF(AND(E490=Data!#REF!,Data!#REF!&lt;&gt;""),Data!#REF!,"")</f>
        <v>#REF!</v>
      </c>
      <c r="K490" s="64" t="e">
        <f>IF(AND(E490=Data!#REF!,Data!#REF!&lt;&gt;""),Data!#REF!,"")</f>
        <v>#REF!</v>
      </c>
      <c r="L490" s="65" t="e">
        <f>IF(E490=Data!#REF!,Data!#REF!,"")</f>
        <v>#REF!</v>
      </c>
      <c r="M490" s="65" t="e">
        <f>IF(E490=Data!#REF!,Data!#REF!,"")</f>
        <v>#REF!</v>
      </c>
      <c r="N490" s="66" t="e">
        <f>IF(AND(Data!#REF!&lt;&gt;"",Data!#REF!="Accept&amp;#233;"),Data!#REF!,"")</f>
        <v>#REF!</v>
      </c>
    </row>
    <row r="491" spans="1:14" ht="19.5" hidden="1" customHeight="1" x14ac:dyDescent="0.3">
      <c r="A491" s="59" t="e">
        <f>IF(AND(Data!#REF!&lt;&gt;"",Data!#REF!="Accept&amp;#233;"),Data!#REF!,"")</f>
        <v>#REF!</v>
      </c>
      <c r="B491" s="59" t="e">
        <f>IF(AND(Data!#REF!&lt;&gt;"",Data!#REF!="Accept&amp;#233;"),Data!#REF!,"")</f>
        <v>#REF!</v>
      </c>
      <c r="C491" s="60" t="e">
        <f t="shared" si="14"/>
        <v>#REF!</v>
      </c>
      <c r="D491" s="42" t="e">
        <f>IF(AND(Data!#REF!&lt;&gt;"",Data!#REF!="Accept&amp;#233;"),Data!#REF!,"")</f>
        <v>#REF!</v>
      </c>
      <c r="E491" s="61" t="e">
        <f>IF(AND(Data!#REF!&lt;&gt;"",Data!#REF!="Accept&amp;#233;"),Data!#REF!,"")</f>
        <v>#REF!</v>
      </c>
      <c r="F491" s="62" t="e">
        <f>IF(AND(Data!#REF!&lt;&gt;"",Data!#REF!="Accept&amp;#233;"),Data!#REF!,"")</f>
        <v>#REF!</v>
      </c>
      <c r="G491" s="63" t="e">
        <f>IF(Data!#REF!='Delivery Plan'!E491,Data!#REF!,"")</f>
        <v>#REF!</v>
      </c>
      <c r="H491" s="51"/>
      <c r="I491" s="60" t="e">
        <f t="shared" si="15"/>
        <v>#REF!</v>
      </c>
      <c r="J491" s="42" t="e">
        <f>IF(AND(E491=Data!#REF!,Data!#REF!&lt;&gt;""),Data!#REF!,"")</f>
        <v>#REF!</v>
      </c>
      <c r="K491" s="64" t="e">
        <f>IF(AND(E491=Data!#REF!,Data!#REF!&lt;&gt;""),Data!#REF!,"")</f>
        <v>#REF!</v>
      </c>
      <c r="L491" s="65" t="e">
        <f>IF(E491=Data!#REF!,Data!#REF!,"")</f>
        <v>#REF!</v>
      </c>
      <c r="M491" s="65" t="e">
        <f>IF(E491=Data!#REF!,Data!#REF!,"")</f>
        <v>#REF!</v>
      </c>
      <c r="N491" s="66" t="e">
        <f>IF(AND(Data!#REF!&lt;&gt;"",Data!#REF!="Accept&amp;#233;"),Data!#REF!,"")</f>
        <v>#REF!</v>
      </c>
    </row>
    <row r="492" spans="1:14" ht="19.5" hidden="1" customHeight="1" x14ac:dyDescent="0.3">
      <c r="A492" s="59" t="e">
        <f>IF(AND(Data!#REF!&lt;&gt;"",Data!#REF!="Accept&amp;#233;"),Data!#REF!,"")</f>
        <v>#REF!</v>
      </c>
      <c r="B492" s="59" t="e">
        <f>IF(AND(Data!#REF!&lt;&gt;"",Data!#REF!="Accept&amp;#233;"),Data!#REF!,"")</f>
        <v>#REF!</v>
      </c>
      <c r="C492" s="60" t="e">
        <f t="shared" si="14"/>
        <v>#REF!</v>
      </c>
      <c r="D492" s="42" t="e">
        <f>IF(AND(Data!#REF!&lt;&gt;"",Data!#REF!="Accept&amp;#233;"),Data!#REF!,"")</f>
        <v>#REF!</v>
      </c>
      <c r="E492" s="61" t="e">
        <f>IF(AND(Data!#REF!&lt;&gt;"",Data!#REF!="Accept&amp;#233;"),Data!#REF!,"")</f>
        <v>#REF!</v>
      </c>
      <c r="F492" s="62" t="e">
        <f>IF(AND(Data!#REF!&lt;&gt;"",Data!#REF!="Accept&amp;#233;"),Data!#REF!,"")</f>
        <v>#REF!</v>
      </c>
      <c r="G492" s="63" t="e">
        <f>IF(Data!#REF!='Delivery Plan'!E492,Data!#REF!,"")</f>
        <v>#REF!</v>
      </c>
      <c r="H492" s="51"/>
      <c r="I492" s="60" t="e">
        <f t="shared" si="15"/>
        <v>#REF!</v>
      </c>
      <c r="J492" s="42" t="e">
        <f>IF(AND(E492=Data!#REF!,Data!#REF!&lt;&gt;""),Data!#REF!,"")</f>
        <v>#REF!</v>
      </c>
      <c r="K492" s="64" t="e">
        <f>IF(AND(E492=Data!#REF!,Data!#REF!&lt;&gt;""),Data!#REF!,"")</f>
        <v>#REF!</v>
      </c>
      <c r="L492" s="65" t="e">
        <f>IF(E492=Data!#REF!,Data!#REF!,"")</f>
        <v>#REF!</v>
      </c>
      <c r="M492" s="65" t="e">
        <f>IF(E492=Data!#REF!,Data!#REF!,"")</f>
        <v>#REF!</v>
      </c>
      <c r="N492" s="66" t="e">
        <f>IF(AND(Data!#REF!&lt;&gt;"",Data!#REF!="Accept&amp;#233;"),Data!#REF!,"")</f>
        <v>#REF!</v>
      </c>
    </row>
    <row r="493" spans="1:14" ht="19.5" hidden="1" customHeight="1" x14ac:dyDescent="0.3">
      <c r="A493" s="59" t="e">
        <f>IF(AND(Data!#REF!&lt;&gt;"",Data!#REF!="Accept&amp;#233;"),Data!#REF!,"")</f>
        <v>#REF!</v>
      </c>
      <c r="B493" s="59" t="e">
        <f>IF(AND(Data!#REF!&lt;&gt;"",Data!#REF!="Accept&amp;#233;"),Data!#REF!,"")</f>
        <v>#REF!</v>
      </c>
      <c r="C493" s="60" t="e">
        <f t="shared" si="14"/>
        <v>#REF!</v>
      </c>
      <c r="D493" s="42" t="e">
        <f>IF(AND(Data!#REF!&lt;&gt;"",Data!#REF!="Accept&amp;#233;"),Data!#REF!,"")</f>
        <v>#REF!</v>
      </c>
      <c r="E493" s="61" t="e">
        <f>IF(AND(Data!#REF!&lt;&gt;"",Data!#REF!="Accept&amp;#233;"),Data!#REF!,"")</f>
        <v>#REF!</v>
      </c>
      <c r="F493" s="62" t="e">
        <f>IF(AND(Data!#REF!&lt;&gt;"",Data!#REF!="Accept&amp;#233;"),Data!#REF!,"")</f>
        <v>#REF!</v>
      </c>
      <c r="G493" s="63" t="e">
        <f>IF(Data!#REF!='Delivery Plan'!E493,Data!#REF!,"")</f>
        <v>#REF!</v>
      </c>
      <c r="H493" s="51"/>
      <c r="I493" s="60" t="e">
        <f t="shared" si="15"/>
        <v>#REF!</v>
      </c>
      <c r="J493" s="42" t="e">
        <f>IF(AND(E493=Data!#REF!,Data!#REF!&lt;&gt;""),Data!#REF!,"")</f>
        <v>#REF!</v>
      </c>
      <c r="K493" s="64" t="e">
        <f>IF(AND(E493=Data!#REF!,Data!#REF!&lt;&gt;""),Data!#REF!,"")</f>
        <v>#REF!</v>
      </c>
      <c r="L493" s="65" t="e">
        <f>IF(E493=Data!#REF!,Data!#REF!,"")</f>
        <v>#REF!</v>
      </c>
      <c r="M493" s="65" t="e">
        <f>IF(E493=Data!#REF!,Data!#REF!,"")</f>
        <v>#REF!</v>
      </c>
      <c r="N493" s="66" t="e">
        <f>IF(AND(Data!#REF!&lt;&gt;"",Data!#REF!="Accept&amp;#233;"),Data!#REF!,"")</f>
        <v>#REF!</v>
      </c>
    </row>
    <row r="494" spans="1:14" ht="19.5" hidden="1" customHeight="1" x14ac:dyDescent="0.3">
      <c r="A494" s="59" t="e">
        <f>IF(AND(Data!#REF!&lt;&gt;"",Data!#REF!="Accept&amp;#233;"),Data!#REF!,"")</f>
        <v>#REF!</v>
      </c>
      <c r="B494" s="59" t="e">
        <f>IF(AND(Data!#REF!&lt;&gt;"",Data!#REF!="Accept&amp;#233;"),Data!#REF!,"")</f>
        <v>#REF!</v>
      </c>
      <c r="C494" s="60" t="e">
        <f t="shared" si="14"/>
        <v>#REF!</v>
      </c>
      <c r="D494" s="42" t="e">
        <f>IF(AND(Data!#REF!&lt;&gt;"",Data!#REF!="Accept&amp;#233;"),Data!#REF!,"")</f>
        <v>#REF!</v>
      </c>
      <c r="E494" s="61" t="e">
        <f>IF(AND(Data!#REF!&lt;&gt;"",Data!#REF!="Accept&amp;#233;"),Data!#REF!,"")</f>
        <v>#REF!</v>
      </c>
      <c r="F494" s="62" t="e">
        <f>IF(AND(Data!#REF!&lt;&gt;"",Data!#REF!="Accept&amp;#233;"),Data!#REF!,"")</f>
        <v>#REF!</v>
      </c>
      <c r="G494" s="63" t="e">
        <f>IF(Data!#REF!='Delivery Plan'!E494,Data!#REF!,"")</f>
        <v>#REF!</v>
      </c>
      <c r="H494" s="51"/>
      <c r="I494" s="60" t="e">
        <f t="shared" si="15"/>
        <v>#REF!</v>
      </c>
      <c r="J494" s="42" t="e">
        <f>IF(AND(E494=Data!#REF!,Data!#REF!&lt;&gt;""),Data!#REF!,"")</f>
        <v>#REF!</v>
      </c>
      <c r="K494" s="64" t="e">
        <f>IF(AND(E494=Data!#REF!,Data!#REF!&lt;&gt;""),Data!#REF!,"")</f>
        <v>#REF!</v>
      </c>
      <c r="L494" s="65" t="e">
        <f>IF(E494=Data!#REF!,Data!#REF!,"")</f>
        <v>#REF!</v>
      </c>
      <c r="M494" s="65" t="e">
        <f>IF(E494=Data!#REF!,Data!#REF!,"")</f>
        <v>#REF!</v>
      </c>
      <c r="N494" s="66" t="e">
        <f>IF(AND(Data!#REF!&lt;&gt;"",Data!#REF!="Accept&amp;#233;"),Data!#REF!,"")</f>
        <v>#REF!</v>
      </c>
    </row>
    <row r="495" spans="1:14" ht="19.5" hidden="1" customHeight="1" x14ac:dyDescent="0.3">
      <c r="A495" s="59" t="e">
        <f>IF(AND(Data!#REF!&lt;&gt;"",Data!#REF!="Accept&amp;#233;"),Data!#REF!,"")</f>
        <v>#REF!</v>
      </c>
      <c r="B495" s="59" t="e">
        <f>IF(AND(Data!#REF!&lt;&gt;"",Data!#REF!="Accept&amp;#233;"),Data!#REF!,"")</f>
        <v>#REF!</v>
      </c>
      <c r="C495" s="60" t="e">
        <f t="shared" si="14"/>
        <v>#REF!</v>
      </c>
      <c r="D495" s="42" t="e">
        <f>IF(AND(Data!#REF!&lt;&gt;"",Data!#REF!="Accept&amp;#233;"),Data!#REF!,"")</f>
        <v>#REF!</v>
      </c>
      <c r="E495" s="61" t="e">
        <f>IF(AND(Data!#REF!&lt;&gt;"",Data!#REF!="Accept&amp;#233;"),Data!#REF!,"")</f>
        <v>#REF!</v>
      </c>
      <c r="F495" s="62" t="e">
        <f>IF(AND(Data!#REF!&lt;&gt;"",Data!#REF!="Accept&amp;#233;"),Data!#REF!,"")</f>
        <v>#REF!</v>
      </c>
      <c r="G495" s="63" t="e">
        <f>IF(Data!#REF!='Delivery Plan'!E495,Data!#REF!,"")</f>
        <v>#REF!</v>
      </c>
      <c r="H495" s="51"/>
      <c r="I495" s="60" t="e">
        <f t="shared" si="15"/>
        <v>#REF!</v>
      </c>
      <c r="J495" s="42" t="e">
        <f>IF(AND(E495=Data!#REF!,Data!#REF!&lt;&gt;""),Data!#REF!,"")</f>
        <v>#REF!</v>
      </c>
      <c r="K495" s="64" t="e">
        <f>IF(AND(E495=Data!#REF!,Data!#REF!&lt;&gt;""),Data!#REF!,"")</f>
        <v>#REF!</v>
      </c>
      <c r="L495" s="65" t="e">
        <f>IF(E495=Data!#REF!,Data!#REF!,"")</f>
        <v>#REF!</v>
      </c>
      <c r="M495" s="65" t="e">
        <f>IF(E495=Data!#REF!,Data!#REF!,"")</f>
        <v>#REF!</v>
      </c>
      <c r="N495" s="66" t="e">
        <f>IF(AND(Data!#REF!&lt;&gt;"",Data!#REF!="Accept&amp;#233;"),Data!#REF!,"")</f>
        <v>#REF!</v>
      </c>
    </row>
    <row r="496" spans="1:14" ht="19.5" hidden="1" customHeight="1" x14ac:dyDescent="0.3">
      <c r="A496" s="59" t="e">
        <f>IF(AND(Data!#REF!&lt;&gt;"",Data!#REF!="Accept&amp;#233;"),Data!#REF!,"")</f>
        <v>#REF!</v>
      </c>
      <c r="B496" s="59" t="e">
        <f>IF(AND(Data!#REF!&lt;&gt;"",Data!#REF!="Accept&amp;#233;"),Data!#REF!,"")</f>
        <v>#REF!</v>
      </c>
      <c r="C496" s="60" t="e">
        <f t="shared" si="14"/>
        <v>#REF!</v>
      </c>
      <c r="D496" s="42" t="e">
        <f>IF(AND(Data!#REF!&lt;&gt;"",Data!#REF!="Accept&amp;#233;"),Data!#REF!,"")</f>
        <v>#REF!</v>
      </c>
      <c r="E496" s="61" t="e">
        <f>IF(AND(Data!#REF!&lt;&gt;"",Data!#REF!="Accept&amp;#233;"),Data!#REF!,"")</f>
        <v>#REF!</v>
      </c>
      <c r="F496" s="62" t="e">
        <f>IF(AND(Data!#REF!&lt;&gt;"",Data!#REF!="Accept&amp;#233;"),Data!#REF!,"")</f>
        <v>#REF!</v>
      </c>
      <c r="G496" s="63" t="e">
        <f>IF(Data!#REF!='Delivery Plan'!E496,Data!#REF!,"")</f>
        <v>#REF!</v>
      </c>
      <c r="H496" s="51"/>
      <c r="I496" s="60" t="e">
        <f t="shared" si="15"/>
        <v>#REF!</v>
      </c>
      <c r="J496" s="42" t="e">
        <f>IF(AND(E496=Data!#REF!,Data!#REF!&lt;&gt;""),Data!#REF!,"")</f>
        <v>#REF!</v>
      </c>
      <c r="K496" s="64" t="e">
        <f>IF(AND(E496=Data!#REF!,Data!#REF!&lt;&gt;""),Data!#REF!,"")</f>
        <v>#REF!</v>
      </c>
      <c r="L496" s="65" t="e">
        <f>IF(E496=Data!#REF!,Data!#REF!,"")</f>
        <v>#REF!</v>
      </c>
      <c r="M496" s="65" t="e">
        <f>IF(E496=Data!#REF!,Data!#REF!,"")</f>
        <v>#REF!</v>
      </c>
      <c r="N496" s="66" t="e">
        <f>IF(AND(Data!#REF!&lt;&gt;"",Data!#REF!="Accept&amp;#233;"),Data!#REF!,"")</f>
        <v>#REF!</v>
      </c>
    </row>
    <row r="497" spans="1:14" ht="19.5" hidden="1" customHeight="1" x14ac:dyDescent="0.3">
      <c r="A497" s="59" t="e">
        <f>IF(AND(Data!#REF!&lt;&gt;"",Data!#REF!="Accept&amp;#233;"),Data!#REF!,"")</f>
        <v>#REF!</v>
      </c>
      <c r="B497" s="59" t="e">
        <f>IF(AND(Data!#REF!&lt;&gt;"",Data!#REF!="Accept&amp;#233;"),Data!#REF!,"")</f>
        <v>#REF!</v>
      </c>
      <c r="C497" s="60" t="e">
        <f t="shared" si="14"/>
        <v>#REF!</v>
      </c>
      <c r="D497" s="42" t="e">
        <f>IF(AND(Data!#REF!&lt;&gt;"",Data!#REF!="Accept&amp;#233;"),Data!#REF!,"")</f>
        <v>#REF!</v>
      </c>
      <c r="E497" s="61" t="e">
        <f>IF(AND(Data!#REF!&lt;&gt;"",Data!#REF!="Accept&amp;#233;"),Data!#REF!,"")</f>
        <v>#REF!</v>
      </c>
      <c r="F497" s="62" t="e">
        <f>IF(AND(Data!#REF!&lt;&gt;"",Data!#REF!="Accept&amp;#233;"),Data!#REF!,"")</f>
        <v>#REF!</v>
      </c>
      <c r="G497" s="63" t="e">
        <f>IF(Data!#REF!='Delivery Plan'!E497,Data!#REF!,"")</f>
        <v>#REF!</v>
      </c>
      <c r="H497" s="51"/>
      <c r="I497" s="60" t="e">
        <f t="shared" si="15"/>
        <v>#REF!</v>
      </c>
      <c r="J497" s="42" t="e">
        <f>IF(AND(E497=Data!#REF!,Data!#REF!&lt;&gt;""),Data!#REF!,"")</f>
        <v>#REF!</v>
      </c>
      <c r="K497" s="64" t="e">
        <f>IF(AND(E497=Data!#REF!,Data!#REF!&lt;&gt;""),Data!#REF!,"")</f>
        <v>#REF!</v>
      </c>
      <c r="L497" s="65" t="e">
        <f>IF(E497=Data!#REF!,Data!#REF!,"")</f>
        <v>#REF!</v>
      </c>
      <c r="M497" s="65" t="e">
        <f>IF(E497=Data!#REF!,Data!#REF!,"")</f>
        <v>#REF!</v>
      </c>
      <c r="N497" s="66" t="e">
        <f>IF(AND(Data!#REF!&lt;&gt;"",Data!#REF!="Accept&amp;#233;"),Data!#REF!,"")</f>
        <v>#REF!</v>
      </c>
    </row>
    <row r="498" spans="1:14" ht="19.5" hidden="1" customHeight="1" x14ac:dyDescent="0.3">
      <c r="A498" s="59" t="e">
        <f>IF(AND(Data!#REF!&lt;&gt;"",Data!#REF!="Accept&amp;#233;"),Data!#REF!,"")</f>
        <v>#REF!</v>
      </c>
      <c r="B498" s="59" t="e">
        <f>IF(AND(Data!#REF!&lt;&gt;"",Data!#REF!="Accept&amp;#233;"),Data!#REF!,"")</f>
        <v>#REF!</v>
      </c>
      <c r="C498" s="60" t="e">
        <f t="shared" si="14"/>
        <v>#REF!</v>
      </c>
      <c r="D498" s="42" t="e">
        <f>IF(AND(Data!#REF!&lt;&gt;"",Data!#REF!="Accept&amp;#233;"),Data!#REF!,"")</f>
        <v>#REF!</v>
      </c>
      <c r="E498" s="61" t="e">
        <f>IF(AND(Data!#REF!&lt;&gt;"",Data!#REF!="Accept&amp;#233;"),Data!#REF!,"")</f>
        <v>#REF!</v>
      </c>
      <c r="F498" s="62" t="e">
        <f>IF(AND(Data!#REF!&lt;&gt;"",Data!#REF!="Accept&amp;#233;"),Data!#REF!,"")</f>
        <v>#REF!</v>
      </c>
      <c r="G498" s="63" t="e">
        <f>IF(Data!#REF!='Delivery Plan'!E498,Data!#REF!,"")</f>
        <v>#REF!</v>
      </c>
      <c r="H498" s="51"/>
      <c r="I498" s="60" t="e">
        <f t="shared" si="15"/>
        <v>#REF!</v>
      </c>
      <c r="J498" s="42" t="e">
        <f>IF(AND(E498=Data!#REF!,Data!#REF!&lt;&gt;""),Data!#REF!,"")</f>
        <v>#REF!</v>
      </c>
      <c r="K498" s="64" t="e">
        <f>IF(AND(E498=Data!#REF!,Data!#REF!&lt;&gt;""),Data!#REF!,"")</f>
        <v>#REF!</v>
      </c>
      <c r="L498" s="65" t="e">
        <f>IF(E498=Data!#REF!,Data!#REF!,"")</f>
        <v>#REF!</v>
      </c>
      <c r="M498" s="65" t="e">
        <f>IF(E498=Data!#REF!,Data!#REF!,"")</f>
        <v>#REF!</v>
      </c>
      <c r="N498" s="66" t="e">
        <f>IF(AND(Data!#REF!&lt;&gt;"",Data!#REF!="Accept&amp;#233;"),Data!#REF!,"")</f>
        <v>#REF!</v>
      </c>
    </row>
    <row r="499" spans="1:14" ht="19.5" hidden="1" customHeight="1" x14ac:dyDescent="0.3">
      <c r="A499" s="59" t="e">
        <f>IF(AND(Data!#REF!&lt;&gt;"",Data!#REF!="Accept&amp;#233;"),Data!#REF!,"")</f>
        <v>#REF!</v>
      </c>
      <c r="B499" s="59" t="e">
        <f>IF(AND(Data!#REF!&lt;&gt;"",Data!#REF!="Accept&amp;#233;"),Data!#REF!,"")</f>
        <v>#REF!</v>
      </c>
      <c r="C499" s="60" t="e">
        <f t="shared" si="14"/>
        <v>#REF!</v>
      </c>
      <c r="D499" s="42" t="e">
        <f>IF(AND(Data!#REF!&lt;&gt;"",Data!#REF!="Accept&amp;#233;"),Data!#REF!,"")</f>
        <v>#REF!</v>
      </c>
      <c r="E499" s="61" t="e">
        <f>IF(AND(Data!#REF!&lt;&gt;"",Data!#REF!="Accept&amp;#233;"),Data!#REF!,"")</f>
        <v>#REF!</v>
      </c>
      <c r="F499" s="62" t="e">
        <f>IF(AND(Data!#REF!&lt;&gt;"",Data!#REF!="Accept&amp;#233;"),Data!#REF!,"")</f>
        <v>#REF!</v>
      </c>
      <c r="G499" s="63" t="e">
        <f>IF(Data!#REF!='Delivery Plan'!E499,Data!#REF!,"")</f>
        <v>#REF!</v>
      </c>
      <c r="H499" s="51"/>
      <c r="I499" s="60" t="e">
        <f t="shared" si="15"/>
        <v>#REF!</v>
      </c>
      <c r="J499" s="42" t="e">
        <f>IF(AND(E499=Data!#REF!,Data!#REF!&lt;&gt;""),Data!#REF!,"")</f>
        <v>#REF!</v>
      </c>
      <c r="K499" s="64" t="e">
        <f>IF(AND(E499=Data!#REF!,Data!#REF!&lt;&gt;""),Data!#REF!,"")</f>
        <v>#REF!</v>
      </c>
      <c r="L499" s="65" t="e">
        <f>IF(E499=Data!#REF!,Data!#REF!,"")</f>
        <v>#REF!</v>
      </c>
      <c r="M499" s="65" t="e">
        <f>IF(E499=Data!#REF!,Data!#REF!,"")</f>
        <v>#REF!</v>
      </c>
      <c r="N499" s="66" t="e">
        <f>IF(AND(Data!#REF!&lt;&gt;"",Data!#REF!="Accept&amp;#233;"),Data!#REF!,"")</f>
        <v>#REF!</v>
      </c>
    </row>
    <row r="500" spans="1:14" ht="19.5" hidden="1" customHeight="1" x14ac:dyDescent="0.3">
      <c r="A500" s="59" t="e">
        <f>IF(AND(Data!#REF!&lt;&gt;"",Data!#REF!="Accept&amp;#233;"),Data!#REF!,"")</f>
        <v>#REF!</v>
      </c>
      <c r="B500" s="59" t="e">
        <f>IF(AND(Data!#REF!&lt;&gt;"",Data!#REF!="Accept&amp;#233;"),Data!#REF!,"")</f>
        <v>#REF!</v>
      </c>
      <c r="C500" s="60" t="e">
        <f t="shared" si="14"/>
        <v>#REF!</v>
      </c>
      <c r="D500" s="42" t="e">
        <f>IF(AND(Data!#REF!&lt;&gt;"",Data!#REF!="Accept&amp;#233;"),Data!#REF!,"")</f>
        <v>#REF!</v>
      </c>
      <c r="E500" s="61" t="e">
        <f>IF(AND(Data!#REF!&lt;&gt;"",Data!#REF!="Accept&amp;#233;"),Data!#REF!,"")</f>
        <v>#REF!</v>
      </c>
      <c r="F500" s="62" t="e">
        <f>IF(AND(Data!#REF!&lt;&gt;"",Data!#REF!="Accept&amp;#233;"),Data!#REF!,"")</f>
        <v>#REF!</v>
      </c>
      <c r="G500" s="63" t="e">
        <f>IF(Data!#REF!='Delivery Plan'!E500,Data!#REF!,"")</f>
        <v>#REF!</v>
      </c>
      <c r="H500" s="51"/>
      <c r="I500" s="60" t="e">
        <f t="shared" si="15"/>
        <v>#REF!</v>
      </c>
      <c r="J500" s="42" t="e">
        <f>IF(AND(E500=Data!#REF!,Data!#REF!&lt;&gt;""),Data!#REF!,"")</f>
        <v>#REF!</v>
      </c>
      <c r="K500" s="64" t="e">
        <f>IF(AND(E500=Data!#REF!,Data!#REF!&lt;&gt;""),Data!#REF!,"")</f>
        <v>#REF!</v>
      </c>
      <c r="L500" s="65" t="e">
        <f>IF(E500=Data!#REF!,Data!#REF!,"")</f>
        <v>#REF!</v>
      </c>
      <c r="M500" s="65" t="e">
        <f>IF(E500=Data!#REF!,Data!#REF!,"")</f>
        <v>#REF!</v>
      </c>
      <c r="N500" s="66" t="e">
        <f>IF(AND(Data!#REF!&lt;&gt;"",Data!#REF!="Accept&amp;#233;"),Data!#REF!,"")</f>
        <v>#REF!</v>
      </c>
    </row>
    <row r="501" spans="1:14" ht="19.5" hidden="1" customHeight="1" x14ac:dyDescent="0.3">
      <c r="A501" s="59" t="e">
        <f>IF(AND(Data!#REF!&lt;&gt;"",Data!#REF!="Accept&amp;#233;"),Data!#REF!,"")</f>
        <v>#REF!</v>
      </c>
      <c r="B501" s="59" t="e">
        <f>IF(AND(Data!#REF!&lt;&gt;"",Data!#REF!="Accept&amp;#233;"),Data!#REF!,"")</f>
        <v>#REF!</v>
      </c>
      <c r="C501" s="60" t="e">
        <f t="shared" si="14"/>
        <v>#REF!</v>
      </c>
      <c r="D501" s="42" t="e">
        <f>IF(AND(Data!#REF!&lt;&gt;"",Data!#REF!="Accept&amp;#233;"),Data!#REF!,"")</f>
        <v>#REF!</v>
      </c>
      <c r="E501" s="61" t="e">
        <f>IF(AND(Data!#REF!&lt;&gt;"",Data!#REF!="Accept&amp;#233;"),Data!#REF!,"")</f>
        <v>#REF!</v>
      </c>
      <c r="F501" s="62" t="e">
        <f>IF(AND(Data!#REF!&lt;&gt;"",Data!#REF!="Accept&amp;#233;"),Data!#REF!,"")</f>
        <v>#REF!</v>
      </c>
      <c r="G501" s="63" t="e">
        <f>IF(Data!#REF!='Delivery Plan'!E501,Data!#REF!,"")</f>
        <v>#REF!</v>
      </c>
      <c r="H501" s="51"/>
      <c r="I501" s="60" t="e">
        <f t="shared" si="15"/>
        <v>#REF!</v>
      </c>
      <c r="J501" s="42" t="e">
        <f>IF(AND(E501=Data!#REF!,Data!#REF!&lt;&gt;""),Data!#REF!,"")</f>
        <v>#REF!</v>
      </c>
      <c r="K501" s="64" t="e">
        <f>IF(AND(E501=Data!#REF!,Data!#REF!&lt;&gt;""),Data!#REF!,"")</f>
        <v>#REF!</v>
      </c>
      <c r="L501" s="65" t="e">
        <f>IF(E501=Data!#REF!,Data!#REF!,"")</f>
        <v>#REF!</v>
      </c>
      <c r="M501" s="65" t="e">
        <f>IF(E501=Data!#REF!,Data!#REF!,"")</f>
        <v>#REF!</v>
      </c>
      <c r="N501" s="66" t="e">
        <f>IF(AND(Data!#REF!&lt;&gt;"",Data!#REF!="Accept&amp;#233;"),Data!#REF!,"")</f>
        <v>#REF!</v>
      </c>
    </row>
    <row r="502" spans="1:14" ht="19.5" hidden="1" customHeight="1" x14ac:dyDescent="0.3">
      <c r="A502" s="59" t="e">
        <f>IF(AND(Data!#REF!&lt;&gt;"",Data!#REF!="Accept&amp;#233;"),Data!#REF!,"")</f>
        <v>#REF!</v>
      </c>
      <c r="B502" s="59" t="e">
        <f>IF(AND(Data!#REF!&lt;&gt;"",Data!#REF!="Accept&amp;#233;"),Data!#REF!,"")</f>
        <v>#REF!</v>
      </c>
      <c r="C502" s="60" t="e">
        <f t="shared" si="14"/>
        <v>#REF!</v>
      </c>
      <c r="D502" s="42" t="e">
        <f>IF(AND(Data!#REF!&lt;&gt;"",Data!#REF!="Accept&amp;#233;"),Data!#REF!,"")</f>
        <v>#REF!</v>
      </c>
      <c r="E502" s="61" t="e">
        <f>IF(AND(Data!#REF!&lt;&gt;"",Data!#REF!="Accept&amp;#233;"),Data!#REF!,"")</f>
        <v>#REF!</v>
      </c>
      <c r="F502" s="62" t="e">
        <f>IF(AND(Data!#REF!&lt;&gt;"",Data!#REF!="Accept&amp;#233;"),Data!#REF!,"")</f>
        <v>#REF!</v>
      </c>
      <c r="G502" s="63" t="e">
        <f>IF(Data!#REF!='Delivery Plan'!E502,Data!#REF!,"")</f>
        <v>#REF!</v>
      </c>
      <c r="H502" s="51"/>
      <c r="I502" s="60" t="e">
        <f t="shared" si="15"/>
        <v>#REF!</v>
      </c>
      <c r="J502" s="42" t="e">
        <f>IF(AND(E502=Data!#REF!,Data!#REF!&lt;&gt;""),Data!#REF!,"")</f>
        <v>#REF!</v>
      </c>
      <c r="K502" s="64" t="e">
        <f>IF(AND(E502=Data!#REF!,Data!#REF!&lt;&gt;""),Data!#REF!,"")</f>
        <v>#REF!</v>
      </c>
      <c r="L502" s="65" t="e">
        <f>IF(E502=Data!#REF!,Data!#REF!,"")</f>
        <v>#REF!</v>
      </c>
      <c r="M502" s="65" t="e">
        <f>IF(E502=Data!#REF!,Data!#REF!,"")</f>
        <v>#REF!</v>
      </c>
      <c r="N502" s="66" t="e">
        <f>IF(AND(Data!#REF!&lt;&gt;"",Data!#REF!="Accept&amp;#233;"),Data!#REF!,"")</f>
        <v>#REF!</v>
      </c>
    </row>
    <row r="503" spans="1:14" ht="19.5" hidden="1" customHeight="1" x14ac:dyDescent="0.3">
      <c r="A503" s="59" t="e">
        <f>IF(AND(Data!#REF!&lt;&gt;"",Data!#REF!="Accept&amp;#233;"),Data!#REF!,"")</f>
        <v>#REF!</v>
      </c>
      <c r="B503" s="59" t="e">
        <f>IF(AND(Data!#REF!&lt;&gt;"",Data!#REF!="Accept&amp;#233;"),Data!#REF!,"")</f>
        <v>#REF!</v>
      </c>
      <c r="C503" s="60" t="e">
        <f t="shared" si="14"/>
        <v>#REF!</v>
      </c>
      <c r="D503" s="42" t="e">
        <f>IF(AND(Data!#REF!&lt;&gt;"",Data!#REF!="Accept&amp;#233;"),Data!#REF!,"")</f>
        <v>#REF!</v>
      </c>
      <c r="E503" s="61" t="e">
        <f>IF(AND(Data!#REF!&lt;&gt;"",Data!#REF!="Accept&amp;#233;"),Data!#REF!,"")</f>
        <v>#REF!</v>
      </c>
      <c r="F503" s="62" t="e">
        <f>IF(AND(Data!#REF!&lt;&gt;"",Data!#REF!="Accept&amp;#233;"),Data!#REF!,"")</f>
        <v>#REF!</v>
      </c>
      <c r="G503" s="63" t="e">
        <f>IF(Data!#REF!='Delivery Plan'!E503,Data!#REF!,"")</f>
        <v>#REF!</v>
      </c>
      <c r="H503" s="51"/>
      <c r="I503" s="60" t="e">
        <f t="shared" si="15"/>
        <v>#REF!</v>
      </c>
      <c r="J503" s="42" t="e">
        <f>IF(AND(E503=Data!#REF!,Data!#REF!&lt;&gt;""),Data!#REF!,"")</f>
        <v>#REF!</v>
      </c>
      <c r="K503" s="64" t="e">
        <f>IF(AND(E503=Data!#REF!,Data!#REF!&lt;&gt;""),Data!#REF!,"")</f>
        <v>#REF!</v>
      </c>
      <c r="L503" s="65" t="e">
        <f>IF(E503=Data!#REF!,Data!#REF!,"")</f>
        <v>#REF!</v>
      </c>
      <c r="M503" s="65" t="e">
        <f>IF(E503=Data!#REF!,Data!#REF!,"")</f>
        <v>#REF!</v>
      </c>
      <c r="N503" s="66" t="e">
        <f>IF(AND(Data!#REF!&lt;&gt;"",Data!#REF!="Accept&amp;#233;"),Data!#REF!,"")</f>
        <v>#REF!</v>
      </c>
    </row>
    <row r="504" spans="1:14" ht="19.5" hidden="1" customHeight="1" x14ac:dyDescent="0.3">
      <c r="A504" s="59" t="e">
        <f>IF(AND(Data!#REF!&lt;&gt;"",Data!#REF!="Accept&amp;#233;"),Data!#REF!,"")</f>
        <v>#REF!</v>
      </c>
      <c r="B504" s="59" t="e">
        <f>IF(AND(Data!#REF!&lt;&gt;"",Data!#REF!="Accept&amp;#233;"),Data!#REF!,"")</f>
        <v>#REF!</v>
      </c>
      <c r="C504" s="60" t="e">
        <f t="shared" si="14"/>
        <v>#REF!</v>
      </c>
      <c r="D504" s="42" t="e">
        <f>IF(AND(Data!#REF!&lt;&gt;"",Data!#REF!="Accept&amp;#233;"),Data!#REF!,"")</f>
        <v>#REF!</v>
      </c>
      <c r="E504" s="61" t="e">
        <f>IF(AND(Data!#REF!&lt;&gt;"",Data!#REF!="Accept&amp;#233;"),Data!#REF!,"")</f>
        <v>#REF!</v>
      </c>
      <c r="F504" s="62" t="e">
        <f>IF(AND(Data!#REF!&lt;&gt;"",Data!#REF!="Accept&amp;#233;"),Data!#REF!,"")</f>
        <v>#REF!</v>
      </c>
      <c r="G504" s="63" t="e">
        <f>IF(Data!#REF!='Delivery Plan'!E504,Data!#REF!,"")</f>
        <v>#REF!</v>
      </c>
      <c r="H504" s="51"/>
      <c r="I504" s="60" t="e">
        <f t="shared" si="15"/>
        <v>#REF!</v>
      </c>
      <c r="J504" s="42" t="e">
        <f>IF(AND(E504=Data!#REF!,Data!#REF!&lt;&gt;""),Data!#REF!,"")</f>
        <v>#REF!</v>
      </c>
      <c r="K504" s="64" t="e">
        <f>IF(AND(E504=Data!#REF!,Data!#REF!&lt;&gt;""),Data!#REF!,"")</f>
        <v>#REF!</v>
      </c>
      <c r="L504" s="65" t="e">
        <f>IF(E504=Data!#REF!,Data!#REF!,"")</f>
        <v>#REF!</v>
      </c>
      <c r="M504" s="65" t="e">
        <f>IF(E504=Data!#REF!,Data!#REF!,"")</f>
        <v>#REF!</v>
      </c>
      <c r="N504" s="66" t="e">
        <f>IF(AND(Data!#REF!&lt;&gt;"",Data!#REF!="Accept&amp;#233;"),Data!#REF!,"")</f>
        <v>#REF!</v>
      </c>
    </row>
    <row r="505" spans="1:14" ht="19.5" hidden="1" customHeight="1" x14ac:dyDescent="0.3">
      <c r="A505" s="59" t="e">
        <f>IF(AND(Data!#REF!&lt;&gt;"",Data!#REF!="Accept&amp;#233;"),Data!#REF!,"")</f>
        <v>#REF!</v>
      </c>
      <c r="B505" s="59" t="e">
        <f>IF(AND(Data!#REF!&lt;&gt;"",Data!#REF!="Accept&amp;#233;"),Data!#REF!,"")</f>
        <v>#REF!</v>
      </c>
      <c r="C505" s="60" t="e">
        <f t="shared" si="14"/>
        <v>#REF!</v>
      </c>
      <c r="D505" s="42" t="e">
        <f>IF(AND(Data!#REF!&lt;&gt;"",Data!#REF!="Accept&amp;#233;"),Data!#REF!,"")</f>
        <v>#REF!</v>
      </c>
      <c r="E505" s="61" t="e">
        <f>IF(AND(Data!#REF!&lt;&gt;"",Data!#REF!="Accept&amp;#233;"),Data!#REF!,"")</f>
        <v>#REF!</v>
      </c>
      <c r="F505" s="62" t="e">
        <f>IF(AND(Data!#REF!&lt;&gt;"",Data!#REF!="Accept&amp;#233;"),Data!#REF!,"")</f>
        <v>#REF!</v>
      </c>
      <c r="G505" s="63" t="e">
        <f>IF(Data!#REF!='Delivery Plan'!E505,Data!#REF!,"")</f>
        <v>#REF!</v>
      </c>
      <c r="H505" s="51"/>
      <c r="I505" s="60" t="e">
        <f t="shared" si="15"/>
        <v>#REF!</v>
      </c>
      <c r="J505" s="42" t="e">
        <f>IF(AND(E505=Data!#REF!,Data!#REF!&lt;&gt;""),Data!#REF!,"")</f>
        <v>#REF!</v>
      </c>
      <c r="K505" s="64" t="e">
        <f>IF(AND(E505=Data!#REF!,Data!#REF!&lt;&gt;""),Data!#REF!,"")</f>
        <v>#REF!</v>
      </c>
      <c r="L505" s="65" t="e">
        <f>IF(E505=Data!#REF!,Data!#REF!,"")</f>
        <v>#REF!</v>
      </c>
      <c r="M505" s="65" t="e">
        <f>IF(E505=Data!#REF!,Data!#REF!,"")</f>
        <v>#REF!</v>
      </c>
      <c r="N505" s="66" t="e">
        <f>IF(AND(Data!#REF!&lt;&gt;"",Data!#REF!="Accept&amp;#233;"),Data!#REF!,"")</f>
        <v>#REF!</v>
      </c>
    </row>
    <row r="506" spans="1:14" ht="19.5" hidden="1" customHeight="1" x14ac:dyDescent="0.3">
      <c r="A506" s="59" t="e">
        <f>IF(AND(Data!#REF!&lt;&gt;"",Data!#REF!="Accept&amp;#233;"),Data!#REF!,"")</f>
        <v>#REF!</v>
      </c>
      <c r="B506" s="59" t="e">
        <f>IF(AND(Data!#REF!&lt;&gt;"",Data!#REF!="Accept&amp;#233;"),Data!#REF!,"")</f>
        <v>#REF!</v>
      </c>
      <c r="C506" s="60" t="e">
        <f t="shared" si="14"/>
        <v>#REF!</v>
      </c>
      <c r="D506" s="42" t="e">
        <f>IF(AND(Data!#REF!&lt;&gt;"",Data!#REF!="Accept&amp;#233;"),Data!#REF!,"")</f>
        <v>#REF!</v>
      </c>
      <c r="E506" s="61" t="e">
        <f>IF(AND(Data!#REF!&lt;&gt;"",Data!#REF!="Accept&amp;#233;"),Data!#REF!,"")</f>
        <v>#REF!</v>
      </c>
      <c r="F506" s="62" t="e">
        <f>IF(AND(Data!#REF!&lt;&gt;"",Data!#REF!="Accept&amp;#233;"),Data!#REF!,"")</f>
        <v>#REF!</v>
      </c>
      <c r="G506" s="63" t="e">
        <f>IF(Data!#REF!='Delivery Plan'!E506,Data!#REF!,"")</f>
        <v>#REF!</v>
      </c>
      <c r="H506" s="51"/>
      <c r="I506" s="60" t="e">
        <f t="shared" si="15"/>
        <v>#REF!</v>
      </c>
      <c r="J506" s="42" t="e">
        <f>IF(AND(E506=Data!#REF!,Data!#REF!&lt;&gt;""),Data!#REF!,"")</f>
        <v>#REF!</v>
      </c>
      <c r="K506" s="64" t="e">
        <f>IF(AND(E506=Data!#REF!,Data!#REF!&lt;&gt;""),Data!#REF!,"")</f>
        <v>#REF!</v>
      </c>
      <c r="L506" s="65" t="e">
        <f>IF(E506=Data!#REF!,Data!#REF!,"")</f>
        <v>#REF!</v>
      </c>
      <c r="M506" s="65" t="e">
        <f>IF(E506=Data!#REF!,Data!#REF!,"")</f>
        <v>#REF!</v>
      </c>
      <c r="N506" s="66" t="e">
        <f>IF(AND(Data!#REF!&lt;&gt;"",Data!#REF!="Accept&amp;#233;"),Data!#REF!,"")</f>
        <v>#REF!</v>
      </c>
    </row>
    <row r="507" spans="1:14" ht="19.5" hidden="1" customHeight="1" x14ac:dyDescent="0.3">
      <c r="A507" s="59" t="e">
        <f>IF(AND(Data!#REF!&lt;&gt;"",Data!#REF!="Accept&amp;#233;"),Data!#REF!,"")</f>
        <v>#REF!</v>
      </c>
      <c r="B507" s="59" t="e">
        <f>IF(AND(Data!#REF!&lt;&gt;"",Data!#REF!="Accept&amp;#233;"),Data!#REF!,"")</f>
        <v>#REF!</v>
      </c>
      <c r="C507" s="60" t="e">
        <f t="shared" si="14"/>
        <v>#REF!</v>
      </c>
      <c r="D507" s="42" t="e">
        <f>IF(AND(Data!#REF!&lt;&gt;"",Data!#REF!="Accept&amp;#233;"),Data!#REF!,"")</f>
        <v>#REF!</v>
      </c>
      <c r="E507" s="61" t="e">
        <f>IF(AND(Data!#REF!&lt;&gt;"",Data!#REF!="Accept&amp;#233;"),Data!#REF!,"")</f>
        <v>#REF!</v>
      </c>
      <c r="F507" s="62" t="e">
        <f>IF(AND(Data!#REF!&lt;&gt;"",Data!#REF!="Accept&amp;#233;"),Data!#REF!,"")</f>
        <v>#REF!</v>
      </c>
      <c r="G507" s="63" t="e">
        <f>IF(Data!#REF!='Delivery Plan'!E507,Data!#REF!,"")</f>
        <v>#REF!</v>
      </c>
      <c r="H507" s="51"/>
      <c r="I507" s="60" t="e">
        <f t="shared" si="15"/>
        <v>#REF!</v>
      </c>
      <c r="J507" s="42" t="e">
        <f>IF(AND(E507=Data!#REF!,Data!#REF!&lt;&gt;""),Data!#REF!,"")</f>
        <v>#REF!</v>
      </c>
      <c r="K507" s="64" t="e">
        <f>IF(AND(E507=Data!#REF!,Data!#REF!&lt;&gt;""),Data!#REF!,"")</f>
        <v>#REF!</v>
      </c>
      <c r="L507" s="65" t="e">
        <f>IF(E507=Data!#REF!,Data!#REF!,"")</f>
        <v>#REF!</v>
      </c>
      <c r="M507" s="65" t="e">
        <f>IF(E507=Data!#REF!,Data!#REF!,"")</f>
        <v>#REF!</v>
      </c>
      <c r="N507" s="66" t="e">
        <f>IF(AND(Data!#REF!&lt;&gt;"",Data!#REF!="Accept&amp;#233;"),Data!#REF!,"")</f>
        <v>#REF!</v>
      </c>
    </row>
    <row r="508" spans="1:14" ht="19.5" hidden="1" customHeight="1" x14ac:dyDescent="0.3">
      <c r="A508" s="59" t="e">
        <f>IF(AND(Data!#REF!&lt;&gt;"",Data!#REF!="Accept&amp;#233;"),Data!#REF!,"")</f>
        <v>#REF!</v>
      </c>
      <c r="B508" s="59" t="e">
        <f>IF(AND(Data!#REF!&lt;&gt;"",Data!#REF!="Accept&amp;#233;"),Data!#REF!,"")</f>
        <v>#REF!</v>
      </c>
      <c r="C508" s="60" t="e">
        <f t="shared" si="14"/>
        <v>#REF!</v>
      </c>
      <c r="D508" s="42" t="e">
        <f>IF(AND(Data!#REF!&lt;&gt;"",Data!#REF!="Accept&amp;#233;"),Data!#REF!,"")</f>
        <v>#REF!</v>
      </c>
      <c r="E508" s="61" t="e">
        <f>IF(AND(Data!#REF!&lt;&gt;"",Data!#REF!="Accept&amp;#233;"),Data!#REF!,"")</f>
        <v>#REF!</v>
      </c>
      <c r="F508" s="62" t="e">
        <f>IF(AND(Data!#REF!&lt;&gt;"",Data!#REF!="Accept&amp;#233;"),Data!#REF!,"")</f>
        <v>#REF!</v>
      </c>
      <c r="G508" s="63" t="e">
        <f>IF(Data!#REF!='Delivery Plan'!E508,Data!#REF!,"")</f>
        <v>#REF!</v>
      </c>
      <c r="H508" s="51"/>
      <c r="I508" s="60" t="e">
        <f t="shared" si="15"/>
        <v>#REF!</v>
      </c>
      <c r="J508" s="42" t="e">
        <f>IF(AND(E508=Data!#REF!,Data!#REF!&lt;&gt;""),Data!#REF!,"")</f>
        <v>#REF!</v>
      </c>
      <c r="K508" s="64" t="e">
        <f>IF(AND(E508=Data!#REF!,Data!#REF!&lt;&gt;""),Data!#REF!,"")</f>
        <v>#REF!</v>
      </c>
      <c r="L508" s="65" t="e">
        <f>IF(E508=Data!#REF!,Data!#REF!,"")</f>
        <v>#REF!</v>
      </c>
      <c r="M508" s="65" t="e">
        <f>IF(E508=Data!#REF!,Data!#REF!,"")</f>
        <v>#REF!</v>
      </c>
      <c r="N508" s="66" t="e">
        <f>IF(AND(Data!#REF!&lt;&gt;"",Data!#REF!="Accept&amp;#233;"),Data!#REF!,"")</f>
        <v>#REF!</v>
      </c>
    </row>
    <row r="509" spans="1:14" ht="19.5" hidden="1" customHeight="1" x14ac:dyDescent="0.3">
      <c r="A509" s="59" t="e">
        <f>IF(AND(Data!#REF!&lt;&gt;"",Data!#REF!="Accept&amp;#233;"),Data!#REF!,"")</f>
        <v>#REF!</v>
      </c>
      <c r="B509" s="59" t="e">
        <f>IF(AND(Data!#REF!&lt;&gt;"",Data!#REF!="Accept&amp;#233;"),Data!#REF!,"")</f>
        <v>#REF!</v>
      </c>
      <c r="C509" s="60" t="e">
        <f t="shared" si="14"/>
        <v>#REF!</v>
      </c>
      <c r="D509" s="42" t="e">
        <f>IF(AND(Data!#REF!&lt;&gt;"",Data!#REF!="Accept&amp;#233;"),Data!#REF!,"")</f>
        <v>#REF!</v>
      </c>
      <c r="E509" s="61" t="e">
        <f>IF(AND(Data!#REF!&lt;&gt;"",Data!#REF!="Accept&amp;#233;"),Data!#REF!,"")</f>
        <v>#REF!</v>
      </c>
      <c r="F509" s="62" t="e">
        <f>IF(AND(Data!#REF!&lt;&gt;"",Data!#REF!="Accept&amp;#233;"),Data!#REF!,"")</f>
        <v>#REF!</v>
      </c>
      <c r="G509" s="63" t="e">
        <f>IF(Data!#REF!='Delivery Plan'!E509,Data!#REF!,"")</f>
        <v>#REF!</v>
      </c>
      <c r="H509" s="51"/>
      <c r="I509" s="60" t="e">
        <f t="shared" si="15"/>
        <v>#REF!</v>
      </c>
      <c r="J509" s="42" t="e">
        <f>IF(AND(E509=Data!#REF!,Data!#REF!&lt;&gt;""),Data!#REF!,"")</f>
        <v>#REF!</v>
      </c>
      <c r="K509" s="64" t="e">
        <f>IF(AND(E509=Data!#REF!,Data!#REF!&lt;&gt;""),Data!#REF!,"")</f>
        <v>#REF!</v>
      </c>
      <c r="L509" s="65" t="e">
        <f>IF(E509=Data!#REF!,Data!#REF!,"")</f>
        <v>#REF!</v>
      </c>
      <c r="M509" s="65" t="e">
        <f>IF(E509=Data!#REF!,Data!#REF!,"")</f>
        <v>#REF!</v>
      </c>
      <c r="N509" s="66" t="e">
        <f>IF(AND(Data!#REF!&lt;&gt;"",Data!#REF!="Accept&amp;#233;"),Data!#REF!,"")</f>
        <v>#REF!</v>
      </c>
    </row>
    <row r="510" spans="1:14" ht="19.5" hidden="1" customHeight="1" x14ac:dyDescent="0.3">
      <c r="A510" s="59" t="e">
        <f>IF(AND(Data!#REF!&lt;&gt;"",Data!#REF!="Accept&amp;#233;"),Data!#REF!,"")</f>
        <v>#REF!</v>
      </c>
      <c r="B510" s="59" t="e">
        <f>IF(AND(Data!#REF!&lt;&gt;"",Data!#REF!="Accept&amp;#233;"),Data!#REF!,"")</f>
        <v>#REF!</v>
      </c>
      <c r="C510" s="60" t="e">
        <f t="shared" si="14"/>
        <v>#REF!</v>
      </c>
      <c r="D510" s="42" t="e">
        <f>IF(AND(Data!#REF!&lt;&gt;"",Data!#REF!="Accept&amp;#233;"),Data!#REF!,"")</f>
        <v>#REF!</v>
      </c>
      <c r="E510" s="61" t="e">
        <f>IF(AND(Data!#REF!&lt;&gt;"",Data!#REF!="Accept&amp;#233;"),Data!#REF!,"")</f>
        <v>#REF!</v>
      </c>
      <c r="F510" s="62" t="e">
        <f>IF(AND(Data!#REF!&lt;&gt;"",Data!#REF!="Accept&amp;#233;"),Data!#REF!,"")</f>
        <v>#REF!</v>
      </c>
      <c r="G510" s="63" t="e">
        <f>IF(Data!#REF!='Delivery Plan'!E510,Data!#REF!,"")</f>
        <v>#REF!</v>
      </c>
      <c r="H510" s="51"/>
      <c r="I510" s="60" t="e">
        <f t="shared" si="15"/>
        <v>#REF!</v>
      </c>
      <c r="J510" s="42" t="e">
        <f>IF(AND(E510=Data!#REF!,Data!#REF!&lt;&gt;""),Data!#REF!,"")</f>
        <v>#REF!</v>
      </c>
      <c r="K510" s="64" t="e">
        <f>IF(AND(E510=Data!#REF!,Data!#REF!&lt;&gt;""),Data!#REF!,"")</f>
        <v>#REF!</v>
      </c>
      <c r="L510" s="65" t="e">
        <f>IF(E510=Data!#REF!,Data!#REF!,"")</f>
        <v>#REF!</v>
      </c>
      <c r="M510" s="65" t="e">
        <f>IF(E510=Data!#REF!,Data!#REF!,"")</f>
        <v>#REF!</v>
      </c>
      <c r="N510" s="66" t="e">
        <f>IF(AND(Data!#REF!&lt;&gt;"",Data!#REF!="Accept&amp;#233;"),Data!#REF!,"")</f>
        <v>#REF!</v>
      </c>
    </row>
    <row r="511" spans="1:14" ht="19.5" hidden="1" customHeight="1" x14ac:dyDescent="0.3">
      <c r="A511" s="59" t="e">
        <f>IF(AND(Data!#REF!&lt;&gt;"",Data!#REF!="Accept&amp;#233;"),Data!#REF!,"")</f>
        <v>#REF!</v>
      </c>
      <c r="B511" s="59" t="e">
        <f>IF(AND(Data!#REF!&lt;&gt;"",Data!#REF!="Accept&amp;#233;"),Data!#REF!,"")</f>
        <v>#REF!</v>
      </c>
      <c r="C511" s="60" t="e">
        <f t="shared" si="14"/>
        <v>#REF!</v>
      </c>
      <c r="D511" s="42" t="e">
        <f>IF(AND(Data!#REF!&lt;&gt;"",Data!#REF!="Accept&amp;#233;"),Data!#REF!,"")</f>
        <v>#REF!</v>
      </c>
      <c r="E511" s="61" t="e">
        <f>IF(AND(Data!#REF!&lt;&gt;"",Data!#REF!="Accept&amp;#233;"),Data!#REF!,"")</f>
        <v>#REF!</v>
      </c>
      <c r="F511" s="62" t="e">
        <f>IF(AND(Data!#REF!&lt;&gt;"",Data!#REF!="Accept&amp;#233;"),Data!#REF!,"")</f>
        <v>#REF!</v>
      </c>
      <c r="G511" s="63" t="e">
        <f>IF(Data!#REF!='Delivery Plan'!E511,Data!#REF!,"")</f>
        <v>#REF!</v>
      </c>
      <c r="H511" s="51"/>
      <c r="I511" s="60" t="e">
        <f t="shared" si="15"/>
        <v>#REF!</v>
      </c>
      <c r="J511" s="42" t="e">
        <f>IF(AND(E511=Data!#REF!,Data!#REF!&lt;&gt;""),Data!#REF!,"")</f>
        <v>#REF!</v>
      </c>
      <c r="K511" s="64" t="e">
        <f>IF(AND(E511=Data!#REF!,Data!#REF!&lt;&gt;""),Data!#REF!,"")</f>
        <v>#REF!</v>
      </c>
      <c r="L511" s="65" t="e">
        <f>IF(E511=Data!#REF!,Data!#REF!,"")</f>
        <v>#REF!</v>
      </c>
      <c r="M511" s="65" t="e">
        <f>IF(E511=Data!#REF!,Data!#REF!,"")</f>
        <v>#REF!</v>
      </c>
      <c r="N511" s="66" t="e">
        <f>IF(AND(Data!#REF!&lt;&gt;"",Data!#REF!="Accept&amp;#233;"),Data!#REF!,"")</f>
        <v>#REF!</v>
      </c>
    </row>
    <row r="512" spans="1:14" ht="19.5" hidden="1" customHeight="1" x14ac:dyDescent="0.3">
      <c r="A512" s="59" t="e">
        <f>IF(AND(Data!#REF!&lt;&gt;"",Data!#REF!="Accept&amp;#233;"),Data!#REF!,"")</f>
        <v>#REF!</v>
      </c>
      <c r="B512" s="59" t="e">
        <f>IF(AND(Data!#REF!&lt;&gt;"",Data!#REF!="Accept&amp;#233;"),Data!#REF!,"")</f>
        <v>#REF!</v>
      </c>
      <c r="C512" s="60" t="e">
        <f t="shared" si="14"/>
        <v>#REF!</v>
      </c>
      <c r="D512" s="42" t="e">
        <f>IF(AND(Data!#REF!&lt;&gt;"",Data!#REF!="Accept&amp;#233;"),Data!#REF!,"")</f>
        <v>#REF!</v>
      </c>
      <c r="E512" s="61" t="e">
        <f>IF(AND(Data!#REF!&lt;&gt;"",Data!#REF!="Accept&amp;#233;"),Data!#REF!,"")</f>
        <v>#REF!</v>
      </c>
      <c r="F512" s="62" t="e">
        <f>IF(AND(Data!#REF!&lt;&gt;"",Data!#REF!="Accept&amp;#233;"),Data!#REF!,"")</f>
        <v>#REF!</v>
      </c>
      <c r="G512" s="63" t="e">
        <f>IF(Data!#REF!='Delivery Plan'!E512,Data!#REF!,"")</f>
        <v>#REF!</v>
      </c>
      <c r="H512" s="51"/>
      <c r="I512" s="60" t="e">
        <f t="shared" si="15"/>
        <v>#REF!</v>
      </c>
      <c r="J512" s="42" t="e">
        <f>IF(AND(E512=Data!#REF!,Data!#REF!&lt;&gt;""),Data!#REF!,"")</f>
        <v>#REF!</v>
      </c>
      <c r="K512" s="64" t="e">
        <f>IF(AND(E512=Data!#REF!,Data!#REF!&lt;&gt;""),Data!#REF!,"")</f>
        <v>#REF!</v>
      </c>
      <c r="L512" s="65" t="e">
        <f>IF(E512=Data!#REF!,Data!#REF!,"")</f>
        <v>#REF!</v>
      </c>
      <c r="M512" s="65" t="e">
        <f>IF(E512=Data!#REF!,Data!#REF!,"")</f>
        <v>#REF!</v>
      </c>
      <c r="N512" s="66" t="e">
        <f>IF(AND(Data!#REF!&lt;&gt;"",Data!#REF!="Accept&amp;#233;"),Data!#REF!,"")</f>
        <v>#REF!</v>
      </c>
    </row>
    <row r="513" spans="1:14" ht="19.5" hidden="1" customHeight="1" x14ac:dyDescent="0.3">
      <c r="A513" s="59" t="e">
        <f>IF(AND(Data!#REF!&lt;&gt;"",Data!#REF!="Accept&amp;#233;"),Data!#REF!,"")</f>
        <v>#REF!</v>
      </c>
      <c r="B513" s="59" t="e">
        <f>IF(AND(Data!#REF!&lt;&gt;"",Data!#REF!="Accept&amp;#233;"),Data!#REF!,"")</f>
        <v>#REF!</v>
      </c>
      <c r="C513" s="60" t="e">
        <f t="shared" si="14"/>
        <v>#REF!</v>
      </c>
      <c r="D513" s="42" t="e">
        <f>IF(AND(Data!#REF!&lt;&gt;"",Data!#REF!="Accept&amp;#233;"),Data!#REF!,"")</f>
        <v>#REF!</v>
      </c>
      <c r="E513" s="61" t="e">
        <f>IF(AND(Data!#REF!&lt;&gt;"",Data!#REF!="Accept&amp;#233;"),Data!#REF!,"")</f>
        <v>#REF!</v>
      </c>
      <c r="F513" s="62" t="e">
        <f>IF(AND(Data!#REF!&lt;&gt;"",Data!#REF!="Accept&amp;#233;"),Data!#REF!,"")</f>
        <v>#REF!</v>
      </c>
      <c r="G513" s="63" t="e">
        <f>IF(Data!#REF!='Delivery Plan'!E513,Data!#REF!,"")</f>
        <v>#REF!</v>
      </c>
      <c r="H513" s="51"/>
      <c r="I513" s="60" t="e">
        <f t="shared" si="15"/>
        <v>#REF!</v>
      </c>
      <c r="J513" s="42" t="e">
        <f>IF(AND(E513=Data!#REF!,Data!#REF!&lt;&gt;""),Data!#REF!,"")</f>
        <v>#REF!</v>
      </c>
      <c r="K513" s="64" t="e">
        <f>IF(AND(E513=Data!#REF!,Data!#REF!&lt;&gt;""),Data!#REF!,"")</f>
        <v>#REF!</v>
      </c>
      <c r="L513" s="65" t="e">
        <f>IF(E513=Data!#REF!,Data!#REF!,"")</f>
        <v>#REF!</v>
      </c>
      <c r="M513" s="65" t="e">
        <f>IF(E513=Data!#REF!,Data!#REF!,"")</f>
        <v>#REF!</v>
      </c>
      <c r="N513" s="66" t="e">
        <f>IF(AND(Data!#REF!&lt;&gt;"",Data!#REF!="Accept&amp;#233;"),Data!#REF!,"")</f>
        <v>#REF!</v>
      </c>
    </row>
    <row r="514" spans="1:14" ht="19.5" hidden="1" customHeight="1" x14ac:dyDescent="0.3">
      <c r="A514" s="59" t="e">
        <f>IF(AND(Data!#REF!&lt;&gt;"",Data!#REF!="Accept&amp;#233;"),Data!#REF!,"")</f>
        <v>#REF!</v>
      </c>
      <c r="B514" s="59" t="e">
        <f>IF(AND(Data!#REF!&lt;&gt;"",Data!#REF!="Accept&amp;#233;"),Data!#REF!,"")</f>
        <v>#REF!</v>
      </c>
      <c r="C514" s="60" t="e">
        <f t="shared" si="14"/>
        <v>#REF!</v>
      </c>
      <c r="D514" s="42" t="e">
        <f>IF(AND(Data!#REF!&lt;&gt;"",Data!#REF!="Accept&amp;#233;"),Data!#REF!,"")</f>
        <v>#REF!</v>
      </c>
      <c r="E514" s="61" t="e">
        <f>IF(AND(Data!#REF!&lt;&gt;"",Data!#REF!="Accept&amp;#233;"),Data!#REF!,"")</f>
        <v>#REF!</v>
      </c>
      <c r="F514" s="62" t="e">
        <f>IF(AND(Data!#REF!&lt;&gt;"",Data!#REF!="Accept&amp;#233;"),Data!#REF!,"")</f>
        <v>#REF!</v>
      </c>
      <c r="G514" s="63" t="e">
        <f>IF(Data!#REF!='Delivery Plan'!E514,Data!#REF!,"")</f>
        <v>#REF!</v>
      </c>
      <c r="H514" s="51"/>
      <c r="I514" s="60" t="e">
        <f t="shared" si="15"/>
        <v>#REF!</v>
      </c>
      <c r="J514" s="42" t="e">
        <f>IF(AND(E514=Data!#REF!,Data!#REF!&lt;&gt;""),Data!#REF!,"")</f>
        <v>#REF!</v>
      </c>
      <c r="K514" s="64" t="e">
        <f>IF(AND(E514=Data!#REF!,Data!#REF!&lt;&gt;""),Data!#REF!,"")</f>
        <v>#REF!</v>
      </c>
      <c r="L514" s="65" t="e">
        <f>IF(E514=Data!#REF!,Data!#REF!,"")</f>
        <v>#REF!</v>
      </c>
      <c r="M514" s="65" t="e">
        <f>IF(E514=Data!#REF!,Data!#REF!,"")</f>
        <v>#REF!</v>
      </c>
      <c r="N514" s="66" t="e">
        <f>IF(AND(Data!#REF!&lt;&gt;"",Data!#REF!="Accept&amp;#233;"),Data!#REF!,"")</f>
        <v>#REF!</v>
      </c>
    </row>
    <row r="515" spans="1:14" ht="19.5" hidden="1" customHeight="1" x14ac:dyDescent="0.3">
      <c r="A515" s="59" t="e">
        <f>IF(AND(Data!#REF!&lt;&gt;"",Data!#REF!="Accept&amp;#233;"),Data!#REF!,"")</f>
        <v>#REF!</v>
      </c>
      <c r="B515" s="59" t="e">
        <f>IF(AND(Data!#REF!&lt;&gt;"",Data!#REF!="Accept&amp;#233;"),Data!#REF!,"")</f>
        <v>#REF!</v>
      </c>
      <c r="C515" s="60" t="e">
        <f t="shared" si="14"/>
        <v>#REF!</v>
      </c>
      <c r="D515" s="42" t="e">
        <f>IF(AND(Data!#REF!&lt;&gt;"",Data!#REF!="Accept&amp;#233;"),Data!#REF!,"")</f>
        <v>#REF!</v>
      </c>
      <c r="E515" s="61" t="e">
        <f>IF(AND(Data!#REF!&lt;&gt;"",Data!#REF!="Accept&amp;#233;"),Data!#REF!,"")</f>
        <v>#REF!</v>
      </c>
      <c r="F515" s="62" t="e">
        <f>IF(AND(Data!#REF!&lt;&gt;"",Data!#REF!="Accept&amp;#233;"),Data!#REF!,"")</f>
        <v>#REF!</v>
      </c>
      <c r="G515" s="63" t="e">
        <f>IF(Data!#REF!='Delivery Plan'!E515,Data!#REF!,"")</f>
        <v>#REF!</v>
      </c>
      <c r="H515" s="51"/>
      <c r="I515" s="60" t="e">
        <f t="shared" si="15"/>
        <v>#REF!</v>
      </c>
      <c r="J515" s="42" t="e">
        <f>IF(AND(E515=Data!#REF!,Data!#REF!&lt;&gt;""),Data!#REF!,"")</f>
        <v>#REF!</v>
      </c>
      <c r="K515" s="64" t="e">
        <f>IF(AND(E515=Data!#REF!,Data!#REF!&lt;&gt;""),Data!#REF!,"")</f>
        <v>#REF!</v>
      </c>
      <c r="L515" s="65" t="e">
        <f>IF(E515=Data!#REF!,Data!#REF!,"")</f>
        <v>#REF!</v>
      </c>
      <c r="M515" s="65" t="e">
        <f>IF(E515=Data!#REF!,Data!#REF!,"")</f>
        <v>#REF!</v>
      </c>
      <c r="N515" s="66" t="e">
        <f>IF(AND(Data!#REF!&lt;&gt;"",Data!#REF!="Accept&amp;#233;"),Data!#REF!,"")</f>
        <v>#REF!</v>
      </c>
    </row>
    <row r="516" spans="1:14" ht="19.5" hidden="1" customHeight="1" x14ac:dyDescent="0.3">
      <c r="A516" s="59" t="e">
        <f>IF(AND(Data!#REF!&lt;&gt;"",Data!#REF!="Accept&amp;#233;"),Data!#REF!,"")</f>
        <v>#REF!</v>
      </c>
      <c r="B516" s="59" t="e">
        <f>IF(AND(Data!#REF!&lt;&gt;"",Data!#REF!="Accept&amp;#233;"),Data!#REF!,"")</f>
        <v>#REF!</v>
      </c>
      <c r="C516" s="60" t="e">
        <f t="shared" ref="C516:C579" si="16">IF(D516&lt;&gt;"","S"&amp;TEXT(WEEKNUM(D516),"00"),"")</f>
        <v>#REF!</v>
      </c>
      <c r="D516" s="42" t="e">
        <f>IF(AND(Data!#REF!&lt;&gt;"",Data!#REF!="Accept&amp;#233;"),Data!#REF!,"")</f>
        <v>#REF!</v>
      </c>
      <c r="E516" s="61" t="e">
        <f>IF(AND(Data!#REF!&lt;&gt;"",Data!#REF!="Accept&amp;#233;"),Data!#REF!,"")</f>
        <v>#REF!</v>
      </c>
      <c r="F516" s="62" t="e">
        <f>IF(AND(Data!#REF!&lt;&gt;"",Data!#REF!="Accept&amp;#233;"),Data!#REF!,"")</f>
        <v>#REF!</v>
      </c>
      <c r="G516" s="63" t="e">
        <f>IF(Data!#REF!='Delivery Plan'!E516,Data!#REF!,"")</f>
        <v>#REF!</v>
      </c>
      <c r="H516" s="51"/>
      <c r="I516" s="60" t="e">
        <f t="shared" ref="I516:I579" si="17">IF(J516&lt;&gt;"","S"&amp;TEXT(WEEKNUM(J516),"00"),"")</f>
        <v>#REF!</v>
      </c>
      <c r="J516" s="42" t="e">
        <f>IF(AND(E516=Data!#REF!,Data!#REF!&lt;&gt;""),Data!#REF!,"")</f>
        <v>#REF!</v>
      </c>
      <c r="K516" s="64" t="e">
        <f>IF(AND(E516=Data!#REF!,Data!#REF!&lt;&gt;""),Data!#REF!,"")</f>
        <v>#REF!</v>
      </c>
      <c r="L516" s="65" t="e">
        <f>IF(E516=Data!#REF!,Data!#REF!,"")</f>
        <v>#REF!</v>
      </c>
      <c r="M516" s="65" t="e">
        <f>IF(E516=Data!#REF!,Data!#REF!,"")</f>
        <v>#REF!</v>
      </c>
      <c r="N516" s="66" t="e">
        <f>IF(AND(Data!#REF!&lt;&gt;"",Data!#REF!="Accept&amp;#233;"),Data!#REF!,"")</f>
        <v>#REF!</v>
      </c>
    </row>
    <row r="517" spans="1:14" ht="19.5" hidden="1" customHeight="1" x14ac:dyDescent="0.3">
      <c r="A517" s="59" t="e">
        <f>IF(AND(Data!#REF!&lt;&gt;"",Data!#REF!="Accept&amp;#233;"),Data!#REF!,"")</f>
        <v>#REF!</v>
      </c>
      <c r="B517" s="59" t="e">
        <f>IF(AND(Data!#REF!&lt;&gt;"",Data!#REF!="Accept&amp;#233;"),Data!#REF!,"")</f>
        <v>#REF!</v>
      </c>
      <c r="C517" s="60" t="e">
        <f t="shared" si="16"/>
        <v>#REF!</v>
      </c>
      <c r="D517" s="42" t="e">
        <f>IF(AND(Data!#REF!&lt;&gt;"",Data!#REF!="Accept&amp;#233;"),Data!#REF!,"")</f>
        <v>#REF!</v>
      </c>
      <c r="E517" s="61" t="e">
        <f>IF(AND(Data!#REF!&lt;&gt;"",Data!#REF!="Accept&amp;#233;"),Data!#REF!,"")</f>
        <v>#REF!</v>
      </c>
      <c r="F517" s="62" t="e">
        <f>IF(AND(Data!#REF!&lt;&gt;"",Data!#REF!="Accept&amp;#233;"),Data!#REF!,"")</f>
        <v>#REF!</v>
      </c>
      <c r="G517" s="63" t="e">
        <f>IF(Data!#REF!='Delivery Plan'!E517,Data!#REF!,"")</f>
        <v>#REF!</v>
      </c>
      <c r="H517" s="51"/>
      <c r="I517" s="60" t="e">
        <f t="shared" si="17"/>
        <v>#REF!</v>
      </c>
      <c r="J517" s="42" t="e">
        <f>IF(AND(E517=Data!#REF!,Data!#REF!&lt;&gt;""),Data!#REF!,"")</f>
        <v>#REF!</v>
      </c>
      <c r="K517" s="64" t="e">
        <f>IF(AND(E517=Data!#REF!,Data!#REF!&lt;&gt;""),Data!#REF!,"")</f>
        <v>#REF!</v>
      </c>
      <c r="L517" s="65" t="e">
        <f>IF(E517=Data!#REF!,Data!#REF!,"")</f>
        <v>#REF!</v>
      </c>
      <c r="M517" s="65" t="e">
        <f>IF(E517=Data!#REF!,Data!#REF!,"")</f>
        <v>#REF!</v>
      </c>
      <c r="N517" s="66" t="e">
        <f>IF(AND(Data!#REF!&lt;&gt;"",Data!#REF!="Accept&amp;#233;"),Data!#REF!,"")</f>
        <v>#REF!</v>
      </c>
    </row>
    <row r="518" spans="1:14" ht="19.5" hidden="1" customHeight="1" x14ac:dyDescent="0.3">
      <c r="A518" s="59" t="e">
        <f>IF(AND(Data!#REF!&lt;&gt;"",Data!#REF!="Accept&amp;#233;"),Data!#REF!,"")</f>
        <v>#REF!</v>
      </c>
      <c r="B518" s="59" t="e">
        <f>IF(AND(Data!#REF!&lt;&gt;"",Data!#REF!="Accept&amp;#233;"),Data!#REF!,"")</f>
        <v>#REF!</v>
      </c>
      <c r="C518" s="60" t="e">
        <f t="shared" si="16"/>
        <v>#REF!</v>
      </c>
      <c r="D518" s="42" t="e">
        <f>IF(AND(Data!#REF!&lt;&gt;"",Data!#REF!="Accept&amp;#233;"),Data!#REF!,"")</f>
        <v>#REF!</v>
      </c>
      <c r="E518" s="61" t="e">
        <f>IF(AND(Data!#REF!&lt;&gt;"",Data!#REF!="Accept&amp;#233;"),Data!#REF!,"")</f>
        <v>#REF!</v>
      </c>
      <c r="F518" s="62" t="e">
        <f>IF(AND(Data!#REF!&lt;&gt;"",Data!#REF!="Accept&amp;#233;"),Data!#REF!,"")</f>
        <v>#REF!</v>
      </c>
      <c r="G518" s="63" t="e">
        <f>IF(Data!#REF!='Delivery Plan'!E518,Data!#REF!,"")</f>
        <v>#REF!</v>
      </c>
      <c r="H518" s="51"/>
      <c r="I518" s="60" t="e">
        <f t="shared" si="17"/>
        <v>#REF!</v>
      </c>
      <c r="J518" s="42" t="e">
        <f>IF(AND(E518=Data!#REF!,Data!#REF!&lt;&gt;""),Data!#REF!,"")</f>
        <v>#REF!</v>
      </c>
      <c r="K518" s="64" t="e">
        <f>IF(AND(E518=Data!#REF!,Data!#REF!&lt;&gt;""),Data!#REF!,"")</f>
        <v>#REF!</v>
      </c>
      <c r="L518" s="65" t="e">
        <f>IF(E518=Data!#REF!,Data!#REF!,"")</f>
        <v>#REF!</v>
      </c>
      <c r="M518" s="65" t="e">
        <f>IF(E518=Data!#REF!,Data!#REF!,"")</f>
        <v>#REF!</v>
      </c>
      <c r="N518" s="66" t="e">
        <f>IF(AND(Data!#REF!&lt;&gt;"",Data!#REF!="Accept&amp;#233;"),Data!#REF!,"")</f>
        <v>#REF!</v>
      </c>
    </row>
    <row r="519" spans="1:14" ht="19.5" hidden="1" customHeight="1" x14ac:dyDescent="0.3">
      <c r="A519" s="59" t="e">
        <f>IF(AND(Data!#REF!&lt;&gt;"",Data!#REF!="Accept&amp;#233;"),Data!#REF!,"")</f>
        <v>#REF!</v>
      </c>
      <c r="B519" s="59" t="e">
        <f>IF(AND(Data!#REF!&lt;&gt;"",Data!#REF!="Accept&amp;#233;"),Data!#REF!,"")</f>
        <v>#REF!</v>
      </c>
      <c r="C519" s="60" t="e">
        <f t="shared" si="16"/>
        <v>#REF!</v>
      </c>
      <c r="D519" s="42" t="e">
        <f>IF(AND(Data!#REF!&lt;&gt;"",Data!#REF!="Accept&amp;#233;"),Data!#REF!,"")</f>
        <v>#REF!</v>
      </c>
      <c r="E519" s="61" t="e">
        <f>IF(AND(Data!#REF!&lt;&gt;"",Data!#REF!="Accept&amp;#233;"),Data!#REF!,"")</f>
        <v>#REF!</v>
      </c>
      <c r="F519" s="62" t="e">
        <f>IF(AND(Data!#REF!&lt;&gt;"",Data!#REF!="Accept&amp;#233;"),Data!#REF!,"")</f>
        <v>#REF!</v>
      </c>
      <c r="G519" s="63" t="e">
        <f>IF(Data!#REF!='Delivery Plan'!E519,Data!#REF!,"")</f>
        <v>#REF!</v>
      </c>
      <c r="H519" s="51"/>
      <c r="I519" s="60" t="e">
        <f t="shared" si="17"/>
        <v>#REF!</v>
      </c>
      <c r="J519" s="42" t="e">
        <f>IF(AND(E519=Data!#REF!,Data!#REF!&lt;&gt;""),Data!#REF!,"")</f>
        <v>#REF!</v>
      </c>
      <c r="K519" s="64" t="e">
        <f>IF(AND(E519=Data!#REF!,Data!#REF!&lt;&gt;""),Data!#REF!,"")</f>
        <v>#REF!</v>
      </c>
      <c r="L519" s="65" t="e">
        <f>IF(E519=Data!#REF!,Data!#REF!,"")</f>
        <v>#REF!</v>
      </c>
      <c r="M519" s="65" t="e">
        <f>IF(E519=Data!#REF!,Data!#REF!,"")</f>
        <v>#REF!</v>
      </c>
      <c r="N519" s="66" t="e">
        <f>IF(AND(Data!#REF!&lt;&gt;"",Data!#REF!="Accept&amp;#233;"),Data!#REF!,"")</f>
        <v>#REF!</v>
      </c>
    </row>
    <row r="520" spans="1:14" ht="19.5" hidden="1" customHeight="1" x14ac:dyDescent="0.3">
      <c r="A520" s="59" t="e">
        <f>IF(AND(Data!#REF!&lt;&gt;"",Data!#REF!="Accept&amp;#233;"),Data!#REF!,"")</f>
        <v>#REF!</v>
      </c>
      <c r="B520" s="59" t="e">
        <f>IF(AND(Data!#REF!&lt;&gt;"",Data!#REF!="Accept&amp;#233;"),Data!#REF!,"")</f>
        <v>#REF!</v>
      </c>
      <c r="C520" s="60" t="e">
        <f t="shared" si="16"/>
        <v>#REF!</v>
      </c>
      <c r="D520" s="42" t="e">
        <f>IF(AND(Data!#REF!&lt;&gt;"",Data!#REF!="Accept&amp;#233;"),Data!#REF!,"")</f>
        <v>#REF!</v>
      </c>
      <c r="E520" s="61" t="e">
        <f>IF(AND(Data!#REF!&lt;&gt;"",Data!#REF!="Accept&amp;#233;"),Data!#REF!,"")</f>
        <v>#REF!</v>
      </c>
      <c r="F520" s="62" t="e">
        <f>IF(AND(Data!#REF!&lt;&gt;"",Data!#REF!="Accept&amp;#233;"),Data!#REF!,"")</f>
        <v>#REF!</v>
      </c>
      <c r="G520" s="63" t="e">
        <f>IF(Data!#REF!='Delivery Plan'!E520,Data!#REF!,"")</f>
        <v>#REF!</v>
      </c>
      <c r="H520" s="51"/>
      <c r="I520" s="60" t="e">
        <f t="shared" si="17"/>
        <v>#REF!</v>
      </c>
      <c r="J520" s="42" t="e">
        <f>IF(AND(E520=Data!#REF!,Data!#REF!&lt;&gt;""),Data!#REF!,"")</f>
        <v>#REF!</v>
      </c>
      <c r="K520" s="64" t="e">
        <f>IF(AND(E520=Data!#REF!,Data!#REF!&lt;&gt;""),Data!#REF!,"")</f>
        <v>#REF!</v>
      </c>
      <c r="L520" s="65" t="e">
        <f>IF(E520=Data!#REF!,Data!#REF!,"")</f>
        <v>#REF!</v>
      </c>
      <c r="M520" s="65" t="e">
        <f>IF(E520=Data!#REF!,Data!#REF!,"")</f>
        <v>#REF!</v>
      </c>
      <c r="N520" s="66" t="e">
        <f>IF(AND(Data!#REF!&lt;&gt;"",Data!#REF!="Accept&amp;#233;"),Data!#REF!,"")</f>
        <v>#REF!</v>
      </c>
    </row>
    <row r="521" spans="1:14" ht="19.5" hidden="1" customHeight="1" x14ac:dyDescent="0.3">
      <c r="A521" s="59" t="e">
        <f>IF(AND(Data!#REF!&lt;&gt;"",Data!#REF!="Accept&amp;#233;"),Data!#REF!,"")</f>
        <v>#REF!</v>
      </c>
      <c r="B521" s="59" t="e">
        <f>IF(AND(Data!#REF!&lt;&gt;"",Data!#REF!="Accept&amp;#233;"),Data!#REF!,"")</f>
        <v>#REF!</v>
      </c>
      <c r="C521" s="60" t="e">
        <f t="shared" si="16"/>
        <v>#REF!</v>
      </c>
      <c r="D521" s="42" t="e">
        <f>IF(AND(Data!#REF!&lt;&gt;"",Data!#REF!="Accept&amp;#233;"),Data!#REF!,"")</f>
        <v>#REF!</v>
      </c>
      <c r="E521" s="61" t="e">
        <f>IF(AND(Data!#REF!&lt;&gt;"",Data!#REF!="Accept&amp;#233;"),Data!#REF!,"")</f>
        <v>#REF!</v>
      </c>
      <c r="F521" s="62" t="e">
        <f>IF(AND(Data!#REF!&lt;&gt;"",Data!#REF!="Accept&amp;#233;"),Data!#REF!,"")</f>
        <v>#REF!</v>
      </c>
      <c r="G521" s="63" t="e">
        <f>IF(Data!#REF!='Delivery Plan'!E521,Data!#REF!,"")</f>
        <v>#REF!</v>
      </c>
      <c r="H521" s="51"/>
      <c r="I521" s="60" t="e">
        <f t="shared" si="17"/>
        <v>#REF!</v>
      </c>
      <c r="J521" s="42" t="e">
        <f>IF(AND(E521=Data!#REF!,Data!#REF!&lt;&gt;""),Data!#REF!,"")</f>
        <v>#REF!</v>
      </c>
      <c r="K521" s="64" t="e">
        <f>IF(AND(E521=Data!#REF!,Data!#REF!&lt;&gt;""),Data!#REF!,"")</f>
        <v>#REF!</v>
      </c>
      <c r="L521" s="65" t="e">
        <f>IF(E521=Data!#REF!,Data!#REF!,"")</f>
        <v>#REF!</v>
      </c>
      <c r="M521" s="65" t="e">
        <f>IF(E521=Data!#REF!,Data!#REF!,"")</f>
        <v>#REF!</v>
      </c>
      <c r="N521" s="66" t="e">
        <f>IF(AND(Data!#REF!&lt;&gt;"",Data!#REF!="Accept&amp;#233;"),Data!#REF!,"")</f>
        <v>#REF!</v>
      </c>
    </row>
    <row r="522" spans="1:14" ht="19.5" hidden="1" customHeight="1" x14ac:dyDescent="0.3">
      <c r="A522" s="59" t="e">
        <f>IF(AND(Data!#REF!&lt;&gt;"",Data!#REF!="Accept&amp;#233;"),Data!#REF!,"")</f>
        <v>#REF!</v>
      </c>
      <c r="B522" s="59" t="e">
        <f>IF(AND(Data!#REF!&lt;&gt;"",Data!#REF!="Accept&amp;#233;"),Data!#REF!,"")</f>
        <v>#REF!</v>
      </c>
      <c r="C522" s="60" t="e">
        <f t="shared" si="16"/>
        <v>#REF!</v>
      </c>
      <c r="D522" s="42" t="e">
        <f>IF(AND(Data!#REF!&lt;&gt;"",Data!#REF!="Accept&amp;#233;"),Data!#REF!,"")</f>
        <v>#REF!</v>
      </c>
      <c r="E522" s="61" t="e">
        <f>IF(AND(Data!#REF!&lt;&gt;"",Data!#REF!="Accept&amp;#233;"),Data!#REF!,"")</f>
        <v>#REF!</v>
      </c>
      <c r="F522" s="62" t="e">
        <f>IF(AND(Data!#REF!&lt;&gt;"",Data!#REF!="Accept&amp;#233;"),Data!#REF!,"")</f>
        <v>#REF!</v>
      </c>
      <c r="G522" s="63" t="e">
        <f>IF(Data!#REF!='Delivery Plan'!E522,Data!#REF!,"")</f>
        <v>#REF!</v>
      </c>
      <c r="H522" s="51"/>
      <c r="I522" s="60" t="e">
        <f t="shared" si="17"/>
        <v>#REF!</v>
      </c>
      <c r="J522" s="42" t="e">
        <f>IF(AND(E522=Data!#REF!,Data!#REF!&lt;&gt;""),Data!#REF!,"")</f>
        <v>#REF!</v>
      </c>
      <c r="K522" s="64" t="e">
        <f>IF(AND(E522=Data!#REF!,Data!#REF!&lt;&gt;""),Data!#REF!,"")</f>
        <v>#REF!</v>
      </c>
      <c r="L522" s="65" t="e">
        <f>IF(E522=Data!#REF!,Data!#REF!,"")</f>
        <v>#REF!</v>
      </c>
      <c r="M522" s="65" t="e">
        <f>IF(E522=Data!#REF!,Data!#REF!,"")</f>
        <v>#REF!</v>
      </c>
      <c r="N522" s="66" t="e">
        <f>IF(AND(Data!#REF!&lt;&gt;"",Data!#REF!="Accept&amp;#233;"),Data!#REF!,"")</f>
        <v>#REF!</v>
      </c>
    </row>
    <row r="523" spans="1:14" ht="19.5" hidden="1" customHeight="1" x14ac:dyDescent="0.3">
      <c r="A523" s="59" t="e">
        <f>IF(AND(Data!#REF!&lt;&gt;"",Data!#REF!="Accept&amp;#233;"),Data!#REF!,"")</f>
        <v>#REF!</v>
      </c>
      <c r="B523" s="59" t="e">
        <f>IF(AND(Data!#REF!&lt;&gt;"",Data!#REF!="Accept&amp;#233;"),Data!#REF!,"")</f>
        <v>#REF!</v>
      </c>
      <c r="C523" s="60" t="e">
        <f t="shared" si="16"/>
        <v>#REF!</v>
      </c>
      <c r="D523" s="42" t="e">
        <f>IF(AND(Data!#REF!&lt;&gt;"",Data!#REF!="Accept&amp;#233;"),Data!#REF!,"")</f>
        <v>#REF!</v>
      </c>
      <c r="E523" s="61" t="e">
        <f>IF(AND(Data!#REF!&lt;&gt;"",Data!#REF!="Accept&amp;#233;"),Data!#REF!,"")</f>
        <v>#REF!</v>
      </c>
      <c r="F523" s="62" t="e">
        <f>IF(AND(Data!#REF!&lt;&gt;"",Data!#REF!="Accept&amp;#233;"),Data!#REF!,"")</f>
        <v>#REF!</v>
      </c>
      <c r="G523" s="63" t="e">
        <f>IF(Data!#REF!='Delivery Plan'!E523,Data!#REF!,"")</f>
        <v>#REF!</v>
      </c>
      <c r="H523" s="51"/>
      <c r="I523" s="60" t="e">
        <f t="shared" si="17"/>
        <v>#REF!</v>
      </c>
      <c r="J523" s="42" t="e">
        <f>IF(AND(E523=Data!#REF!,Data!#REF!&lt;&gt;""),Data!#REF!,"")</f>
        <v>#REF!</v>
      </c>
      <c r="K523" s="64" t="e">
        <f>IF(AND(E523=Data!#REF!,Data!#REF!&lt;&gt;""),Data!#REF!,"")</f>
        <v>#REF!</v>
      </c>
      <c r="L523" s="65" t="e">
        <f>IF(E523=Data!#REF!,Data!#REF!,"")</f>
        <v>#REF!</v>
      </c>
      <c r="M523" s="65" t="e">
        <f>IF(E523=Data!#REF!,Data!#REF!,"")</f>
        <v>#REF!</v>
      </c>
      <c r="N523" s="66" t="e">
        <f>IF(AND(Data!#REF!&lt;&gt;"",Data!#REF!="Accept&amp;#233;"),Data!#REF!,"")</f>
        <v>#REF!</v>
      </c>
    </row>
    <row r="524" spans="1:14" ht="19.5" hidden="1" customHeight="1" x14ac:dyDescent="0.3">
      <c r="A524" s="59" t="e">
        <f>IF(AND(Data!#REF!&lt;&gt;"",Data!#REF!="Accept&amp;#233;"),Data!#REF!,"")</f>
        <v>#REF!</v>
      </c>
      <c r="B524" s="59" t="e">
        <f>IF(AND(Data!#REF!&lt;&gt;"",Data!#REF!="Accept&amp;#233;"),Data!#REF!,"")</f>
        <v>#REF!</v>
      </c>
      <c r="C524" s="60" t="e">
        <f t="shared" si="16"/>
        <v>#REF!</v>
      </c>
      <c r="D524" s="42" t="e">
        <f>IF(AND(Data!#REF!&lt;&gt;"",Data!#REF!="Accept&amp;#233;"),Data!#REF!,"")</f>
        <v>#REF!</v>
      </c>
      <c r="E524" s="61" t="e">
        <f>IF(AND(Data!#REF!&lt;&gt;"",Data!#REF!="Accept&amp;#233;"),Data!#REF!,"")</f>
        <v>#REF!</v>
      </c>
      <c r="F524" s="62" t="e">
        <f>IF(AND(Data!#REF!&lt;&gt;"",Data!#REF!="Accept&amp;#233;"),Data!#REF!,"")</f>
        <v>#REF!</v>
      </c>
      <c r="G524" s="63" t="e">
        <f>IF(Data!#REF!='Delivery Plan'!E524,Data!#REF!,"")</f>
        <v>#REF!</v>
      </c>
      <c r="H524" s="51"/>
      <c r="I524" s="60" t="e">
        <f t="shared" si="17"/>
        <v>#REF!</v>
      </c>
      <c r="J524" s="42" t="e">
        <f>IF(AND(E524=Data!#REF!,Data!#REF!&lt;&gt;""),Data!#REF!,"")</f>
        <v>#REF!</v>
      </c>
      <c r="K524" s="64" t="e">
        <f>IF(AND(E524=Data!#REF!,Data!#REF!&lt;&gt;""),Data!#REF!,"")</f>
        <v>#REF!</v>
      </c>
      <c r="L524" s="65" t="e">
        <f>IF(E524=Data!#REF!,Data!#REF!,"")</f>
        <v>#REF!</v>
      </c>
      <c r="M524" s="65" t="e">
        <f>IF(E524=Data!#REF!,Data!#REF!,"")</f>
        <v>#REF!</v>
      </c>
      <c r="N524" s="66" t="e">
        <f>IF(AND(Data!#REF!&lt;&gt;"",Data!#REF!="Accept&amp;#233;"),Data!#REF!,"")</f>
        <v>#REF!</v>
      </c>
    </row>
    <row r="525" spans="1:14" ht="19.5" hidden="1" customHeight="1" x14ac:dyDescent="0.3">
      <c r="A525" s="59" t="e">
        <f>IF(AND(Data!#REF!&lt;&gt;"",Data!#REF!="Accept&amp;#233;"),Data!#REF!,"")</f>
        <v>#REF!</v>
      </c>
      <c r="B525" s="59" t="e">
        <f>IF(AND(Data!#REF!&lt;&gt;"",Data!#REF!="Accept&amp;#233;"),Data!#REF!,"")</f>
        <v>#REF!</v>
      </c>
      <c r="C525" s="60" t="e">
        <f t="shared" si="16"/>
        <v>#REF!</v>
      </c>
      <c r="D525" s="42" t="e">
        <f>IF(AND(Data!#REF!&lt;&gt;"",Data!#REF!="Accept&amp;#233;"),Data!#REF!,"")</f>
        <v>#REF!</v>
      </c>
      <c r="E525" s="61" t="e">
        <f>IF(AND(Data!#REF!&lt;&gt;"",Data!#REF!="Accept&amp;#233;"),Data!#REF!,"")</f>
        <v>#REF!</v>
      </c>
      <c r="F525" s="62" t="e">
        <f>IF(AND(Data!#REF!&lt;&gt;"",Data!#REF!="Accept&amp;#233;"),Data!#REF!,"")</f>
        <v>#REF!</v>
      </c>
      <c r="G525" s="63" t="e">
        <f>IF(Data!#REF!='Delivery Plan'!E525,Data!#REF!,"")</f>
        <v>#REF!</v>
      </c>
      <c r="H525" s="51"/>
      <c r="I525" s="60" t="e">
        <f t="shared" si="17"/>
        <v>#REF!</v>
      </c>
      <c r="J525" s="42" t="e">
        <f>IF(AND(E525=Data!#REF!,Data!#REF!&lt;&gt;""),Data!#REF!,"")</f>
        <v>#REF!</v>
      </c>
      <c r="K525" s="64" t="e">
        <f>IF(AND(E525=Data!#REF!,Data!#REF!&lt;&gt;""),Data!#REF!,"")</f>
        <v>#REF!</v>
      </c>
      <c r="L525" s="65" t="e">
        <f>IF(E525=Data!#REF!,Data!#REF!,"")</f>
        <v>#REF!</v>
      </c>
      <c r="M525" s="65" t="e">
        <f>IF(E525=Data!#REF!,Data!#REF!,"")</f>
        <v>#REF!</v>
      </c>
      <c r="N525" s="66" t="e">
        <f>IF(AND(Data!#REF!&lt;&gt;"",Data!#REF!="Accept&amp;#233;"),Data!#REF!,"")</f>
        <v>#REF!</v>
      </c>
    </row>
    <row r="526" spans="1:14" ht="19.5" hidden="1" customHeight="1" x14ac:dyDescent="0.3">
      <c r="A526" s="59" t="e">
        <f>IF(AND(Data!#REF!&lt;&gt;"",Data!#REF!="Accept&amp;#233;"),Data!#REF!,"")</f>
        <v>#REF!</v>
      </c>
      <c r="B526" s="59" t="e">
        <f>IF(AND(Data!#REF!&lt;&gt;"",Data!#REF!="Accept&amp;#233;"),Data!#REF!,"")</f>
        <v>#REF!</v>
      </c>
      <c r="C526" s="60" t="e">
        <f t="shared" si="16"/>
        <v>#REF!</v>
      </c>
      <c r="D526" s="42" t="e">
        <f>IF(AND(Data!#REF!&lt;&gt;"",Data!#REF!="Accept&amp;#233;"),Data!#REF!,"")</f>
        <v>#REF!</v>
      </c>
      <c r="E526" s="61" t="e">
        <f>IF(AND(Data!#REF!&lt;&gt;"",Data!#REF!="Accept&amp;#233;"),Data!#REF!,"")</f>
        <v>#REF!</v>
      </c>
      <c r="F526" s="62" t="e">
        <f>IF(AND(Data!#REF!&lt;&gt;"",Data!#REF!="Accept&amp;#233;"),Data!#REF!,"")</f>
        <v>#REF!</v>
      </c>
      <c r="G526" s="63" t="e">
        <f>IF(Data!#REF!='Delivery Plan'!E526,Data!#REF!,"")</f>
        <v>#REF!</v>
      </c>
      <c r="H526" s="51"/>
      <c r="I526" s="60" t="e">
        <f t="shared" si="17"/>
        <v>#REF!</v>
      </c>
      <c r="J526" s="42" t="e">
        <f>IF(AND(E526=Data!#REF!,Data!#REF!&lt;&gt;""),Data!#REF!,"")</f>
        <v>#REF!</v>
      </c>
      <c r="K526" s="64" t="e">
        <f>IF(AND(E526=Data!#REF!,Data!#REF!&lt;&gt;""),Data!#REF!,"")</f>
        <v>#REF!</v>
      </c>
      <c r="L526" s="65" t="e">
        <f>IF(E526=Data!#REF!,Data!#REF!,"")</f>
        <v>#REF!</v>
      </c>
      <c r="M526" s="65" t="e">
        <f>IF(E526=Data!#REF!,Data!#REF!,"")</f>
        <v>#REF!</v>
      </c>
      <c r="N526" s="66" t="e">
        <f>IF(AND(Data!#REF!&lt;&gt;"",Data!#REF!="Accept&amp;#233;"),Data!#REF!,"")</f>
        <v>#REF!</v>
      </c>
    </row>
    <row r="527" spans="1:14" ht="19.5" hidden="1" customHeight="1" x14ac:dyDescent="0.3">
      <c r="A527" s="59" t="e">
        <f>IF(AND(Data!#REF!&lt;&gt;"",Data!#REF!="Accept&amp;#233;"),Data!#REF!,"")</f>
        <v>#REF!</v>
      </c>
      <c r="B527" s="59" t="e">
        <f>IF(AND(Data!#REF!&lt;&gt;"",Data!#REF!="Accept&amp;#233;"),Data!#REF!,"")</f>
        <v>#REF!</v>
      </c>
      <c r="C527" s="60" t="e">
        <f t="shared" si="16"/>
        <v>#REF!</v>
      </c>
      <c r="D527" s="42" t="e">
        <f>IF(AND(Data!#REF!&lt;&gt;"",Data!#REF!="Accept&amp;#233;"),Data!#REF!,"")</f>
        <v>#REF!</v>
      </c>
      <c r="E527" s="61" t="e">
        <f>IF(AND(Data!#REF!&lt;&gt;"",Data!#REF!="Accept&amp;#233;"),Data!#REF!,"")</f>
        <v>#REF!</v>
      </c>
      <c r="F527" s="62" t="e">
        <f>IF(AND(Data!#REF!&lt;&gt;"",Data!#REF!="Accept&amp;#233;"),Data!#REF!,"")</f>
        <v>#REF!</v>
      </c>
      <c r="G527" s="63" t="e">
        <f>IF(Data!#REF!='Delivery Plan'!E527,Data!#REF!,"")</f>
        <v>#REF!</v>
      </c>
      <c r="H527" s="51"/>
      <c r="I527" s="60" t="e">
        <f t="shared" si="17"/>
        <v>#REF!</v>
      </c>
      <c r="J527" s="42" t="e">
        <f>IF(AND(E527=Data!#REF!,Data!#REF!&lt;&gt;""),Data!#REF!,"")</f>
        <v>#REF!</v>
      </c>
      <c r="K527" s="64" t="e">
        <f>IF(AND(E527=Data!#REF!,Data!#REF!&lt;&gt;""),Data!#REF!,"")</f>
        <v>#REF!</v>
      </c>
      <c r="L527" s="65" t="e">
        <f>IF(E527=Data!#REF!,Data!#REF!,"")</f>
        <v>#REF!</v>
      </c>
      <c r="M527" s="65" t="e">
        <f>IF(E527=Data!#REF!,Data!#REF!,"")</f>
        <v>#REF!</v>
      </c>
      <c r="N527" s="66" t="e">
        <f>IF(AND(Data!#REF!&lt;&gt;"",Data!#REF!="Accept&amp;#233;"),Data!#REF!,"")</f>
        <v>#REF!</v>
      </c>
    </row>
    <row r="528" spans="1:14" ht="19.5" hidden="1" customHeight="1" x14ac:dyDescent="0.3">
      <c r="A528" s="59" t="e">
        <f>IF(AND(Data!#REF!&lt;&gt;"",Data!#REF!="Accept&amp;#233;"),Data!#REF!,"")</f>
        <v>#REF!</v>
      </c>
      <c r="B528" s="59" t="e">
        <f>IF(AND(Data!#REF!&lt;&gt;"",Data!#REF!="Accept&amp;#233;"),Data!#REF!,"")</f>
        <v>#REF!</v>
      </c>
      <c r="C528" s="60" t="e">
        <f t="shared" si="16"/>
        <v>#REF!</v>
      </c>
      <c r="D528" s="42" t="e">
        <f>IF(AND(Data!#REF!&lt;&gt;"",Data!#REF!="Accept&amp;#233;"),Data!#REF!,"")</f>
        <v>#REF!</v>
      </c>
      <c r="E528" s="61" t="e">
        <f>IF(AND(Data!#REF!&lt;&gt;"",Data!#REF!="Accept&amp;#233;"),Data!#REF!,"")</f>
        <v>#REF!</v>
      </c>
      <c r="F528" s="62" t="e">
        <f>IF(AND(Data!#REF!&lt;&gt;"",Data!#REF!="Accept&amp;#233;"),Data!#REF!,"")</f>
        <v>#REF!</v>
      </c>
      <c r="G528" s="63" t="e">
        <f>IF(Data!#REF!='Delivery Plan'!E528,Data!#REF!,"")</f>
        <v>#REF!</v>
      </c>
      <c r="H528" s="51"/>
      <c r="I528" s="60" t="e">
        <f t="shared" si="17"/>
        <v>#REF!</v>
      </c>
      <c r="J528" s="42" t="e">
        <f>IF(AND(E528=Data!#REF!,Data!#REF!&lt;&gt;""),Data!#REF!,"")</f>
        <v>#REF!</v>
      </c>
      <c r="K528" s="64" t="e">
        <f>IF(AND(E528=Data!#REF!,Data!#REF!&lt;&gt;""),Data!#REF!,"")</f>
        <v>#REF!</v>
      </c>
      <c r="L528" s="65" t="e">
        <f>IF(E528=Data!#REF!,Data!#REF!,"")</f>
        <v>#REF!</v>
      </c>
      <c r="M528" s="65" t="e">
        <f>IF(E528=Data!#REF!,Data!#REF!,"")</f>
        <v>#REF!</v>
      </c>
      <c r="N528" s="66" t="e">
        <f>IF(AND(Data!#REF!&lt;&gt;"",Data!#REF!="Accept&amp;#233;"),Data!#REF!,"")</f>
        <v>#REF!</v>
      </c>
    </row>
    <row r="529" spans="1:14" ht="19.5" hidden="1" customHeight="1" x14ac:dyDescent="0.3">
      <c r="A529" s="59" t="e">
        <f>IF(AND(Data!#REF!&lt;&gt;"",Data!#REF!="Accept&amp;#233;"),Data!#REF!,"")</f>
        <v>#REF!</v>
      </c>
      <c r="B529" s="59" t="e">
        <f>IF(AND(Data!#REF!&lt;&gt;"",Data!#REF!="Accept&amp;#233;"),Data!#REF!,"")</f>
        <v>#REF!</v>
      </c>
      <c r="C529" s="60" t="e">
        <f t="shared" si="16"/>
        <v>#REF!</v>
      </c>
      <c r="D529" s="42" t="e">
        <f>IF(AND(Data!#REF!&lt;&gt;"",Data!#REF!="Accept&amp;#233;"),Data!#REF!,"")</f>
        <v>#REF!</v>
      </c>
      <c r="E529" s="61" t="e">
        <f>IF(AND(Data!#REF!&lt;&gt;"",Data!#REF!="Accept&amp;#233;"),Data!#REF!,"")</f>
        <v>#REF!</v>
      </c>
      <c r="F529" s="62" t="e">
        <f>IF(AND(Data!#REF!&lt;&gt;"",Data!#REF!="Accept&amp;#233;"),Data!#REF!,"")</f>
        <v>#REF!</v>
      </c>
      <c r="G529" s="63" t="e">
        <f>IF(Data!#REF!='Delivery Plan'!E529,Data!#REF!,"")</f>
        <v>#REF!</v>
      </c>
      <c r="H529" s="51"/>
      <c r="I529" s="60" t="e">
        <f t="shared" si="17"/>
        <v>#REF!</v>
      </c>
      <c r="J529" s="42" t="e">
        <f>IF(AND(E529=Data!#REF!,Data!#REF!&lt;&gt;""),Data!#REF!,"")</f>
        <v>#REF!</v>
      </c>
      <c r="K529" s="64" t="e">
        <f>IF(AND(E529=Data!#REF!,Data!#REF!&lt;&gt;""),Data!#REF!,"")</f>
        <v>#REF!</v>
      </c>
      <c r="L529" s="65" t="e">
        <f>IF(E529=Data!#REF!,Data!#REF!,"")</f>
        <v>#REF!</v>
      </c>
      <c r="M529" s="65" t="e">
        <f>IF(E529=Data!#REF!,Data!#REF!,"")</f>
        <v>#REF!</v>
      </c>
      <c r="N529" s="66" t="e">
        <f>IF(AND(Data!#REF!&lt;&gt;"",Data!#REF!="Accept&amp;#233;"),Data!#REF!,"")</f>
        <v>#REF!</v>
      </c>
    </row>
    <row r="530" spans="1:14" ht="19.5" hidden="1" customHeight="1" x14ac:dyDescent="0.3">
      <c r="A530" s="59" t="e">
        <f>IF(AND(Data!#REF!&lt;&gt;"",Data!#REF!="Accept&amp;#233;"),Data!#REF!,"")</f>
        <v>#REF!</v>
      </c>
      <c r="B530" s="59" t="e">
        <f>IF(AND(Data!#REF!&lt;&gt;"",Data!#REF!="Accept&amp;#233;"),Data!#REF!,"")</f>
        <v>#REF!</v>
      </c>
      <c r="C530" s="60" t="e">
        <f t="shared" si="16"/>
        <v>#REF!</v>
      </c>
      <c r="D530" s="42" t="e">
        <f>IF(AND(Data!#REF!&lt;&gt;"",Data!#REF!="Accept&amp;#233;"),Data!#REF!,"")</f>
        <v>#REF!</v>
      </c>
      <c r="E530" s="61" t="e">
        <f>IF(AND(Data!#REF!&lt;&gt;"",Data!#REF!="Accept&amp;#233;"),Data!#REF!,"")</f>
        <v>#REF!</v>
      </c>
      <c r="F530" s="62" t="e">
        <f>IF(AND(Data!#REF!&lt;&gt;"",Data!#REF!="Accept&amp;#233;"),Data!#REF!,"")</f>
        <v>#REF!</v>
      </c>
      <c r="G530" s="63" t="e">
        <f>IF(Data!#REF!='Delivery Plan'!E530,Data!#REF!,"")</f>
        <v>#REF!</v>
      </c>
      <c r="H530" s="51"/>
      <c r="I530" s="60" t="e">
        <f t="shared" si="17"/>
        <v>#REF!</v>
      </c>
      <c r="J530" s="42" t="e">
        <f>IF(AND(E530=Data!#REF!,Data!#REF!&lt;&gt;""),Data!#REF!,"")</f>
        <v>#REF!</v>
      </c>
      <c r="K530" s="64" t="e">
        <f>IF(AND(E530=Data!#REF!,Data!#REF!&lt;&gt;""),Data!#REF!,"")</f>
        <v>#REF!</v>
      </c>
      <c r="L530" s="65" t="e">
        <f>IF(E530=Data!#REF!,Data!#REF!,"")</f>
        <v>#REF!</v>
      </c>
      <c r="M530" s="65" t="e">
        <f>IF(E530=Data!#REF!,Data!#REF!,"")</f>
        <v>#REF!</v>
      </c>
      <c r="N530" s="66" t="e">
        <f>IF(AND(Data!#REF!&lt;&gt;"",Data!#REF!="Accept&amp;#233;"),Data!#REF!,"")</f>
        <v>#REF!</v>
      </c>
    </row>
    <row r="531" spans="1:14" ht="19.5" hidden="1" customHeight="1" x14ac:dyDescent="0.3">
      <c r="A531" s="59" t="e">
        <f>IF(AND(Data!#REF!&lt;&gt;"",Data!#REF!="Accept&amp;#233;"),Data!#REF!,"")</f>
        <v>#REF!</v>
      </c>
      <c r="B531" s="59" t="e">
        <f>IF(AND(Data!#REF!&lt;&gt;"",Data!#REF!="Accept&amp;#233;"),Data!#REF!,"")</f>
        <v>#REF!</v>
      </c>
      <c r="C531" s="60" t="e">
        <f t="shared" si="16"/>
        <v>#REF!</v>
      </c>
      <c r="D531" s="42" t="e">
        <f>IF(AND(Data!#REF!&lt;&gt;"",Data!#REF!="Accept&amp;#233;"),Data!#REF!,"")</f>
        <v>#REF!</v>
      </c>
      <c r="E531" s="61" t="e">
        <f>IF(AND(Data!#REF!&lt;&gt;"",Data!#REF!="Accept&amp;#233;"),Data!#REF!,"")</f>
        <v>#REF!</v>
      </c>
      <c r="F531" s="62" t="e">
        <f>IF(AND(Data!#REF!&lt;&gt;"",Data!#REF!="Accept&amp;#233;"),Data!#REF!,"")</f>
        <v>#REF!</v>
      </c>
      <c r="G531" s="63" t="e">
        <f>IF(Data!#REF!='Delivery Plan'!E531,Data!#REF!,"")</f>
        <v>#REF!</v>
      </c>
      <c r="H531" s="51"/>
      <c r="I531" s="60" t="e">
        <f t="shared" si="17"/>
        <v>#REF!</v>
      </c>
      <c r="J531" s="42" t="e">
        <f>IF(AND(E531=Data!#REF!,Data!#REF!&lt;&gt;""),Data!#REF!,"")</f>
        <v>#REF!</v>
      </c>
      <c r="K531" s="64" t="e">
        <f>IF(AND(E531=Data!#REF!,Data!#REF!&lt;&gt;""),Data!#REF!,"")</f>
        <v>#REF!</v>
      </c>
      <c r="L531" s="65" t="e">
        <f>IF(E531=Data!#REF!,Data!#REF!,"")</f>
        <v>#REF!</v>
      </c>
      <c r="M531" s="65" t="e">
        <f>IF(E531=Data!#REF!,Data!#REF!,"")</f>
        <v>#REF!</v>
      </c>
      <c r="N531" s="66" t="e">
        <f>IF(AND(Data!#REF!&lt;&gt;"",Data!#REF!="Accept&amp;#233;"),Data!#REF!,"")</f>
        <v>#REF!</v>
      </c>
    </row>
    <row r="532" spans="1:14" ht="19.5" hidden="1" customHeight="1" x14ac:dyDescent="0.3">
      <c r="A532" s="59" t="e">
        <f>IF(AND(Data!#REF!&lt;&gt;"",Data!#REF!="Accept&amp;#233;"),Data!#REF!,"")</f>
        <v>#REF!</v>
      </c>
      <c r="B532" s="59" t="e">
        <f>IF(AND(Data!#REF!&lt;&gt;"",Data!#REF!="Accept&amp;#233;"),Data!#REF!,"")</f>
        <v>#REF!</v>
      </c>
      <c r="C532" s="60" t="e">
        <f t="shared" si="16"/>
        <v>#REF!</v>
      </c>
      <c r="D532" s="42" t="e">
        <f>IF(AND(Data!#REF!&lt;&gt;"",Data!#REF!="Accept&amp;#233;"),Data!#REF!,"")</f>
        <v>#REF!</v>
      </c>
      <c r="E532" s="61" t="e">
        <f>IF(AND(Data!#REF!&lt;&gt;"",Data!#REF!="Accept&amp;#233;"),Data!#REF!,"")</f>
        <v>#REF!</v>
      </c>
      <c r="F532" s="62" t="e">
        <f>IF(AND(Data!#REF!&lt;&gt;"",Data!#REF!="Accept&amp;#233;"),Data!#REF!,"")</f>
        <v>#REF!</v>
      </c>
      <c r="G532" s="63" t="e">
        <f>IF(Data!#REF!='Delivery Plan'!E532,Data!#REF!,"")</f>
        <v>#REF!</v>
      </c>
      <c r="H532" s="51"/>
      <c r="I532" s="60" t="e">
        <f t="shared" si="17"/>
        <v>#REF!</v>
      </c>
      <c r="J532" s="42" t="e">
        <f>IF(AND(E532=Data!#REF!,Data!#REF!&lt;&gt;""),Data!#REF!,"")</f>
        <v>#REF!</v>
      </c>
      <c r="K532" s="64" t="e">
        <f>IF(AND(E532=Data!#REF!,Data!#REF!&lt;&gt;""),Data!#REF!,"")</f>
        <v>#REF!</v>
      </c>
      <c r="L532" s="65" t="e">
        <f>IF(E532=Data!#REF!,Data!#REF!,"")</f>
        <v>#REF!</v>
      </c>
      <c r="M532" s="65" t="e">
        <f>IF(E532=Data!#REF!,Data!#REF!,"")</f>
        <v>#REF!</v>
      </c>
      <c r="N532" s="66" t="e">
        <f>IF(AND(Data!#REF!&lt;&gt;"",Data!#REF!="Accept&amp;#233;"),Data!#REF!,"")</f>
        <v>#REF!</v>
      </c>
    </row>
    <row r="533" spans="1:14" ht="19.5" hidden="1" customHeight="1" x14ac:dyDescent="0.3">
      <c r="A533" s="59" t="e">
        <f>IF(AND(Data!#REF!&lt;&gt;"",Data!#REF!="Accept&amp;#233;"),Data!#REF!,"")</f>
        <v>#REF!</v>
      </c>
      <c r="B533" s="59" t="e">
        <f>IF(AND(Data!#REF!&lt;&gt;"",Data!#REF!="Accept&amp;#233;"),Data!#REF!,"")</f>
        <v>#REF!</v>
      </c>
      <c r="C533" s="60" t="e">
        <f t="shared" si="16"/>
        <v>#REF!</v>
      </c>
      <c r="D533" s="42" t="e">
        <f>IF(AND(Data!#REF!&lt;&gt;"",Data!#REF!="Accept&amp;#233;"),Data!#REF!,"")</f>
        <v>#REF!</v>
      </c>
      <c r="E533" s="61" t="e">
        <f>IF(AND(Data!#REF!&lt;&gt;"",Data!#REF!="Accept&amp;#233;"),Data!#REF!,"")</f>
        <v>#REF!</v>
      </c>
      <c r="F533" s="62" t="e">
        <f>IF(AND(Data!#REF!&lt;&gt;"",Data!#REF!="Accept&amp;#233;"),Data!#REF!,"")</f>
        <v>#REF!</v>
      </c>
      <c r="G533" s="63" t="e">
        <f>IF(Data!#REF!='Delivery Plan'!E533,Data!#REF!,"")</f>
        <v>#REF!</v>
      </c>
      <c r="H533" s="51"/>
      <c r="I533" s="60" t="e">
        <f t="shared" si="17"/>
        <v>#REF!</v>
      </c>
      <c r="J533" s="42" t="e">
        <f>IF(AND(E533=Data!#REF!,Data!#REF!&lt;&gt;""),Data!#REF!,"")</f>
        <v>#REF!</v>
      </c>
      <c r="K533" s="64" t="e">
        <f>IF(AND(E533=Data!#REF!,Data!#REF!&lt;&gt;""),Data!#REF!,"")</f>
        <v>#REF!</v>
      </c>
      <c r="L533" s="65" t="e">
        <f>IF(E533=Data!#REF!,Data!#REF!,"")</f>
        <v>#REF!</v>
      </c>
      <c r="M533" s="65" t="e">
        <f>IF(E533=Data!#REF!,Data!#REF!,"")</f>
        <v>#REF!</v>
      </c>
      <c r="N533" s="66" t="e">
        <f>IF(AND(Data!#REF!&lt;&gt;"",Data!#REF!="Accept&amp;#233;"),Data!#REF!,"")</f>
        <v>#REF!</v>
      </c>
    </row>
    <row r="534" spans="1:14" ht="19.5" hidden="1" customHeight="1" x14ac:dyDescent="0.3">
      <c r="A534" s="59" t="e">
        <f>IF(AND(Data!#REF!&lt;&gt;"",Data!#REF!="Accept&amp;#233;"),Data!#REF!,"")</f>
        <v>#REF!</v>
      </c>
      <c r="B534" s="59" t="e">
        <f>IF(AND(Data!#REF!&lt;&gt;"",Data!#REF!="Accept&amp;#233;"),Data!#REF!,"")</f>
        <v>#REF!</v>
      </c>
      <c r="C534" s="60" t="e">
        <f t="shared" si="16"/>
        <v>#REF!</v>
      </c>
      <c r="D534" s="42" t="e">
        <f>IF(AND(Data!#REF!&lt;&gt;"",Data!#REF!="Accept&amp;#233;"),Data!#REF!,"")</f>
        <v>#REF!</v>
      </c>
      <c r="E534" s="61" t="e">
        <f>IF(AND(Data!#REF!&lt;&gt;"",Data!#REF!="Accept&amp;#233;"),Data!#REF!,"")</f>
        <v>#REF!</v>
      </c>
      <c r="F534" s="62" t="e">
        <f>IF(AND(Data!#REF!&lt;&gt;"",Data!#REF!="Accept&amp;#233;"),Data!#REF!,"")</f>
        <v>#REF!</v>
      </c>
      <c r="G534" s="63" t="e">
        <f>IF(Data!#REF!='Delivery Plan'!E534,Data!#REF!,"")</f>
        <v>#REF!</v>
      </c>
      <c r="H534" s="51"/>
      <c r="I534" s="60" t="e">
        <f t="shared" si="17"/>
        <v>#REF!</v>
      </c>
      <c r="J534" s="42" t="e">
        <f>IF(AND(E534=Data!#REF!,Data!#REF!&lt;&gt;""),Data!#REF!,"")</f>
        <v>#REF!</v>
      </c>
      <c r="K534" s="64" t="e">
        <f>IF(AND(E534=Data!#REF!,Data!#REF!&lt;&gt;""),Data!#REF!,"")</f>
        <v>#REF!</v>
      </c>
      <c r="L534" s="65" t="e">
        <f>IF(E534=Data!#REF!,Data!#REF!,"")</f>
        <v>#REF!</v>
      </c>
      <c r="M534" s="65" t="e">
        <f>IF(E534=Data!#REF!,Data!#REF!,"")</f>
        <v>#REF!</v>
      </c>
      <c r="N534" s="66" t="e">
        <f>IF(AND(Data!#REF!&lt;&gt;"",Data!#REF!="Accept&amp;#233;"),Data!#REF!,"")</f>
        <v>#REF!</v>
      </c>
    </row>
    <row r="535" spans="1:14" ht="19.5" hidden="1" customHeight="1" x14ac:dyDescent="0.3">
      <c r="A535" s="59" t="e">
        <f>IF(AND(Data!#REF!&lt;&gt;"",Data!#REF!="Accept&amp;#233;"),Data!#REF!,"")</f>
        <v>#REF!</v>
      </c>
      <c r="B535" s="59" t="e">
        <f>IF(AND(Data!#REF!&lt;&gt;"",Data!#REF!="Accept&amp;#233;"),Data!#REF!,"")</f>
        <v>#REF!</v>
      </c>
      <c r="C535" s="60" t="e">
        <f t="shared" si="16"/>
        <v>#REF!</v>
      </c>
      <c r="D535" s="42" t="e">
        <f>IF(AND(Data!#REF!&lt;&gt;"",Data!#REF!="Accept&amp;#233;"),Data!#REF!,"")</f>
        <v>#REF!</v>
      </c>
      <c r="E535" s="61" t="e">
        <f>IF(AND(Data!#REF!&lt;&gt;"",Data!#REF!="Accept&amp;#233;"),Data!#REF!,"")</f>
        <v>#REF!</v>
      </c>
      <c r="F535" s="62" t="e">
        <f>IF(AND(Data!#REF!&lt;&gt;"",Data!#REF!="Accept&amp;#233;"),Data!#REF!,"")</f>
        <v>#REF!</v>
      </c>
      <c r="G535" s="63" t="e">
        <f>IF(Data!#REF!='Delivery Plan'!E535,Data!#REF!,"")</f>
        <v>#REF!</v>
      </c>
      <c r="H535" s="51"/>
      <c r="I535" s="60" t="e">
        <f t="shared" si="17"/>
        <v>#REF!</v>
      </c>
      <c r="J535" s="42" t="e">
        <f>IF(AND(E535=Data!#REF!,Data!#REF!&lt;&gt;""),Data!#REF!,"")</f>
        <v>#REF!</v>
      </c>
      <c r="K535" s="64" t="e">
        <f>IF(AND(E535=Data!#REF!,Data!#REF!&lt;&gt;""),Data!#REF!,"")</f>
        <v>#REF!</v>
      </c>
      <c r="L535" s="65" t="e">
        <f>IF(E535=Data!#REF!,Data!#REF!,"")</f>
        <v>#REF!</v>
      </c>
      <c r="M535" s="65" t="e">
        <f>IF(E535=Data!#REF!,Data!#REF!,"")</f>
        <v>#REF!</v>
      </c>
      <c r="N535" s="66" t="e">
        <f>IF(AND(Data!#REF!&lt;&gt;"",Data!#REF!="Accept&amp;#233;"),Data!#REF!,"")</f>
        <v>#REF!</v>
      </c>
    </row>
    <row r="536" spans="1:14" ht="19.5" hidden="1" customHeight="1" x14ac:dyDescent="0.3">
      <c r="A536" s="59" t="e">
        <f>IF(AND(Data!#REF!&lt;&gt;"",Data!#REF!="Accept&amp;#233;"),Data!#REF!,"")</f>
        <v>#REF!</v>
      </c>
      <c r="B536" s="59" t="e">
        <f>IF(AND(Data!#REF!&lt;&gt;"",Data!#REF!="Accept&amp;#233;"),Data!#REF!,"")</f>
        <v>#REF!</v>
      </c>
      <c r="C536" s="60" t="e">
        <f t="shared" si="16"/>
        <v>#REF!</v>
      </c>
      <c r="D536" s="42" t="e">
        <f>IF(AND(Data!#REF!&lt;&gt;"",Data!#REF!="Accept&amp;#233;"),Data!#REF!,"")</f>
        <v>#REF!</v>
      </c>
      <c r="E536" s="61" t="e">
        <f>IF(AND(Data!#REF!&lt;&gt;"",Data!#REF!="Accept&amp;#233;"),Data!#REF!,"")</f>
        <v>#REF!</v>
      </c>
      <c r="F536" s="62" t="e">
        <f>IF(AND(Data!#REF!&lt;&gt;"",Data!#REF!="Accept&amp;#233;"),Data!#REF!,"")</f>
        <v>#REF!</v>
      </c>
      <c r="G536" s="63" t="e">
        <f>IF(Data!#REF!='Delivery Plan'!E536,Data!#REF!,"")</f>
        <v>#REF!</v>
      </c>
      <c r="H536" s="51"/>
      <c r="I536" s="60" t="e">
        <f t="shared" si="17"/>
        <v>#REF!</v>
      </c>
      <c r="J536" s="42" t="e">
        <f>IF(AND(E536=Data!#REF!,Data!#REF!&lt;&gt;""),Data!#REF!,"")</f>
        <v>#REF!</v>
      </c>
      <c r="K536" s="64" t="e">
        <f>IF(AND(E536=Data!#REF!,Data!#REF!&lt;&gt;""),Data!#REF!,"")</f>
        <v>#REF!</v>
      </c>
      <c r="L536" s="65" t="e">
        <f>IF(E536=Data!#REF!,Data!#REF!,"")</f>
        <v>#REF!</v>
      </c>
      <c r="M536" s="65" t="e">
        <f>IF(E536=Data!#REF!,Data!#REF!,"")</f>
        <v>#REF!</v>
      </c>
      <c r="N536" s="66" t="e">
        <f>IF(AND(Data!#REF!&lt;&gt;"",Data!#REF!="Accept&amp;#233;"),Data!#REF!,"")</f>
        <v>#REF!</v>
      </c>
    </row>
    <row r="537" spans="1:14" ht="19.5" hidden="1" customHeight="1" x14ac:dyDescent="0.3">
      <c r="A537" s="59" t="e">
        <f>IF(AND(Data!#REF!&lt;&gt;"",Data!#REF!="Accept&amp;#233;"),Data!#REF!,"")</f>
        <v>#REF!</v>
      </c>
      <c r="B537" s="59" t="e">
        <f>IF(AND(Data!#REF!&lt;&gt;"",Data!#REF!="Accept&amp;#233;"),Data!#REF!,"")</f>
        <v>#REF!</v>
      </c>
      <c r="C537" s="60" t="e">
        <f t="shared" si="16"/>
        <v>#REF!</v>
      </c>
      <c r="D537" s="42" t="e">
        <f>IF(AND(Data!#REF!&lt;&gt;"",Data!#REF!="Accept&amp;#233;"),Data!#REF!,"")</f>
        <v>#REF!</v>
      </c>
      <c r="E537" s="61" t="e">
        <f>IF(AND(Data!#REF!&lt;&gt;"",Data!#REF!="Accept&amp;#233;"),Data!#REF!,"")</f>
        <v>#REF!</v>
      </c>
      <c r="F537" s="62" t="e">
        <f>IF(AND(Data!#REF!&lt;&gt;"",Data!#REF!="Accept&amp;#233;"),Data!#REF!,"")</f>
        <v>#REF!</v>
      </c>
      <c r="G537" s="63" t="e">
        <f>IF(Data!#REF!='Delivery Plan'!E537,Data!#REF!,"")</f>
        <v>#REF!</v>
      </c>
      <c r="H537" s="51"/>
      <c r="I537" s="60" t="e">
        <f t="shared" si="17"/>
        <v>#REF!</v>
      </c>
      <c r="J537" s="42" t="e">
        <f>IF(AND(E537=Data!#REF!,Data!#REF!&lt;&gt;""),Data!#REF!,"")</f>
        <v>#REF!</v>
      </c>
      <c r="K537" s="64" t="e">
        <f>IF(AND(E537=Data!#REF!,Data!#REF!&lt;&gt;""),Data!#REF!,"")</f>
        <v>#REF!</v>
      </c>
      <c r="L537" s="65" t="e">
        <f>IF(E537=Data!#REF!,Data!#REF!,"")</f>
        <v>#REF!</v>
      </c>
      <c r="M537" s="65" t="e">
        <f>IF(E537=Data!#REF!,Data!#REF!,"")</f>
        <v>#REF!</v>
      </c>
      <c r="N537" s="66" t="e">
        <f>IF(AND(Data!#REF!&lt;&gt;"",Data!#REF!="Accept&amp;#233;"),Data!#REF!,"")</f>
        <v>#REF!</v>
      </c>
    </row>
    <row r="538" spans="1:14" ht="19.5" hidden="1" customHeight="1" x14ac:dyDescent="0.3">
      <c r="A538" s="59" t="e">
        <f>IF(AND(Data!#REF!&lt;&gt;"",Data!#REF!="Accept&amp;#233;"),Data!#REF!,"")</f>
        <v>#REF!</v>
      </c>
      <c r="B538" s="59" t="e">
        <f>IF(AND(Data!#REF!&lt;&gt;"",Data!#REF!="Accept&amp;#233;"),Data!#REF!,"")</f>
        <v>#REF!</v>
      </c>
      <c r="C538" s="60" t="e">
        <f t="shared" si="16"/>
        <v>#REF!</v>
      </c>
      <c r="D538" s="42" t="e">
        <f>IF(AND(Data!#REF!&lt;&gt;"",Data!#REF!="Accept&amp;#233;"),Data!#REF!,"")</f>
        <v>#REF!</v>
      </c>
      <c r="E538" s="61" t="e">
        <f>IF(AND(Data!#REF!&lt;&gt;"",Data!#REF!="Accept&amp;#233;"),Data!#REF!,"")</f>
        <v>#REF!</v>
      </c>
      <c r="F538" s="62" t="e">
        <f>IF(AND(Data!#REF!&lt;&gt;"",Data!#REF!="Accept&amp;#233;"),Data!#REF!,"")</f>
        <v>#REF!</v>
      </c>
      <c r="G538" s="63" t="e">
        <f>IF(Data!#REF!='Delivery Plan'!E538,Data!#REF!,"")</f>
        <v>#REF!</v>
      </c>
      <c r="H538" s="51"/>
      <c r="I538" s="60" t="e">
        <f t="shared" si="17"/>
        <v>#REF!</v>
      </c>
      <c r="J538" s="42" t="e">
        <f>IF(AND(E538=Data!#REF!,Data!#REF!&lt;&gt;""),Data!#REF!,"")</f>
        <v>#REF!</v>
      </c>
      <c r="K538" s="64" t="e">
        <f>IF(AND(E538=Data!#REF!,Data!#REF!&lt;&gt;""),Data!#REF!,"")</f>
        <v>#REF!</v>
      </c>
      <c r="L538" s="65" t="e">
        <f>IF(E538=Data!#REF!,Data!#REF!,"")</f>
        <v>#REF!</v>
      </c>
      <c r="M538" s="65" t="e">
        <f>IF(E538=Data!#REF!,Data!#REF!,"")</f>
        <v>#REF!</v>
      </c>
      <c r="N538" s="66" t="e">
        <f>IF(AND(Data!#REF!&lt;&gt;"",Data!#REF!="Accept&amp;#233;"),Data!#REF!,"")</f>
        <v>#REF!</v>
      </c>
    </row>
    <row r="539" spans="1:14" ht="19.5" hidden="1" customHeight="1" x14ac:dyDescent="0.3">
      <c r="A539" s="59" t="e">
        <f>IF(AND(Data!#REF!&lt;&gt;"",Data!#REF!="Accept&amp;#233;"),Data!#REF!,"")</f>
        <v>#REF!</v>
      </c>
      <c r="B539" s="59" t="e">
        <f>IF(AND(Data!#REF!&lt;&gt;"",Data!#REF!="Accept&amp;#233;"),Data!#REF!,"")</f>
        <v>#REF!</v>
      </c>
      <c r="C539" s="60" t="e">
        <f t="shared" si="16"/>
        <v>#REF!</v>
      </c>
      <c r="D539" s="42" t="e">
        <f>IF(AND(Data!#REF!&lt;&gt;"",Data!#REF!="Accept&amp;#233;"),Data!#REF!,"")</f>
        <v>#REF!</v>
      </c>
      <c r="E539" s="61" t="e">
        <f>IF(AND(Data!#REF!&lt;&gt;"",Data!#REF!="Accept&amp;#233;"),Data!#REF!,"")</f>
        <v>#REF!</v>
      </c>
      <c r="F539" s="62" t="e">
        <f>IF(AND(Data!#REF!&lt;&gt;"",Data!#REF!="Accept&amp;#233;"),Data!#REF!,"")</f>
        <v>#REF!</v>
      </c>
      <c r="G539" s="63" t="e">
        <f>IF(Data!#REF!='Delivery Plan'!E539,Data!#REF!,"")</f>
        <v>#REF!</v>
      </c>
      <c r="H539" s="51"/>
      <c r="I539" s="60" t="e">
        <f t="shared" si="17"/>
        <v>#REF!</v>
      </c>
      <c r="J539" s="42" t="e">
        <f>IF(AND(E539=Data!#REF!,Data!#REF!&lt;&gt;""),Data!#REF!,"")</f>
        <v>#REF!</v>
      </c>
      <c r="K539" s="64" t="e">
        <f>IF(AND(E539=Data!#REF!,Data!#REF!&lt;&gt;""),Data!#REF!,"")</f>
        <v>#REF!</v>
      </c>
      <c r="L539" s="65" t="e">
        <f>IF(E539=Data!#REF!,Data!#REF!,"")</f>
        <v>#REF!</v>
      </c>
      <c r="M539" s="65" t="e">
        <f>IF(E539=Data!#REF!,Data!#REF!,"")</f>
        <v>#REF!</v>
      </c>
      <c r="N539" s="66" t="e">
        <f>IF(AND(Data!#REF!&lt;&gt;"",Data!#REF!="Accept&amp;#233;"),Data!#REF!,"")</f>
        <v>#REF!</v>
      </c>
    </row>
    <row r="540" spans="1:14" ht="19.5" hidden="1" customHeight="1" x14ac:dyDescent="0.3">
      <c r="A540" s="59" t="e">
        <f>IF(AND(Data!#REF!&lt;&gt;"",Data!#REF!="Accept&amp;#233;"),Data!#REF!,"")</f>
        <v>#REF!</v>
      </c>
      <c r="B540" s="59" t="e">
        <f>IF(AND(Data!#REF!&lt;&gt;"",Data!#REF!="Accept&amp;#233;"),Data!#REF!,"")</f>
        <v>#REF!</v>
      </c>
      <c r="C540" s="60" t="e">
        <f t="shared" si="16"/>
        <v>#REF!</v>
      </c>
      <c r="D540" s="42" t="e">
        <f>IF(AND(Data!#REF!&lt;&gt;"",Data!#REF!="Accept&amp;#233;"),Data!#REF!,"")</f>
        <v>#REF!</v>
      </c>
      <c r="E540" s="61" t="e">
        <f>IF(AND(Data!#REF!&lt;&gt;"",Data!#REF!="Accept&amp;#233;"),Data!#REF!,"")</f>
        <v>#REF!</v>
      </c>
      <c r="F540" s="62" t="e">
        <f>IF(AND(Data!#REF!&lt;&gt;"",Data!#REF!="Accept&amp;#233;"),Data!#REF!,"")</f>
        <v>#REF!</v>
      </c>
      <c r="G540" s="63" t="e">
        <f>IF(Data!#REF!='Delivery Plan'!E540,Data!#REF!,"")</f>
        <v>#REF!</v>
      </c>
      <c r="H540" s="51"/>
      <c r="I540" s="60" t="e">
        <f t="shared" si="17"/>
        <v>#REF!</v>
      </c>
      <c r="J540" s="42" t="e">
        <f>IF(AND(E540=Data!#REF!,Data!#REF!&lt;&gt;""),Data!#REF!,"")</f>
        <v>#REF!</v>
      </c>
      <c r="K540" s="64" t="e">
        <f>IF(AND(E540=Data!#REF!,Data!#REF!&lt;&gt;""),Data!#REF!,"")</f>
        <v>#REF!</v>
      </c>
      <c r="L540" s="65" t="e">
        <f>IF(E540=Data!#REF!,Data!#REF!,"")</f>
        <v>#REF!</v>
      </c>
      <c r="M540" s="65" t="e">
        <f>IF(E540=Data!#REF!,Data!#REF!,"")</f>
        <v>#REF!</v>
      </c>
      <c r="N540" s="66" t="e">
        <f>IF(AND(Data!#REF!&lt;&gt;"",Data!#REF!="Accept&amp;#233;"),Data!#REF!,"")</f>
        <v>#REF!</v>
      </c>
    </row>
    <row r="541" spans="1:14" ht="19.5" hidden="1" customHeight="1" x14ac:dyDescent="0.3">
      <c r="A541" s="59" t="e">
        <f>IF(AND(Data!#REF!&lt;&gt;"",Data!#REF!="Accept&amp;#233;"),Data!#REF!,"")</f>
        <v>#REF!</v>
      </c>
      <c r="B541" s="59" t="e">
        <f>IF(AND(Data!#REF!&lt;&gt;"",Data!#REF!="Accept&amp;#233;"),Data!#REF!,"")</f>
        <v>#REF!</v>
      </c>
      <c r="C541" s="60" t="e">
        <f t="shared" si="16"/>
        <v>#REF!</v>
      </c>
      <c r="D541" s="42" t="e">
        <f>IF(AND(Data!#REF!&lt;&gt;"",Data!#REF!="Accept&amp;#233;"),Data!#REF!,"")</f>
        <v>#REF!</v>
      </c>
      <c r="E541" s="61" t="e">
        <f>IF(AND(Data!#REF!&lt;&gt;"",Data!#REF!="Accept&amp;#233;"),Data!#REF!,"")</f>
        <v>#REF!</v>
      </c>
      <c r="F541" s="62" t="e">
        <f>IF(AND(Data!#REF!&lt;&gt;"",Data!#REF!="Accept&amp;#233;"),Data!#REF!,"")</f>
        <v>#REF!</v>
      </c>
      <c r="G541" s="63" t="e">
        <f>IF(Data!#REF!='Delivery Plan'!E541,Data!#REF!,"")</f>
        <v>#REF!</v>
      </c>
      <c r="H541" s="51"/>
      <c r="I541" s="60" t="e">
        <f t="shared" si="17"/>
        <v>#REF!</v>
      </c>
      <c r="J541" s="42" t="e">
        <f>IF(AND(E541=Data!#REF!,Data!#REF!&lt;&gt;""),Data!#REF!,"")</f>
        <v>#REF!</v>
      </c>
      <c r="K541" s="64" t="e">
        <f>IF(AND(E541=Data!#REF!,Data!#REF!&lt;&gt;""),Data!#REF!,"")</f>
        <v>#REF!</v>
      </c>
      <c r="L541" s="65" t="e">
        <f>IF(E541=Data!#REF!,Data!#REF!,"")</f>
        <v>#REF!</v>
      </c>
      <c r="M541" s="65" t="e">
        <f>IF(E541=Data!#REF!,Data!#REF!,"")</f>
        <v>#REF!</v>
      </c>
      <c r="N541" s="66" t="e">
        <f>IF(AND(Data!#REF!&lt;&gt;"",Data!#REF!="Accept&amp;#233;"),Data!#REF!,"")</f>
        <v>#REF!</v>
      </c>
    </row>
    <row r="542" spans="1:14" ht="19.5" hidden="1" customHeight="1" x14ac:dyDescent="0.3">
      <c r="A542" s="59" t="e">
        <f>IF(AND(Data!#REF!&lt;&gt;"",Data!#REF!="Accept&amp;#233;"),Data!#REF!,"")</f>
        <v>#REF!</v>
      </c>
      <c r="B542" s="59" t="e">
        <f>IF(AND(Data!#REF!&lt;&gt;"",Data!#REF!="Accept&amp;#233;"),Data!#REF!,"")</f>
        <v>#REF!</v>
      </c>
      <c r="C542" s="60" t="e">
        <f t="shared" si="16"/>
        <v>#REF!</v>
      </c>
      <c r="D542" s="42" t="e">
        <f>IF(AND(Data!#REF!&lt;&gt;"",Data!#REF!="Accept&amp;#233;"),Data!#REF!,"")</f>
        <v>#REF!</v>
      </c>
      <c r="E542" s="61" t="e">
        <f>IF(AND(Data!#REF!&lt;&gt;"",Data!#REF!="Accept&amp;#233;"),Data!#REF!,"")</f>
        <v>#REF!</v>
      </c>
      <c r="F542" s="62" t="e">
        <f>IF(AND(Data!#REF!&lt;&gt;"",Data!#REF!="Accept&amp;#233;"),Data!#REF!,"")</f>
        <v>#REF!</v>
      </c>
      <c r="G542" s="63" t="e">
        <f>IF(Data!#REF!='Delivery Plan'!E542,Data!#REF!,"")</f>
        <v>#REF!</v>
      </c>
      <c r="H542" s="51"/>
      <c r="I542" s="60" t="e">
        <f t="shared" si="17"/>
        <v>#REF!</v>
      </c>
      <c r="J542" s="42" t="e">
        <f>IF(AND(E542=Data!#REF!,Data!#REF!&lt;&gt;""),Data!#REF!,"")</f>
        <v>#REF!</v>
      </c>
      <c r="K542" s="64" t="e">
        <f>IF(AND(E542=Data!#REF!,Data!#REF!&lt;&gt;""),Data!#REF!,"")</f>
        <v>#REF!</v>
      </c>
      <c r="L542" s="65" t="e">
        <f>IF(E542=Data!#REF!,Data!#REF!,"")</f>
        <v>#REF!</v>
      </c>
      <c r="M542" s="65" t="e">
        <f>IF(E542=Data!#REF!,Data!#REF!,"")</f>
        <v>#REF!</v>
      </c>
      <c r="N542" s="66" t="e">
        <f>IF(AND(Data!#REF!&lt;&gt;"",Data!#REF!="Accept&amp;#233;"),Data!#REF!,"")</f>
        <v>#REF!</v>
      </c>
    </row>
    <row r="543" spans="1:14" ht="19.5" hidden="1" customHeight="1" x14ac:dyDescent="0.3">
      <c r="A543" s="59" t="e">
        <f>IF(AND(Data!#REF!&lt;&gt;"",Data!#REF!="Accept&amp;#233;"),Data!#REF!,"")</f>
        <v>#REF!</v>
      </c>
      <c r="B543" s="59" t="e">
        <f>IF(AND(Data!#REF!&lt;&gt;"",Data!#REF!="Accept&amp;#233;"),Data!#REF!,"")</f>
        <v>#REF!</v>
      </c>
      <c r="C543" s="60" t="e">
        <f t="shared" si="16"/>
        <v>#REF!</v>
      </c>
      <c r="D543" s="42" t="e">
        <f>IF(AND(Data!#REF!&lt;&gt;"",Data!#REF!="Accept&amp;#233;"),Data!#REF!,"")</f>
        <v>#REF!</v>
      </c>
      <c r="E543" s="61" t="e">
        <f>IF(AND(Data!#REF!&lt;&gt;"",Data!#REF!="Accept&amp;#233;"),Data!#REF!,"")</f>
        <v>#REF!</v>
      </c>
      <c r="F543" s="62" t="e">
        <f>IF(AND(Data!#REF!&lt;&gt;"",Data!#REF!="Accept&amp;#233;"),Data!#REF!,"")</f>
        <v>#REF!</v>
      </c>
      <c r="G543" s="63" t="e">
        <f>IF(Data!#REF!='Delivery Plan'!E543,Data!#REF!,"")</f>
        <v>#REF!</v>
      </c>
      <c r="H543" s="51"/>
      <c r="I543" s="60" t="e">
        <f t="shared" si="17"/>
        <v>#REF!</v>
      </c>
      <c r="J543" s="42" t="e">
        <f>IF(AND(E543=Data!#REF!,Data!#REF!&lt;&gt;""),Data!#REF!,"")</f>
        <v>#REF!</v>
      </c>
      <c r="K543" s="64" t="e">
        <f>IF(AND(E543=Data!#REF!,Data!#REF!&lt;&gt;""),Data!#REF!,"")</f>
        <v>#REF!</v>
      </c>
      <c r="L543" s="65" t="e">
        <f>IF(E543=Data!#REF!,Data!#REF!,"")</f>
        <v>#REF!</v>
      </c>
      <c r="M543" s="65" t="e">
        <f>IF(E543=Data!#REF!,Data!#REF!,"")</f>
        <v>#REF!</v>
      </c>
      <c r="N543" s="66" t="e">
        <f>IF(AND(Data!#REF!&lt;&gt;"",Data!#REF!="Accept&amp;#233;"),Data!#REF!,"")</f>
        <v>#REF!</v>
      </c>
    </row>
    <row r="544" spans="1:14" ht="19.5" hidden="1" customHeight="1" x14ac:dyDescent="0.3">
      <c r="A544" s="59" t="e">
        <f>IF(AND(Data!#REF!&lt;&gt;"",Data!#REF!="Accept&amp;#233;"),Data!#REF!,"")</f>
        <v>#REF!</v>
      </c>
      <c r="B544" s="59" t="e">
        <f>IF(AND(Data!#REF!&lt;&gt;"",Data!#REF!="Accept&amp;#233;"),Data!#REF!,"")</f>
        <v>#REF!</v>
      </c>
      <c r="C544" s="60" t="e">
        <f t="shared" si="16"/>
        <v>#REF!</v>
      </c>
      <c r="D544" s="42" t="e">
        <f>IF(AND(Data!#REF!&lt;&gt;"",Data!#REF!="Accept&amp;#233;"),Data!#REF!,"")</f>
        <v>#REF!</v>
      </c>
      <c r="E544" s="61" t="e">
        <f>IF(AND(Data!#REF!&lt;&gt;"",Data!#REF!="Accept&amp;#233;"),Data!#REF!,"")</f>
        <v>#REF!</v>
      </c>
      <c r="F544" s="62" t="e">
        <f>IF(AND(Data!#REF!&lt;&gt;"",Data!#REF!="Accept&amp;#233;"),Data!#REF!,"")</f>
        <v>#REF!</v>
      </c>
      <c r="G544" s="63" t="e">
        <f>IF(Data!#REF!='Delivery Plan'!E544,Data!#REF!,"")</f>
        <v>#REF!</v>
      </c>
      <c r="H544" s="51"/>
      <c r="I544" s="60" t="e">
        <f t="shared" si="17"/>
        <v>#REF!</v>
      </c>
      <c r="J544" s="42" t="e">
        <f>IF(AND(E544=Data!#REF!,Data!#REF!&lt;&gt;""),Data!#REF!,"")</f>
        <v>#REF!</v>
      </c>
      <c r="K544" s="64" t="e">
        <f>IF(AND(E544=Data!#REF!,Data!#REF!&lt;&gt;""),Data!#REF!,"")</f>
        <v>#REF!</v>
      </c>
      <c r="L544" s="65" t="e">
        <f>IF(E544=Data!#REF!,Data!#REF!,"")</f>
        <v>#REF!</v>
      </c>
      <c r="M544" s="65" t="e">
        <f>IF(E544=Data!#REF!,Data!#REF!,"")</f>
        <v>#REF!</v>
      </c>
      <c r="N544" s="66" t="e">
        <f>IF(AND(Data!#REF!&lt;&gt;"",Data!#REF!="Accept&amp;#233;"),Data!#REF!,"")</f>
        <v>#REF!</v>
      </c>
    </row>
    <row r="545" spans="1:14" ht="19.5" hidden="1" customHeight="1" x14ac:dyDescent="0.3">
      <c r="A545" s="59" t="e">
        <f>IF(AND(Data!#REF!&lt;&gt;"",Data!#REF!="Accept&amp;#233;"),Data!#REF!,"")</f>
        <v>#REF!</v>
      </c>
      <c r="B545" s="59" t="e">
        <f>IF(AND(Data!#REF!&lt;&gt;"",Data!#REF!="Accept&amp;#233;"),Data!#REF!,"")</f>
        <v>#REF!</v>
      </c>
      <c r="C545" s="60" t="e">
        <f t="shared" si="16"/>
        <v>#REF!</v>
      </c>
      <c r="D545" s="42" t="e">
        <f>IF(AND(Data!#REF!&lt;&gt;"",Data!#REF!="Accept&amp;#233;"),Data!#REF!,"")</f>
        <v>#REF!</v>
      </c>
      <c r="E545" s="61" t="e">
        <f>IF(AND(Data!#REF!&lt;&gt;"",Data!#REF!="Accept&amp;#233;"),Data!#REF!,"")</f>
        <v>#REF!</v>
      </c>
      <c r="F545" s="62" t="e">
        <f>IF(AND(Data!#REF!&lt;&gt;"",Data!#REF!="Accept&amp;#233;"),Data!#REF!,"")</f>
        <v>#REF!</v>
      </c>
      <c r="G545" s="63" t="e">
        <f>IF(Data!#REF!='Delivery Plan'!E545,Data!#REF!,"")</f>
        <v>#REF!</v>
      </c>
      <c r="H545" s="51"/>
      <c r="I545" s="60" t="e">
        <f t="shared" si="17"/>
        <v>#REF!</v>
      </c>
      <c r="J545" s="42" t="e">
        <f>IF(AND(E545=Data!#REF!,Data!#REF!&lt;&gt;""),Data!#REF!,"")</f>
        <v>#REF!</v>
      </c>
      <c r="K545" s="64" t="e">
        <f>IF(AND(E545=Data!#REF!,Data!#REF!&lt;&gt;""),Data!#REF!,"")</f>
        <v>#REF!</v>
      </c>
      <c r="L545" s="65" t="e">
        <f>IF(E545=Data!#REF!,Data!#REF!,"")</f>
        <v>#REF!</v>
      </c>
      <c r="M545" s="65" t="e">
        <f>IF(E545=Data!#REF!,Data!#REF!,"")</f>
        <v>#REF!</v>
      </c>
      <c r="N545" s="66" t="e">
        <f>IF(AND(Data!#REF!&lt;&gt;"",Data!#REF!="Accept&amp;#233;"),Data!#REF!,"")</f>
        <v>#REF!</v>
      </c>
    </row>
    <row r="546" spans="1:14" ht="19.5" hidden="1" customHeight="1" x14ac:dyDescent="0.3">
      <c r="A546" s="59" t="e">
        <f>IF(AND(Data!#REF!&lt;&gt;"",Data!#REF!="Accept&amp;#233;"),Data!#REF!,"")</f>
        <v>#REF!</v>
      </c>
      <c r="B546" s="59" t="e">
        <f>IF(AND(Data!#REF!&lt;&gt;"",Data!#REF!="Accept&amp;#233;"),Data!#REF!,"")</f>
        <v>#REF!</v>
      </c>
      <c r="C546" s="60" t="e">
        <f t="shared" si="16"/>
        <v>#REF!</v>
      </c>
      <c r="D546" s="42" t="e">
        <f>IF(AND(Data!#REF!&lt;&gt;"",Data!#REF!="Accept&amp;#233;"),Data!#REF!,"")</f>
        <v>#REF!</v>
      </c>
      <c r="E546" s="61" t="e">
        <f>IF(AND(Data!#REF!&lt;&gt;"",Data!#REF!="Accept&amp;#233;"),Data!#REF!,"")</f>
        <v>#REF!</v>
      </c>
      <c r="F546" s="62" t="e">
        <f>IF(AND(Data!#REF!&lt;&gt;"",Data!#REF!="Accept&amp;#233;"),Data!#REF!,"")</f>
        <v>#REF!</v>
      </c>
      <c r="G546" s="63" t="e">
        <f>IF(Data!#REF!='Delivery Plan'!E546,Data!#REF!,"")</f>
        <v>#REF!</v>
      </c>
      <c r="H546" s="51"/>
      <c r="I546" s="60" t="e">
        <f t="shared" si="17"/>
        <v>#REF!</v>
      </c>
      <c r="J546" s="42" t="e">
        <f>IF(AND(E546=Data!#REF!,Data!#REF!&lt;&gt;""),Data!#REF!,"")</f>
        <v>#REF!</v>
      </c>
      <c r="K546" s="64" t="e">
        <f>IF(AND(E546=Data!#REF!,Data!#REF!&lt;&gt;""),Data!#REF!,"")</f>
        <v>#REF!</v>
      </c>
      <c r="L546" s="65" t="e">
        <f>IF(E546=Data!#REF!,Data!#REF!,"")</f>
        <v>#REF!</v>
      </c>
      <c r="M546" s="65" t="e">
        <f>IF(E546=Data!#REF!,Data!#REF!,"")</f>
        <v>#REF!</v>
      </c>
      <c r="N546" s="66" t="e">
        <f>IF(AND(Data!#REF!&lt;&gt;"",Data!#REF!="Accept&amp;#233;"),Data!#REF!,"")</f>
        <v>#REF!</v>
      </c>
    </row>
    <row r="547" spans="1:14" ht="19.5" hidden="1" customHeight="1" x14ac:dyDescent="0.3">
      <c r="A547" s="59" t="e">
        <f>IF(AND(Data!#REF!&lt;&gt;"",Data!#REF!="Accept&amp;#233;"),Data!#REF!,"")</f>
        <v>#REF!</v>
      </c>
      <c r="B547" s="59" t="e">
        <f>IF(AND(Data!#REF!&lt;&gt;"",Data!#REF!="Accept&amp;#233;"),Data!#REF!,"")</f>
        <v>#REF!</v>
      </c>
      <c r="C547" s="60" t="e">
        <f t="shared" si="16"/>
        <v>#REF!</v>
      </c>
      <c r="D547" s="42" t="e">
        <f>IF(AND(Data!#REF!&lt;&gt;"",Data!#REF!="Accept&amp;#233;"),Data!#REF!,"")</f>
        <v>#REF!</v>
      </c>
      <c r="E547" s="61" t="e">
        <f>IF(AND(Data!#REF!&lt;&gt;"",Data!#REF!="Accept&amp;#233;"),Data!#REF!,"")</f>
        <v>#REF!</v>
      </c>
      <c r="F547" s="62" t="e">
        <f>IF(AND(Data!#REF!&lt;&gt;"",Data!#REF!="Accept&amp;#233;"),Data!#REF!,"")</f>
        <v>#REF!</v>
      </c>
      <c r="G547" s="63" t="e">
        <f>IF(Data!#REF!='Delivery Plan'!E547,Data!#REF!,"")</f>
        <v>#REF!</v>
      </c>
      <c r="H547" s="51"/>
      <c r="I547" s="60" t="e">
        <f t="shared" si="17"/>
        <v>#REF!</v>
      </c>
      <c r="J547" s="42" t="e">
        <f>IF(AND(E547=Data!#REF!,Data!#REF!&lt;&gt;""),Data!#REF!,"")</f>
        <v>#REF!</v>
      </c>
      <c r="K547" s="64" t="e">
        <f>IF(AND(E547=Data!#REF!,Data!#REF!&lt;&gt;""),Data!#REF!,"")</f>
        <v>#REF!</v>
      </c>
      <c r="L547" s="65" t="e">
        <f>IF(E547=Data!#REF!,Data!#REF!,"")</f>
        <v>#REF!</v>
      </c>
      <c r="M547" s="65" t="e">
        <f>IF(E547=Data!#REF!,Data!#REF!,"")</f>
        <v>#REF!</v>
      </c>
      <c r="N547" s="66" t="e">
        <f>IF(AND(Data!#REF!&lt;&gt;"",Data!#REF!="Accept&amp;#233;"),Data!#REF!,"")</f>
        <v>#REF!</v>
      </c>
    </row>
    <row r="548" spans="1:14" ht="19.5" hidden="1" customHeight="1" x14ac:dyDescent="0.3">
      <c r="A548" s="59" t="e">
        <f>IF(AND(Data!#REF!&lt;&gt;"",Data!#REF!="Accept&amp;#233;"),Data!#REF!,"")</f>
        <v>#REF!</v>
      </c>
      <c r="B548" s="59" t="e">
        <f>IF(AND(Data!#REF!&lt;&gt;"",Data!#REF!="Accept&amp;#233;"),Data!#REF!,"")</f>
        <v>#REF!</v>
      </c>
      <c r="C548" s="60" t="e">
        <f t="shared" si="16"/>
        <v>#REF!</v>
      </c>
      <c r="D548" s="42" t="e">
        <f>IF(AND(Data!#REF!&lt;&gt;"",Data!#REF!="Accept&amp;#233;"),Data!#REF!,"")</f>
        <v>#REF!</v>
      </c>
      <c r="E548" s="61" t="e">
        <f>IF(AND(Data!#REF!&lt;&gt;"",Data!#REF!="Accept&amp;#233;"),Data!#REF!,"")</f>
        <v>#REF!</v>
      </c>
      <c r="F548" s="62" t="e">
        <f>IF(AND(Data!#REF!&lt;&gt;"",Data!#REF!="Accept&amp;#233;"),Data!#REF!,"")</f>
        <v>#REF!</v>
      </c>
      <c r="G548" s="63" t="e">
        <f>IF(Data!#REF!='Delivery Plan'!E548,Data!#REF!,"")</f>
        <v>#REF!</v>
      </c>
      <c r="H548" s="51"/>
      <c r="I548" s="60" t="e">
        <f t="shared" si="17"/>
        <v>#REF!</v>
      </c>
      <c r="J548" s="42" t="e">
        <f>IF(AND(E548=Data!#REF!,Data!#REF!&lt;&gt;""),Data!#REF!,"")</f>
        <v>#REF!</v>
      </c>
      <c r="K548" s="64" t="e">
        <f>IF(AND(E548=Data!#REF!,Data!#REF!&lt;&gt;""),Data!#REF!,"")</f>
        <v>#REF!</v>
      </c>
      <c r="L548" s="65" t="e">
        <f>IF(E548=Data!#REF!,Data!#REF!,"")</f>
        <v>#REF!</v>
      </c>
      <c r="M548" s="65" t="e">
        <f>IF(E548=Data!#REF!,Data!#REF!,"")</f>
        <v>#REF!</v>
      </c>
      <c r="N548" s="66" t="e">
        <f>IF(AND(Data!#REF!&lt;&gt;"",Data!#REF!="Accept&amp;#233;"),Data!#REF!,"")</f>
        <v>#REF!</v>
      </c>
    </row>
    <row r="549" spans="1:14" ht="19.5" hidden="1" customHeight="1" x14ac:dyDescent="0.3">
      <c r="A549" s="59" t="e">
        <f>IF(AND(Data!#REF!&lt;&gt;"",Data!#REF!="Accept&amp;#233;"),Data!#REF!,"")</f>
        <v>#REF!</v>
      </c>
      <c r="B549" s="59" t="e">
        <f>IF(AND(Data!#REF!&lt;&gt;"",Data!#REF!="Accept&amp;#233;"),Data!#REF!,"")</f>
        <v>#REF!</v>
      </c>
      <c r="C549" s="60" t="e">
        <f t="shared" si="16"/>
        <v>#REF!</v>
      </c>
      <c r="D549" s="42" t="e">
        <f>IF(AND(Data!#REF!&lt;&gt;"",Data!#REF!="Accept&amp;#233;"),Data!#REF!,"")</f>
        <v>#REF!</v>
      </c>
      <c r="E549" s="61" t="e">
        <f>IF(AND(Data!#REF!&lt;&gt;"",Data!#REF!="Accept&amp;#233;"),Data!#REF!,"")</f>
        <v>#REF!</v>
      </c>
      <c r="F549" s="62" t="e">
        <f>IF(AND(Data!#REF!&lt;&gt;"",Data!#REF!="Accept&amp;#233;"),Data!#REF!,"")</f>
        <v>#REF!</v>
      </c>
      <c r="G549" s="63" t="e">
        <f>IF(Data!#REF!='Delivery Plan'!E549,Data!#REF!,"")</f>
        <v>#REF!</v>
      </c>
      <c r="H549" s="51"/>
      <c r="I549" s="60" t="e">
        <f t="shared" si="17"/>
        <v>#REF!</v>
      </c>
      <c r="J549" s="42" t="e">
        <f>IF(AND(E549=Data!#REF!,Data!#REF!&lt;&gt;""),Data!#REF!,"")</f>
        <v>#REF!</v>
      </c>
      <c r="K549" s="64" t="e">
        <f>IF(AND(E549=Data!#REF!,Data!#REF!&lt;&gt;""),Data!#REF!,"")</f>
        <v>#REF!</v>
      </c>
      <c r="L549" s="65" t="e">
        <f>IF(E549=Data!#REF!,Data!#REF!,"")</f>
        <v>#REF!</v>
      </c>
      <c r="M549" s="65" t="e">
        <f>IF(E549=Data!#REF!,Data!#REF!,"")</f>
        <v>#REF!</v>
      </c>
      <c r="N549" s="66" t="e">
        <f>IF(AND(Data!#REF!&lt;&gt;"",Data!#REF!="Accept&amp;#233;"),Data!#REF!,"")</f>
        <v>#REF!</v>
      </c>
    </row>
    <row r="550" spans="1:14" ht="19.5" hidden="1" customHeight="1" x14ac:dyDescent="0.3">
      <c r="A550" s="59" t="e">
        <f>IF(AND(Data!#REF!&lt;&gt;"",Data!#REF!="Accept&amp;#233;"),Data!#REF!,"")</f>
        <v>#REF!</v>
      </c>
      <c r="B550" s="59" t="e">
        <f>IF(AND(Data!#REF!&lt;&gt;"",Data!#REF!="Accept&amp;#233;"),Data!#REF!,"")</f>
        <v>#REF!</v>
      </c>
      <c r="C550" s="60" t="e">
        <f t="shared" si="16"/>
        <v>#REF!</v>
      </c>
      <c r="D550" s="42" t="e">
        <f>IF(AND(Data!#REF!&lt;&gt;"",Data!#REF!="Accept&amp;#233;"),Data!#REF!,"")</f>
        <v>#REF!</v>
      </c>
      <c r="E550" s="61" t="e">
        <f>IF(AND(Data!#REF!&lt;&gt;"",Data!#REF!="Accept&amp;#233;"),Data!#REF!,"")</f>
        <v>#REF!</v>
      </c>
      <c r="F550" s="62" t="e">
        <f>IF(AND(Data!#REF!&lt;&gt;"",Data!#REF!="Accept&amp;#233;"),Data!#REF!,"")</f>
        <v>#REF!</v>
      </c>
      <c r="G550" s="63" t="e">
        <f>IF(Data!#REF!='Delivery Plan'!E550,Data!#REF!,"")</f>
        <v>#REF!</v>
      </c>
      <c r="H550" s="51"/>
      <c r="I550" s="60" t="e">
        <f t="shared" si="17"/>
        <v>#REF!</v>
      </c>
      <c r="J550" s="42" t="e">
        <f>IF(AND(E550=Data!#REF!,Data!#REF!&lt;&gt;""),Data!#REF!,"")</f>
        <v>#REF!</v>
      </c>
      <c r="K550" s="64" t="e">
        <f>IF(AND(E550=Data!#REF!,Data!#REF!&lt;&gt;""),Data!#REF!,"")</f>
        <v>#REF!</v>
      </c>
      <c r="L550" s="65" t="e">
        <f>IF(E550=Data!#REF!,Data!#REF!,"")</f>
        <v>#REF!</v>
      </c>
      <c r="M550" s="65" t="e">
        <f>IF(E550=Data!#REF!,Data!#REF!,"")</f>
        <v>#REF!</v>
      </c>
      <c r="N550" s="66" t="e">
        <f>IF(AND(Data!#REF!&lt;&gt;"",Data!#REF!="Accept&amp;#233;"),Data!#REF!,"")</f>
        <v>#REF!</v>
      </c>
    </row>
    <row r="551" spans="1:14" ht="19.5" hidden="1" customHeight="1" x14ac:dyDescent="0.3">
      <c r="A551" s="59" t="e">
        <f>IF(AND(Data!#REF!&lt;&gt;"",Data!#REF!="Accept&amp;#233;"),Data!#REF!,"")</f>
        <v>#REF!</v>
      </c>
      <c r="B551" s="59" t="e">
        <f>IF(AND(Data!#REF!&lt;&gt;"",Data!#REF!="Accept&amp;#233;"),Data!#REF!,"")</f>
        <v>#REF!</v>
      </c>
      <c r="C551" s="60" t="e">
        <f t="shared" si="16"/>
        <v>#REF!</v>
      </c>
      <c r="D551" s="42" t="e">
        <f>IF(AND(Data!#REF!&lt;&gt;"",Data!#REF!="Accept&amp;#233;"),Data!#REF!,"")</f>
        <v>#REF!</v>
      </c>
      <c r="E551" s="61" t="e">
        <f>IF(AND(Data!#REF!&lt;&gt;"",Data!#REF!="Accept&amp;#233;"),Data!#REF!,"")</f>
        <v>#REF!</v>
      </c>
      <c r="F551" s="62" t="e">
        <f>IF(AND(Data!#REF!&lt;&gt;"",Data!#REF!="Accept&amp;#233;"),Data!#REF!,"")</f>
        <v>#REF!</v>
      </c>
      <c r="G551" s="63" t="e">
        <f>IF(Data!#REF!='Delivery Plan'!E551,Data!#REF!,"")</f>
        <v>#REF!</v>
      </c>
      <c r="H551" s="51"/>
      <c r="I551" s="60" t="e">
        <f t="shared" si="17"/>
        <v>#REF!</v>
      </c>
      <c r="J551" s="42" t="e">
        <f>IF(AND(E551=Data!#REF!,Data!#REF!&lt;&gt;""),Data!#REF!,"")</f>
        <v>#REF!</v>
      </c>
      <c r="K551" s="64" t="e">
        <f>IF(AND(E551=Data!#REF!,Data!#REF!&lt;&gt;""),Data!#REF!,"")</f>
        <v>#REF!</v>
      </c>
      <c r="L551" s="65" t="e">
        <f>IF(E551=Data!#REF!,Data!#REF!,"")</f>
        <v>#REF!</v>
      </c>
      <c r="M551" s="65" t="e">
        <f>IF(E551=Data!#REF!,Data!#REF!,"")</f>
        <v>#REF!</v>
      </c>
      <c r="N551" s="66" t="e">
        <f>IF(AND(Data!#REF!&lt;&gt;"",Data!#REF!="Accept&amp;#233;"),Data!#REF!,"")</f>
        <v>#REF!</v>
      </c>
    </row>
    <row r="552" spans="1:14" ht="19.5" hidden="1" customHeight="1" x14ac:dyDescent="0.3">
      <c r="A552" s="59" t="e">
        <f>IF(AND(Data!#REF!&lt;&gt;"",Data!#REF!="Accept&amp;#233;"),Data!#REF!,"")</f>
        <v>#REF!</v>
      </c>
      <c r="B552" s="59" t="e">
        <f>IF(AND(Data!#REF!&lt;&gt;"",Data!#REF!="Accept&amp;#233;"),Data!#REF!,"")</f>
        <v>#REF!</v>
      </c>
      <c r="C552" s="60" t="e">
        <f t="shared" si="16"/>
        <v>#REF!</v>
      </c>
      <c r="D552" s="42" t="e">
        <f>IF(AND(Data!#REF!&lt;&gt;"",Data!#REF!="Accept&amp;#233;"),Data!#REF!,"")</f>
        <v>#REF!</v>
      </c>
      <c r="E552" s="61" t="e">
        <f>IF(AND(Data!#REF!&lt;&gt;"",Data!#REF!="Accept&amp;#233;"),Data!#REF!,"")</f>
        <v>#REF!</v>
      </c>
      <c r="F552" s="62" t="e">
        <f>IF(AND(Data!#REF!&lt;&gt;"",Data!#REF!="Accept&amp;#233;"),Data!#REF!,"")</f>
        <v>#REF!</v>
      </c>
      <c r="G552" s="63" t="e">
        <f>IF(Data!#REF!='Delivery Plan'!E552,Data!#REF!,"")</f>
        <v>#REF!</v>
      </c>
      <c r="H552" s="51"/>
      <c r="I552" s="60" t="e">
        <f t="shared" si="17"/>
        <v>#REF!</v>
      </c>
      <c r="J552" s="42" t="e">
        <f>IF(AND(E552=Data!#REF!,Data!#REF!&lt;&gt;""),Data!#REF!,"")</f>
        <v>#REF!</v>
      </c>
      <c r="K552" s="64" t="e">
        <f>IF(AND(E552=Data!#REF!,Data!#REF!&lt;&gt;""),Data!#REF!,"")</f>
        <v>#REF!</v>
      </c>
      <c r="L552" s="65" t="e">
        <f>IF(E552=Data!#REF!,Data!#REF!,"")</f>
        <v>#REF!</v>
      </c>
      <c r="M552" s="65" t="e">
        <f>IF(E552=Data!#REF!,Data!#REF!,"")</f>
        <v>#REF!</v>
      </c>
      <c r="N552" s="66" t="e">
        <f>IF(AND(Data!#REF!&lt;&gt;"",Data!#REF!="Accept&amp;#233;"),Data!#REF!,"")</f>
        <v>#REF!</v>
      </c>
    </row>
    <row r="553" spans="1:14" ht="19.5" hidden="1" customHeight="1" x14ac:dyDescent="0.3">
      <c r="A553" s="59" t="e">
        <f>IF(AND(Data!#REF!&lt;&gt;"",Data!#REF!="Accept&amp;#233;"),Data!#REF!,"")</f>
        <v>#REF!</v>
      </c>
      <c r="B553" s="59" t="e">
        <f>IF(AND(Data!#REF!&lt;&gt;"",Data!#REF!="Accept&amp;#233;"),Data!#REF!,"")</f>
        <v>#REF!</v>
      </c>
      <c r="C553" s="60" t="e">
        <f t="shared" si="16"/>
        <v>#REF!</v>
      </c>
      <c r="D553" s="42" t="e">
        <f>IF(AND(Data!#REF!&lt;&gt;"",Data!#REF!="Accept&amp;#233;"),Data!#REF!,"")</f>
        <v>#REF!</v>
      </c>
      <c r="E553" s="61" t="e">
        <f>IF(AND(Data!#REF!&lt;&gt;"",Data!#REF!="Accept&amp;#233;"),Data!#REF!,"")</f>
        <v>#REF!</v>
      </c>
      <c r="F553" s="62" t="e">
        <f>IF(AND(Data!#REF!&lt;&gt;"",Data!#REF!="Accept&amp;#233;"),Data!#REF!,"")</f>
        <v>#REF!</v>
      </c>
      <c r="G553" s="63" t="e">
        <f>IF(Data!#REF!='Delivery Plan'!E553,Data!#REF!,"")</f>
        <v>#REF!</v>
      </c>
      <c r="H553" s="51"/>
      <c r="I553" s="60" t="e">
        <f t="shared" si="17"/>
        <v>#REF!</v>
      </c>
      <c r="J553" s="42" t="e">
        <f>IF(AND(E553=Data!#REF!,Data!#REF!&lt;&gt;""),Data!#REF!,"")</f>
        <v>#REF!</v>
      </c>
      <c r="K553" s="64" t="e">
        <f>IF(AND(E553=Data!#REF!,Data!#REF!&lt;&gt;""),Data!#REF!,"")</f>
        <v>#REF!</v>
      </c>
      <c r="L553" s="65" t="e">
        <f>IF(E553=Data!#REF!,Data!#REF!,"")</f>
        <v>#REF!</v>
      </c>
      <c r="M553" s="65" t="e">
        <f>IF(E553=Data!#REF!,Data!#REF!,"")</f>
        <v>#REF!</v>
      </c>
      <c r="N553" s="66" t="e">
        <f>IF(AND(Data!#REF!&lt;&gt;"",Data!#REF!="Accept&amp;#233;"),Data!#REF!,"")</f>
        <v>#REF!</v>
      </c>
    </row>
    <row r="554" spans="1:14" ht="19.5" hidden="1" customHeight="1" x14ac:dyDescent="0.3">
      <c r="A554" s="59" t="e">
        <f>IF(AND(Data!#REF!&lt;&gt;"",Data!#REF!="Accept&amp;#233;"),Data!#REF!,"")</f>
        <v>#REF!</v>
      </c>
      <c r="B554" s="59" t="e">
        <f>IF(AND(Data!#REF!&lt;&gt;"",Data!#REF!="Accept&amp;#233;"),Data!#REF!,"")</f>
        <v>#REF!</v>
      </c>
      <c r="C554" s="60" t="e">
        <f t="shared" si="16"/>
        <v>#REF!</v>
      </c>
      <c r="D554" s="42" t="e">
        <f>IF(AND(Data!#REF!&lt;&gt;"",Data!#REF!="Accept&amp;#233;"),Data!#REF!,"")</f>
        <v>#REF!</v>
      </c>
      <c r="E554" s="61" t="e">
        <f>IF(AND(Data!#REF!&lt;&gt;"",Data!#REF!="Accept&amp;#233;"),Data!#REF!,"")</f>
        <v>#REF!</v>
      </c>
      <c r="F554" s="62" t="e">
        <f>IF(AND(Data!#REF!&lt;&gt;"",Data!#REF!="Accept&amp;#233;"),Data!#REF!,"")</f>
        <v>#REF!</v>
      </c>
      <c r="G554" s="63" t="e">
        <f>IF(Data!#REF!='Delivery Plan'!E554,Data!#REF!,"")</f>
        <v>#REF!</v>
      </c>
      <c r="H554" s="51"/>
      <c r="I554" s="60" t="e">
        <f t="shared" si="17"/>
        <v>#REF!</v>
      </c>
      <c r="J554" s="42" t="e">
        <f>IF(AND(E554=Data!#REF!,Data!#REF!&lt;&gt;""),Data!#REF!,"")</f>
        <v>#REF!</v>
      </c>
      <c r="K554" s="64" t="e">
        <f>IF(AND(E554=Data!#REF!,Data!#REF!&lt;&gt;""),Data!#REF!,"")</f>
        <v>#REF!</v>
      </c>
      <c r="L554" s="65" t="e">
        <f>IF(E554=Data!#REF!,Data!#REF!,"")</f>
        <v>#REF!</v>
      </c>
      <c r="M554" s="65" t="e">
        <f>IF(E554=Data!#REF!,Data!#REF!,"")</f>
        <v>#REF!</v>
      </c>
      <c r="N554" s="66" t="e">
        <f>IF(AND(Data!#REF!&lt;&gt;"",Data!#REF!="Accept&amp;#233;"),Data!#REF!,"")</f>
        <v>#REF!</v>
      </c>
    </row>
    <row r="555" spans="1:14" ht="19.5" hidden="1" customHeight="1" x14ac:dyDescent="0.3">
      <c r="A555" s="59" t="e">
        <f>IF(AND(Data!#REF!&lt;&gt;"",Data!#REF!="Accept&amp;#233;"),Data!#REF!,"")</f>
        <v>#REF!</v>
      </c>
      <c r="B555" s="59" t="e">
        <f>IF(AND(Data!#REF!&lt;&gt;"",Data!#REF!="Accept&amp;#233;"),Data!#REF!,"")</f>
        <v>#REF!</v>
      </c>
      <c r="C555" s="60" t="e">
        <f t="shared" si="16"/>
        <v>#REF!</v>
      </c>
      <c r="D555" s="42" t="e">
        <f>IF(AND(Data!#REF!&lt;&gt;"",Data!#REF!="Accept&amp;#233;"),Data!#REF!,"")</f>
        <v>#REF!</v>
      </c>
      <c r="E555" s="61" t="e">
        <f>IF(AND(Data!#REF!&lt;&gt;"",Data!#REF!="Accept&amp;#233;"),Data!#REF!,"")</f>
        <v>#REF!</v>
      </c>
      <c r="F555" s="62" t="e">
        <f>IF(AND(Data!#REF!&lt;&gt;"",Data!#REF!="Accept&amp;#233;"),Data!#REF!,"")</f>
        <v>#REF!</v>
      </c>
      <c r="G555" s="63" t="e">
        <f>IF(Data!#REF!='Delivery Plan'!E555,Data!#REF!,"")</f>
        <v>#REF!</v>
      </c>
      <c r="H555" s="51"/>
      <c r="I555" s="60" t="e">
        <f t="shared" si="17"/>
        <v>#REF!</v>
      </c>
      <c r="J555" s="42" t="e">
        <f>IF(AND(E555=Data!#REF!,Data!#REF!&lt;&gt;""),Data!#REF!,"")</f>
        <v>#REF!</v>
      </c>
      <c r="K555" s="64" t="e">
        <f>IF(AND(E555=Data!#REF!,Data!#REF!&lt;&gt;""),Data!#REF!,"")</f>
        <v>#REF!</v>
      </c>
      <c r="L555" s="65" t="e">
        <f>IF(E555=Data!#REF!,Data!#REF!,"")</f>
        <v>#REF!</v>
      </c>
      <c r="M555" s="65" t="e">
        <f>IF(E555=Data!#REF!,Data!#REF!,"")</f>
        <v>#REF!</v>
      </c>
      <c r="N555" s="66" t="e">
        <f>IF(AND(Data!#REF!&lt;&gt;"",Data!#REF!="Accept&amp;#233;"),Data!#REF!,"")</f>
        <v>#REF!</v>
      </c>
    </row>
    <row r="556" spans="1:14" ht="19.5" hidden="1" customHeight="1" x14ac:dyDescent="0.3">
      <c r="A556" s="59" t="e">
        <f>IF(AND(Data!#REF!&lt;&gt;"",Data!#REF!="Accept&amp;#233;"),Data!#REF!,"")</f>
        <v>#REF!</v>
      </c>
      <c r="B556" s="59" t="e">
        <f>IF(AND(Data!#REF!&lt;&gt;"",Data!#REF!="Accept&amp;#233;"),Data!#REF!,"")</f>
        <v>#REF!</v>
      </c>
      <c r="C556" s="60" t="e">
        <f t="shared" si="16"/>
        <v>#REF!</v>
      </c>
      <c r="D556" s="42" t="e">
        <f>IF(AND(Data!#REF!&lt;&gt;"",Data!#REF!="Accept&amp;#233;"),Data!#REF!,"")</f>
        <v>#REF!</v>
      </c>
      <c r="E556" s="61" t="e">
        <f>IF(AND(Data!#REF!&lt;&gt;"",Data!#REF!="Accept&amp;#233;"),Data!#REF!,"")</f>
        <v>#REF!</v>
      </c>
      <c r="F556" s="62" t="e">
        <f>IF(AND(Data!#REF!&lt;&gt;"",Data!#REF!="Accept&amp;#233;"),Data!#REF!,"")</f>
        <v>#REF!</v>
      </c>
      <c r="G556" s="63" t="e">
        <f>IF(Data!#REF!='Delivery Plan'!E556,Data!#REF!,"")</f>
        <v>#REF!</v>
      </c>
      <c r="H556" s="51"/>
      <c r="I556" s="60" t="e">
        <f t="shared" si="17"/>
        <v>#REF!</v>
      </c>
      <c r="J556" s="42" t="e">
        <f>IF(AND(E556=Data!#REF!,Data!#REF!&lt;&gt;""),Data!#REF!,"")</f>
        <v>#REF!</v>
      </c>
      <c r="K556" s="64" t="e">
        <f>IF(AND(E556=Data!#REF!,Data!#REF!&lt;&gt;""),Data!#REF!,"")</f>
        <v>#REF!</v>
      </c>
      <c r="L556" s="65" t="e">
        <f>IF(E556=Data!#REF!,Data!#REF!,"")</f>
        <v>#REF!</v>
      </c>
      <c r="M556" s="65" t="e">
        <f>IF(E556=Data!#REF!,Data!#REF!,"")</f>
        <v>#REF!</v>
      </c>
      <c r="N556" s="66" t="e">
        <f>IF(AND(Data!#REF!&lt;&gt;"",Data!#REF!="Accept&amp;#233;"),Data!#REF!,"")</f>
        <v>#REF!</v>
      </c>
    </row>
    <row r="557" spans="1:14" ht="19.5" hidden="1" customHeight="1" x14ac:dyDescent="0.3">
      <c r="A557" s="59" t="e">
        <f>IF(AND(Data!#REF!&lt;&gt;"",Data!#REF!="Accept&amp;#233;"),Data!#REF!,"")</f>
        <v>#REF!</v>
      </c>
      <c r="B557" s="59" t="e">
        <f>IF(AND(Data!#REF!&lt;&gt;"",Data!#REF!="Accept&amp;#233;"),Data!#REF!,"")</f>
        <v>#REF!</v>
      </c>
      <c r="C557" s="60" t="e">
        <f t="shared" si="16"/>
        <v>#REF!</v>
      </c>
      <c r="D557" s="42" t="e">
        <f>IF(AND(Data!#REF!&lt;&gt;"",Data!#REF!="Accept&amp;#233;"),Data!#REF!,"")</f>
        <v>#REF!</v>
      </c>
      <c r="E557" s="61" t="e">
        <f>IF(AND(Data!#REF!&lt;&gt;"",Data!#REF!="Accept&amp;#233;"),Data!#REF!,"")</f>
        <v>#REF!</v>
      </c>
      <c r="F557" s="62" t="e">
        <f>IF(AND(Data!#REF!&lt;&gt;"",Data!#REF!="Accept&amp;#233;"),Data!#REF!,"")</f>
        <v>#REF!</v>
      </c>
      <c r="G557" s="63" t="e">
        <f>IF(Data!#REF!='Delivery Plan'!E557,Data!#REF!,"")</f>
        <v>#REF!</v>
      </c>
      <c r="H557" s="51"/>
      <c r="I557" s="60" t="e">
        <f t="shared" si="17"/>
        <v>#REF!</v>
      </c>
      <c r="J557" s="42" t="e">
        <f>IF(AND(E557=Data!#REF!,Data!#REF!&lt;&gt;""),Data!#REF!,"")</f>
        <v>#REF!</v>
      </c>
      <c r="K557" s="64" t="e">
        <f>IF(AND(E557=Data!#REF!,Data!#REF!&lt;&gt;""),Data!#REF!,"")</f>
        <v>#REF!</v>
      </c>
      <c r="L557" s="65" t="e">
        <f>IF(E557=Data!#REF!,Data!#REF!,"")</f>
        <v>#REF!</v>
      </c>
      <c r="M557" s="65" t="e">
        <f>IF(E557=Data!#REF!,Data!#REF!,"")</f>
        <v>#REF!</v>
      </c>
      <c r="N557" s="66" t="e">
        <f>IF(AND(Data!#REF!&lt;&gt;"",Data!#REF!="Accept&amp;#233;"),Data!#REF!,"")</f>
        <v>#REF!</v>
      </c>
    </row>
    <row r="558" spans="1:14" ht="19.5" hidden="1" customHeight="1" x14ac:dyDescent="0.3">
      <c r="A558" s="59" t="e">
        <f>IF(AND(Data!#REF!&lt;&gt;"",Data!#REF!="Accept&amp;#233;"),Data!#REF!,"")</f>
        <v>#REF!</v>
      </c>
      <c r="B558" s="59" t="e">
        <f>IF(AND(Data!#REF!&lt;&gt;"",Data!#REF!="Accept&amp;#233;"),Data!#REF!,"")</f>
        <v>#REF!</v>
      </c>
      <c r="C558" s="60" t="e">
        <f t="shared" si="16"/>
        <v>#REF!</v>
      </c>
      <c r="D558" s="42" t="e">
        <f>IF(AND(Data!#REF!&lt;&gt;"",Data!#REF!="Accept&amp;#233;"),Data!#REF!,"")</f>
        <v>#REF!</v>
      </c>
      <c r="E558" s="61" t="e">
        <f>IF(AND(Data!#REF!&lt;&gt;"",Data!#REF!="Accept&amp;#233;"),Data!#REF!,"")</f>
        <v>#REF!</v>
      </c>
      <c r="F558" s="62" t="e">
        <f>IF(AND(Data!#REF!&lt;&gt;"",Data!#REF!="Accept&amp;#233;"),Data!#REF!,"")</f>
        <v>#REF!</v>
      </c>
      <c r="G558" s="63" t="e">
        <f>IF(Data!#REF!='Delivery Plan'!E558,Data!#REF!,"")</f>
        <v>#REF!</v>
      </c>
      <c r="H558" s="51"/>
      <c r="I558" s="60" t="e">
        <f t="shared" si="17"/>
        <v>#REF!</v>
      </c>
      <c r="J558" s="42" t="e">
        <f>IF(AND(E558=Data!#REF!,Data!#REF!&lt;&gt;""),Data!#REF!,"")</f>
        <v>#REF!</v>
      </c>
      <c r="K558" s="64" t="e">
        <f>IF(AND(E558=Data!#REF!,Data!#REF!&lt;&gt;""),Data!#REF!,"")</f>
        <v>#REF!</v>
      </c>
      <c r="L558" s="65" t="e">
        <f>IF(E558=Data!#REF!,Data!#REF!,"")</f>
        <v>#REF!</v>
      </c>
      <c r="M558" s="65" t="e">
        <f>IF(E558=Data!#REF!,Data!#REF!,"")</f>
        <v>#REF!</v>
      </c>
      <c r="N558" s="66" t="e">
        <f>IF(AND(Data!#REF!&lt;&gt;"",Data!#REF!="Accept&amp;#233;"),Data!#REF!,"")</f>
        <v>#REF!</v>
      </c>
    </row>
    <row r="559" spans="1:14" ht="19.5" hidden="1" customHeight="1" x14ac:dyDescent="0.3">
      <c r="A559" s="59" t="e">
        <f>IF(AND(Data!#REF!&lt;&gt;"",Data!#REF!="Accept&amp;#233;"),Data!#REF!,"")</f>
        <v>#REF!</v>
      </c>
      <c r="B559" s="59" t="e">
        <f>IF(AND(Data!#REF!&lt;&gt;"",Data!#REF!="Accept&amp;#233;"),Data!#REF!,"")</f>
        <v>#REF!</v>
      </c>
      <c r="C559" s="60" t="e">
        <f t="shared" si="16"/>
        <v>#REF!</v>
      </c>
      <c r="D559" s="42" t="e">
        <f>IF(AND(Data!#REF!&lt;&gt;"",Data!#REF!="Accept&amp;#233;"),Data!#REF!,"")</f>
        <v>#REF!</v>
      </c>
      <c r="E559" s="61" t="e">
        <f>IF(AND(Data!#REF!&lt;&gt;"",Data!#REF!="Accept&amp;#233;"),Data!#REF!,"")</f>
        <v>#REF!</v>
      </c>
      <c r="F559" s="62" t="e">
        <f>IF(AND(Data!#REF!&lt;&gt;"",Data!#REF!="Accept&amp;#233;"),Data!#REF!,"")</f>
        <v>#REF!</v>
      </c>
      <c r="G559" s="63" t="e">
        <f>IF(Data!#REF!='Delivery Plan'!E559,Data!#REF!,"")</f>
        <v>#REF!</v>
      </c>
      <c r="H559" s="51"/>
      <c r="I559" s="60" t="e">
        <f t="shared" si="17"/>
        <v>#REF!</v>
      </c>
      <c r="J559" s="42" t="e">
        <f>IF(AND(E559=Data!#REF!,Data!#REF!&lt;&gt;""),Data!#REF!,"")</f>
        <v>#REF!</v>
      </c>
      <c r="K559" s="64" t="e">
        <f>IF(AND(E559=Data!#REF!,Data!#REF!&lt;&gt;""),Data!#REF!,"")</f>
        <v>#REF!</v>
      </c>
      <c r="L559" s="65" t="e">
        <f>IF(E559=Data!#REF!,Data!#REF!,"")</f>
        <v>#REF!</v>
      </c>
      <c r="M559" s="65" t="e">
        <f>IF(E559=Data!#REF!,Data!#REF!,"")</f>
        <v>#REF!</v>
      </c>
      <c r="N559" s="66" t="e">
        <f>IF(AND(Data!#REF!&lt;&gt;"",Data!#REF!="Accept&amp;#233;"),Data!#REF!,"")</f>
        <v>#REF!</v>
      </c>
    </row>
    <row r="560" spans="1:14" ht="19.5" hidden="1" customHeight="1" x14ac:dyDescent="0.3">
      <c r="A560" s="59" t="e">
        <f>IF(AND(Data!#REF!&lt;&gt;"",Data!#REF!="Accept&amp;#233;"),Data!#REF!,"")</f>
        <v>#REF!</v>
      </c>
      <c r="B560" s="59" t="e">
        <f>IF(AND(Data!#REF!&lt;&gt;"",Data!#REF!="Accept&amp;#233;"),Data!#REF!,"")</f>
        <v>#REF!</v>
      </c>
      <c r="C560" s="60" t="e">
        <f t="shared" si="16"/>
        <v>#REF!</v>
      </c>
      <c r="D560" s="42" t="e">
        <f>IF(AND(Data!#REF!&lt;&gt;"",Data!#REF!="Accept&amp;#233;"),Data!#REF!,"")</f>
        <v>#REF!</v>
      </c>
      <c r="E560" s="61" t="e">
        <f>IF(AND(Data!#REF!&lt;&gt;"",Data!#REF!="Accept&amp;#233;"),Data!#REF!,"")</f>
        <v>#REF!</v>
      </c>
      <c r="F560" s="62" t="e">
        <f>IF(AND(Data!#REF!&lt;&gt;"",Data!#REF!="Accept&amp;#233;"),Data!#REF!,"")</f>
        <v>#REF!</v>
      </c>
      <c r="G560" s="63" t="e">
        <f>IF(Data!#REF!='Delivery Plan'!E560,Data!#REF!,"")</f>
        <v>#REF!</v>
      </c>
      <c r="H560" s="51"/>
      <c r="I560" s="60" t="e">
        <f t="shared" si="17"/>
        <v>#REF!</v>
      </c>
      <c r="J560" s="42" t="e">
        <f>IF(AND(E560=Data!#REF!,Data!#REF!&lt;&gt;""),Data!#REF!,"")</f>
        <v>#REF!</v>
      </c>
      <c r="K560" s="64" t="e">
        <f>IF(AND(E560=Data!#REF!,Data!#REF!&lt;&gt;""),Data!#REF!,"")</f>
        <v>#REF!</v>
      </c>
      <c r="L560" s="65" t="e">
        <f>IF(E560=Data!#REF!,Data!#REF!,"")</f>
        <v>#REF!</v>
      </c>
      <c r="M560" s="65" t="e">
        <f>IF(E560=Data!#REF!,Data!#REF!,"")</f>
        <v>#REF!</v>
      </c>
      <c r="N560" s="66" t="e">
        <f>IF(AND(Data!#REF!&lt;&gt;"",Data!#REF!="Accept&amp;#233;"),Data!#REF!,"")</f>
        <v>#REF!</v>
      </c>
    </row>
    <row r="561" spans="1:14" ht="19.5" hidden="1" customHeight="1" x14ac:dyDescent="0.3">
      <c r="A561" s="59" t="e">
        <f>IF(AND(Data!#REF!&lt;&gt;"",Data!#REF!="Accept&amp;#233;"),Data!#REF!,"")</f>
        <v>#REF!</v>
      </c>
      <c r="B561" s="59" t="e">
        <f>IF(AND(Data!#REF!&lt;&gt;"",Data!#REF!="Accept&amp;#233;"),Data!#REF!,"")</f>
        <v>#REF!</v>
      </c>
      <c r="C561" s="60" t="e">
        <f t="shared" si="16"/>
        <v>#REF!</v>
      </c>
      <c r="D561" s="42" t="e">
        <f>IF(AND(Data!#REF!&lt;&gt;"",Data!#REF!="Accept&amp;#233;"),Data!#REF!,"")</f>
        <v>#REF!</v>
      </c>
      <c r="E561" s="61" t="e">
        <f>IF(AND(Data!#REF!&lt;&gt;"",Data!#REF!="Accept&amp;#233;"),Data!#REF!,"")</f>
        <v>#REF!</v>
      </c>
      <c r="F561" s="62" t="e">
        <f>IF(AND(Data!#REF!&lt;&gt;"",Data!#REF!="Accept&amp;#233;"),Data!#REF!,"")</f>
        <v>#REF!</v>
      </c>
      <c r="G561" s="63" t="e">
        <f>IF(Data!#REF!='Delivery Plan'!E561,Data!#REF!,"")</f>
        <v>#REF!</v>
      </c>
      <c r="H561" s="51"/>
      <c r="I561" s="60" t="e">
        <f t="shared" si="17"/>
        <v>#REF!</v>
      </c>
      <c r="J561" s="42" t="e">
        <f>IF(AND(E561=Data!#REF!,Data!#REF!&lt;&gt;""),Data!#REF!,"")</f>
        <v>#REF!</v>
      </c>
      <c r="K561" s="64" t="e">
        <f>IF(AND(E561=Data!#REF!,Data!#REF!&lt;&gt;""),Data!#REF!,"")</f>
        <v>#REF!</v>
      </c>
      <c r="L561" s="65" t="e">
        <f>IF(E561=Data!#REF!,Data!#REF!,"")</f>
        <v>#REF!</v>
      </c>
      <c r="M561" s="65" t="e">
        <f>IF(E561=Data!#REF!,Data!#REF!,"")</f>
        <v>#REF!</v>
      </c>
      <c r="N561" s="66" t="e">
        <f>IF(AND(Data!#REF!&lt;&gt;"",Data!#REF!="Accept&amp;#233;"),Data!#REF!,"")</f>
        <v>#REF!</v>
      </c>
    </row>
  </sheetData>
  <mergeCells count="2">
    <mergeCell ref="C2:G2"/>
    <mergeCell ref="I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Y146"/>
  <sheetViews>
    <sheetView workbookViewId="0">
      <pane ySplit="6" topLeftCell="A7" activePane="bottomLeft" state="frozen"/>
      <selection pane="bottomLeft"/>
    </sheetView>
  </sheetViews>
  <sheetFormatPr baseColWidth="10" defaultColWidth="8.88671875" defaultRowHeight="14.4" x14ac:dyDescent="0.3"/>
  <cols>
    <col min="1" max="2" width="14.109375" style="17" bestFit="1" customWidth="1"/>
    <col min="3" max="3" width="11.44140625" style="46" bestFit="1" customWidth="1"/>
    <col min="4" max="4" width="14.44140625" style="17" bestFit="1" customWidth="1"/>
    <col min="5" max="5" width="14.109375" style="17" bestFit="1" customWidth="1"/>
    <col min="6" max="6" width="35" style="17" bestFit="1" customWidth="1"/>
    <col min="7" max="7" width="11.44140625" style="17" bestFit="1" customWidth="1"/>
    <col min="8" max="9" width="14.109375" style="17" bestFit="1" customWidth="1"/>
    <col min="10" max="10" width="39.109375" style="17" bestFit="1" customWidth="1"/>
    <col min="11" max="11" width="14.109375" style="17" bestFit="1" customWidth="1"/>
    <col min="12" max="12" width="32.109375" style="17" bestFit="1" customWidth="1"/>
    <col min="13" max="14" width="14.109375" style="47" bestFit="1" customWidth="1"/>
    <col min="15" max="15" width="14.109375" style="46" bestFit="1" customWidth="1"/>
    <col min="16" max="16" width="14.109375" style="47" bestFit="1" customWidth="1"/>
    <col min="17" max="17" width="14.109375" style="46" bestFit="1" customWidth="1"/>
    <col min="18" max="21" width="14.109375" style="47" bestFit="1" customWidth="1"/>
    <col min="22" max="22" width="14.109375" style="46" bestFit="1" customWidth="1"/>
    <col min="23" max="24" width="14.109375" style="47" bestFit="1" customWidth="1"/>
    <col min="25" max="25" width="12.44140625" style="17" bestFit="1" customWidth="1"/>
  </cols>
  <sheetData>
    <row r="1" spans="1:25" ht="23.4" customHeight="1" x14ac:dyDescent="0.45">
      <c r="A1" s="19" t="s">
        <v>50</v>
      </c>
      <c r="B1" s="19"/>
      <c r="C1" s="10"/>
      <c r="D1" s="3"/>
      <c r="E1" s="3"/>
      <c r="F1" s="3"/>
      <c r="G1" s="3"/>
      <c r="H1" s="3"/>
      <c r="I1" s="3"/>
      <c r="J1" s="3"/>
      <c r="K1" s="3"/>
      <c r="L1" s="3"/>
      <c r="M1" s="20">
        <f>DATE(2018,1,1)</f>
        <v>43101</v>
      </c>
      <c r="N1" s="20">
        <f>DATE(2018,2,1)</f>
        <v>43132</v>
      </c>
      <c r="O1" s="20">
        <f>DATE(2018,3,1)</f>
        <v>43160</v>
      </c>
      <c r="P1" s="20">
        <f>DATE(2018,4,1)</f>
        <v>43191</v>
      </c>
      <c r="Q1" s="20">
        <f>DATE(2018,5,1)</f>
        <v>43221</v>
      </c>
      <c r="R1" s="20">
        <f>DATE(2018,6,1)</f>
        <v>43252</v>
      </c>
      <c r="S1" s="20">
        <f>DATE(2018,7,1)</f>
        <v>43282</v>
      </c>
      <c r="T1" s="20">
        <f>DATE(2018,8,1)</f>
        <v>43313</v>
      </c>
      <c r="U1" s="20">
        <f>DATE(2018,9,1)</f>
        <v>43344</v>
      </c>
      <c r="V1" s="20">
        <f>DATE(2018,10,1)</f>
        <v>43374</v>
      </c>
      <c r="W1" s="20">
        <f>DATE(2018,11,1)</f>
        <v>43405</v>
      </c>
      <c r="X1" s="20">
        <f>DATE(2018,12,1)</f>
        <v>43435</v>
      </c>
      <c r="Y1" s="21" t="s">
        <v>51</v>
      </c>
    </row>
    <row r="2" spans="1:25" ht="19.5" customHeight="1" x14ac:dyDescent="0.3">
      <c r="A2" s="3"/>
      <c r="B2" s="3"/>
      <c r="C2" s="22"/>
      <c r="D2" s="3"/>
      <c r="E2" s="3"/>
      <c r="F2" s="3"/>
      <c r="G2" s="3"/>
      <c r="H2" s="3"/>
      <c r="I2" s="3"/>
      <c r="J2" s="3"/>
      <c r="K2" s="3"/>
      <c r="L2" s="23" t="s">
        <v>52</v>
      </c>
      <c r="M2" s="10">
        <f t="shared" ref="M2:X2" si="0">SUMIFS($C:$C,$B:$B,"&gt;="&amp;M$1,$B:$B,"&lt;="&amp;EOMONTH(M$1,0))</f>
        <v>0</v>
      </c>
      <c r="N2" s="10">
        <f t="shared" si="0"/>
        <v>0</v>
      </c>
      <c r="O2" s="10">
        <f t="shared" si="0"/>
        <v>0</v>
      </c>
      <c r="P2" s="10">
        <f t="shared" si="0"/>
        <v>0</v>
      </c>
      <c r="Q2" s="10">
        <f t="shared" si="0"/>
        <v>0</v>
      </c>
      <c r="R2" s="10">
        <f t="shared" si="0"/>
        <v>0</v>
      </c>
      <c r="S2" s="10">
        <f t="shared" si="0"/>
        <v>0</v>
      </c>
      <c r="T2" s="10">
        <f t="shared" si="0"/>
        <v>0</v>
      </c>
      <c r="U2" s="10">
        <f t="shared" si="0"/>
        <v>0</v>
      </c>
      <c r="V2" s="10">
        <f t="shared" si="0"/>
        <v>0</v>
      </c>
      <c r="W2" s="10">
        <f t="shared" si="0"/>
        <v>0</v>
      </c>
      <c r="X2" s="10">
        <f t="shared" si="0"/>
        <v>0</v>
      </c>
      <c r="Y2" s="10">
        <f t="shared" ref="Y2:Y15" si="1">SUM(M2:X2)</f>
        <v>0</v>
      </c>
    </row>
    <row r="3" spans="1:25" ht="19.5" customHeight="1" x14ac:dyDescent="0.3">
      <c r="A3" s="3"/>
      <c r="B3" s="3"/>
      <c r="C3" s="22"/>
      <c r="D3" s="3"/>
      <c r="E3" s="3"/>
      <c r="F3" s="3"/>
      <c r="G3" s="3"/>
      <c r="H3" s="3"/>
      <c r="I3" s="3"/>
      <c r="J3" s="3"/>
      <c r="K3" s="3"/>
      <c r="L3" s="23" t="s">
        <v>53</v>
      </c>
      <c r="M3" s="10">
        <f t="shared" ref="M3:X3" si="2">-SUMIFS($C:$C,$B:$B,"&gt;="&amp;M$1,$B:$B,"&lt;="&amp;EOMONTH(M$1,0),$D:$D,"&lt;&gt;X")</f>
        <v>0</v>
      </c>
      <c r="N3" s="10">
        <f t="shared" si="2"/>
        <v>0</v>
      </c>
      <c r="O3" s="10">
        <f t="shared" si="2"/>
        <v>0</v>
      </c>
      <c r="P3" s="10">
        <f t="shared" si="2"/>
        <v>0</v>
      </c>
      <c r="Q3" s="10">
        <f t="shared" si="2"/>
        <v>0</v>
      </c>
      <c r="R3" s="10">
        <f t="shared" si="2"/>
        <v>0</v>
      </c>
      <c r="S3" s="10">
        <f t="shared" si="2"/>
        <v>0</v>
      </c>
      <c r="T3" s="10">
        <f t="shared" si="2"/>
        <v>0</v>
      </c>
      <c r="U3" s="10">
        <f t="shared" si="2"/>
        <v>0</v>
      </c>
      <c r="V3" s="10">
        <f t="shared" si="2"/>
        <v>0</v>
      </c>
      <c r="W3" s="10">
        <f t="shared" si="2"/>
        <v>0</v>
      </c>
      <c r="X3" s="10">
        <f t="shared" si="2"/>
        <v>0</v>
      </c>
      <c r="Y3" s="10">
        <f t="shared" si="1"/>
        <v>0</v>
      </c>
    </row>
    <row r="4" spans="1:25" ht="19.5" customHeight="1" x14ac:dyDescent="0.3">
      <c r="A4" s="24" t="s">
        <v>54</v>
      </c>
      <c r="B4" s="24"/>
      <c r="C4" s="25"/>
      <c r="D4" s="24"/>
      <c r="E4" s="26" t="s">
        <v>55</v>
      </c>
      <c r="F4" s="26"/>
      <c r="G4" s="26"/>
      <c r="H4" s="26"/>
      <c r="I4" s="26"/>
      <c r="J4" s="26"/>
      <c r="K4" s="3"/>
      <c r="L4" s="27" t="s">
        <v>56</v>
      </c>
      <c r="M4" s="10">
        <f t="shared" ref="M4:X4" si="3">-SUMIFS($H:$H,$G:$G,"&gt;="&amp;M$1,$G:$G,"&lt;="&amp;EOMONTH(M$1,0),$I:$I,"&lt;&gt;X")</f>
        <v>0</v>
      </c>
      <c r="N4" s="10">
        <f t="shared" si="3"/>
        <v>0</v>
      </c>
      <c r="O4" s="10">
        <f t="shared" si="3"/>
        <v>0</v>
      </c>
      <c r="P4" s="10">
        <f t="shared" si="3"/>
        <v>0</v>
      </c>
      <c r="Q4" s="10">
        <f t="shared" si="3"/>
        <v>0</v>
      </c>
      <c r="R4" s="10">
        <f t="shared" si="3"/>
        <v>0</v>
      </c>
      <c r="S4" s="10">
        <f t="shared" si="3"/>
        <v>0</v>
      </c>
      <c r="T4" s="10">
        <f t="shared" si="3"/>
        <v>0</v>
      </c>
      <c r="U4" s="10">
        <f t="shared" si="3"/>
        <v>0</v>
      </c>
      <c r="V4" s="10">
        <f t="shared" si="3"/>
        <v>0</v>
      </c>
      <c r="W4" s="10">
        <f t="shared" si="3"/>
        <v>0</v>
      </c>
      <c r="X4" s="10">
        <f t="shared" si="3"/>
        <v>0</v>
      </c>
      <c r="Y4" s="10">
        <f t="shared" si="1"/>
        <v>0</v>
      </c>
    </row>
    <row r="5" spans="1:25" ht="19.5" customHeight="1" x14ac:dyDescent="0.3">
      <c r="A5" s="25">
        <f>SUM(C:C)</f>
        <v>0</v>
      </c>
      <c r="B5" s="24"/>
      <c r="C5" s="25"/>
      <c r="D5" s="24"/>
      <c r="E5" s="28">
        <f>-SUM(H:H)</f>
        <v>0</v>
      </c>
      <c r="F5" s="28"/>
      <c r="G5" s="28"/>
      <c r="H5" s="28"/>
      <c r="I5" s="28"/>
      <c r="J5" s="28"/>
      <c r="K5" s="3"/>
      <c r="L5" s="27" t="s">
        <v>57</v>
      </c>
      <c r="M5" s="10">
        <f t="shared" ref="M5:X5" si="4">-SUMIFS($H:$H,$G:$G,"&gt;="&amp;M$1,$G:$G,"&lt;="&amp;EOMONTH(M$1,0))</f>
        <v>0</v>
      </c>
      <c r="N5" s="10">
        <f t="shared" si="4"/>
        <v>0</v>
      </c>
      <c r="O5" s="10">
        <f t="shared" si="4"/>
        <v>0</v>
      </c>
      <c r="P5" s="10">
        <f t="shared" si="4"/>
        <v>0</v>
      </c>
      <c r="Q5" s="10">
        <f t="shared" si="4"/>
        <v>0</v>
      </c>
      <c r="R5" s="10">
        <f t="shared" si="4"/>
        <v>0</v>
      </c>
      <c r="S5" s="10">
        <f t="shared" si="4"/>
        <v>0</v>
      </c>
      <c r="T5" s="10">
        <f t="shared" si="4"/>
        <v>0</v>
      </c>
      <c r="U5" s="10">
        <f t="shared" si="4"/>
        <v>0</v>
      </c>
      <c r="V5" s="10">
        <f t="shared" si="4"/>
        <v>0</v>
      </c>
      <c r="W5" s="10">
        <f t="shared" si="4"/>
        <v>0</v>
      </c>
      <c r="X5" s="10">
        <f t="shared" si="4"/>
        <v>0</v>
      </c>
      <c r="Y5" s="10">
        <f t="shared" si="1"/>
        <v>0</v>
      </c>
    </row>
    <row r="6" spans="1:25" ht="19.5" customHeight="1" x14ac:dyDescent="0.3">
      <c r="A6" s="23" t="s">
        <v>58</v>
      </c>
      <c r="B6" s="23" t="s">
        <v>59</v>
      </c>
      <c r="C6" s="29" t="s">
        <v>60</v>
      </c>
      <c r="D6" s="23" t="s">
        <v>61</v>
      </c>
      <c r="E6" s="27" t="s">
        <v>58</v>
      </c>
      <c r="F6" s="27" t="s">
        <v>62</v>
      </c>
      <c r="G6" s="27" t="s">
        <v>59</v>
      </c>
      <c r="H6" s="27" t="s">
        <v>60</v>
      </c>
      <c r="I6" s="27" t="s">
        <v>61</v>
      </c>
      <c r="J6" s="27" t="s">
        <v>63</v>
      </c>
      <c r="K6" s="3"/>
      <c r="L6" s="30" t="s">
        <v>64</v>
      </c>
      <c r="M6" s="10">
        <f t="shared" ref="M6:X6" si="5">SUM(M2:M4)-M5</f>
        <v>0</v>
      </c>
      <c r="N6" s="10">
        <f t="shared" si="5"/>
        <v>0</v>
      </c>
      <c r="O6" s="10">
        <f t="shared" si="5"/>
        <v>0</v>
      </c>
      <c r="P6" s="10">
        <f t="shared" si="5"/>
        <v>0</v>
      </c>
      <c r="Q6" s="10">
        <f t="shared" si="5"/>
        <v>0</v>
      </c>
      <c r="R6" s="10">
        <f t="shared" si="5"/>
        <v>0</v>
      </c>
      <c r="S6" s="10">
        <f t="shared" si="5"/>
        <v>0</v>
      </c>
      <c r="T6" s="10">
        <f t="shared" si="5"/>
        <v>0</v>
      </c>
      <c r="U6" s="10">
        <f t="shared" si="5"/>
        <v>0</v>
      </c>
      <c r="V6" s="10">
        <f t="shared" si="5"/>
        <v>0</v>
      </c>
      <c r="W6" s="10">
        <f t="shared" si="5"/>
        <v>0</v>
      </c>
      <c r="X6" s="10">
        <f t="shared" si="5"/>
        <v>0</v>
      </c>
      <c r="Y6" s="10">
        <f t="shared" si="1"/>
        <v>0</v>
      </c>
    </row>
    <row r="7" spans="1:25" ht="19.5" customHeight="1" x14ac:dyDescent="0.3">
      <c r="A7" s="21"/>
      <c r="B7" s="31"/>
      <c r="C7" s="22"/>
      <c r="D7" s="3"/>
      <c r="E7" s="3"/>
      <c r="F7" s="3"/>
      <c r="G7" s="31"/>
      <c r="H7" s="32"/>
      <c r="I7" s="3"/>
      <c r="J7" s="3"/>
      <c r="K7" s="3"/>
      <c r="L7" s="33" t="s">
        <v>65</v>
      </c>
      <c r="M7" s="34">
        <f t="shared" ref="M7:X7" si="6">+M5-M2</f>
        <v>0</v>
      </c>
      <c r="N7" s="34">
        <f t="shared" si="6"/>
        <v>0</v>
      </c>
      <c r="O7" s="34">
        <f t="shared" si="6"/>
        <v>0</v>
      </c>
      <c r="P7" s="34">
        <f t="shared" si="6"/>
        <v>0</v>
      </c>
      <c r="Q7" s="34">
        <f t="shared" si="6"/>
        <v>0</v>
      </c>
      <c r="R7" s="34">
        <f t="shared" si="6"/>
        <v>0</v>
      </c>
      <c r="S7" s="34">
        <f t="shared" si="6"/>
        <v>0</v>
      </c>
      <c r="T7" s="34">
        <f t="shared" si="6"/>
        <v>0</v>
      </c>
      <c r="U7" s="34">
        <f t="shared" si="6"/>
        <v>0</v>
      </c>
      <c r="V7" s="34">
        <f t="shared" si="6"/>
        <v>0</v>
      </c>
      <c r="W7" s="34">
        <f t="shared" si="6"/>
        <v>0</v>
      </c>
      <c r="X7" s="34">
        <f t="shared" si="6"/>
        <v>0</v>
      </c>
      <c r="Y7" s="34">
        <f t="shared" si="1"/>
        <v>0</v>
      </c>
    </row>
    <row r="8" spans="1:25" ht="19.5" customHeight="1" x14ac:dyDescent="0.3">
      <c r="A8" s="21"/>
      <c r="B8" s="31"/>
      <c r="C8" s="22"/>
      <c r="D8" s="3"/>
      <c r="E8" s="3"/>
      <c r="F8" s="3"/>
      <c r="G8" s="31"/>
      <c r="H8" s="32"/>
      <c r="I8" s="3"/>
      <c r="J8" s="3"/>
      <c r="K8" s="3"/>
      <c r="L8" s="33" t="s">
        <v>66</v>
      </c>
      <c r="M8" s="35"/>
      <c r="N8" s="35"/>
      <c r="O8" s="22"/>
      <c r="P8" s="35"/>
      <c r="Q8" s="22"/>
      <c r="R8" s="35"/>
      <c r="S8" s="35"/>
      <c r="T8" s="35"/>
      <c r="U8" s="35"/>
      <c r="V8" s="22"/>
      <c r="W8" s="35"/>
      <c r="X8" s="35"/>
      <c r="Y8" s="10">
        <f t="shared" si="1"/>
        <v>0</v>
      </c>
    </row>
    <row r="9" spans="1:25" ht="19.5" customHeight="1" x14ac:dyDescent="0.3">
      <c r="A9" s="21"/>
      <c r="B9" s="31"/>
      <c r="C9" s="22"/>
      <c r="D9" s="3"/>
      <c r="E9" s="3"/>
      <c r="F9" s="3"/>
      <c r="G9" s="31"/>
      <c r="H9" s="32"/>
      <c r="I9" s="3"/>
      <c r="J9" s="3"/>
      <c r="K9" s="3"/>
      <c r="L9" s="3" t="s">
        <v>67</v>
      </c>
      <c r="M9" s="10"/>
      <c r="N9" s="10"/>
      <c r="O9" s="10">
        <v>-15888</v>
      </c>
      <c r="P9" s="10"/>
      <c r="Q9" s="10">
        <v>15888</v>
      </c>
      <c r="R9" s="10"/>
      <c r="S9" s="10"/>
      <c r="T9" s="10"/>
      <c r="U9" s="10"/>
      <c r="V9" s="10"/>
      <c r="W9" s="10"/>
      <c r="X9" s="10"/>
      <c r="Y9" s="10">
        <f t="shared" si="1"/>
        <v>0</v>
      </c>
    </row>
    <row r="10" spans="1:25" ht="19.5" customHeight="1" x14ac:dyDescent="0.3">
      <c r="A10" s="21"/>
      <c r="B10" s="31"/>
      <c r="C10" s="22"/>
      <c r="D10" s="3"/>
      <c r="E10" s="3"/>
      <c r="F10" s="3"/>
      <c r="G10" s="31"/>
      <c r="H10" s="32"/>
      <c r="I10" s="3"/>
      <c r="J10" s="3"/>
      <c r="K10" s="3"/>
      <c r="L10" s="3" t="s">
        <v>68</v>
      </c>
      <c r="M10" s="35"/>
      <c r="N10" s="35"/>
      <c r="O10" s="10"/>
      <c r="P10" s="10">
        <f>C46</f>
        <v>0</v>
      </c>
      <c r="Q10" s="10">
        <f>'Reconciliation SOLUNE vs SAP'!C47</f>
        <v>0</v>
      </c>
      <c r="R10" s="10"/>
      <c r="S10" s="10"/>
      <c r="T10" s="10">
        <f>+H87</f>
        <v>0</v>
      </c>
      <c r="U10" s="10"/>
      <c r="V10" s="10"/>
      <c r="W10" s="10"/>
      <c r="X10" s="10"/>
      <c r="Y10" s="10">
        <f t="shared" si="1"/>
        <v>0</v>
      </c>
    </row>
    <row r="11" spans="1:25" ht="19.5" customHeight="1" x14ac:dyDescent="0.3">
      <c r="A11" s="21"/>
      <c r="B11" s="31"/>
      <c r="C11" s="22"/>
      <c r="D11" s="3"/>
      <c r="E11" s="3"/>
      <c r="F11" s="3"/>
      <c r="G11" s="31"/>
      <c r="H11" s="32"/>
      <c r="I11" s="3"/>
      <c r="J11" s="3"/>
      <c r="K11" s="3"/>
      <c r="L11" s="3" t="s">
        <v>69</v>
      </c>
      <c r="M11" s="10"/>
      <c r="N11" s="10"/>
      <c r="O11" s="10"/>
      <c r="P11" s="10">
        <f>SUM(H48:H50)</f>
        <v>0</v>
      </c>
      <c r="Q11" s="10">
        <f>H54</f>
        <v>0</v>
      </c>
      <c r="R11" s="10"/>
      <c r="S11" s="10"/>
      <c r="T11" s="10">
        <f>H82+H83+H86</f>
        <v>0</v>
      </c>
      <c r="U11" s="10"/>
      <c r="V11" s="10">
        <v>-36915</v>
      </c>
      <c r="W11" s="10"/>
      <c r="X11" s="10"/>
      <c r="Y11" s="10">
        <f t="shared" si="1"/>
        <v>-36915</v>
      </c>
    </row>
    <row r="12" spans="1:25" ht="19.5" customHeight="1" x14ac:dyDescent="0.3">
      <c r="A12" s="21"/>
      <c r="B12" s="31"/>
      <c r="C12" s="22"/>
      <c r="D12" s="3"/>
      <c r="E12" s="3"/>
      <c r="F12" s="3"/>
      <c r="G12" s="31"/>
      <c r="H12" s="32"/>
      <c r="I12" s="3"/>
      <c r="J12" s="3"/>
      <c r="K12" s="3"/>
      <c r="L12" s="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>
        <f t="shared" si="1"/>
        <v>0</v>
      </c>
    </row>
    <row r="13" spans="1:25" ht="19.5" customHeight="1" x14ac:dyDescent="0.3">
      <c r="A13" s="36"/>
      <c r="B13" s="37"/>
      <c r="C13" s="38"/>
      <c r="D13" s="16"/>
      <c r="E13" s="3"/>
      <c r="F13" s="3"/>
      <c r="G13" s="31"/>
      <c r="H13" s="32"/>
      <c r="I13" s="3"/>
      <c r="J13" s="3"/>
      <c r="K13" s="3"/>
      <c r="L13" s="3"/>
      <c r="M13" s="10"/>
      <c r="N13" s="10"/>
      <c r="O13" s="10"/>
      <c r="P13" s="35"/>
      <c r="Q13" s="22"/>
      <c r="R13" s="10"/>
      <c r="S13" s="10"/>
      <c r="T13" s="10"/>
      <c r="U13" s="10"/>
      <c r="V13" s="10"/>
      <c r="W13" s="10"/>
      <c r="X13" s="10"/>
      <c r="Y13" s="10">
        <f t="shared" si="1"/>
        <v>0</v>
      </c>
    </row>
    <row r="14" spans="1:25" ht="19.5" customHeight="1" x14ac:dyDescent="0.3">
      <c r="A14" s="21"/>
      <c r="B14" s="31"/>
      <c r="C14" s="22"/>
      <c r="D14" s="3"/>
      <c r="E14" s="3"/>
      <c r="F14" s="3"/>
      <c r="G14" s="31"/>
      <c r="H14" s="32"/>
      <c r="I14" s="3"/>
      <c r="J14" s="3"/>
      <c r="K14" s="3"/>
      <c r="L14" s="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>
        <f t="shared" si="1"/>
        <v>0</v>
      </c>
    </row>
    <row r="15" spans="1:25" ht="19.5" customHeight="1" x14ac:dyDescent="0.3">
      <c r="A15" s="21"/>
      <c r="B15" s="31"/>
      <c r="C15" s="22"/>
      <c r="D15" s="3"/>
      <c r="E15" s="3"/>
      <c r="F15" s="3"/>
      <c r="G15" s="31"/>
      <c r="H15" s="32"/>
      <c r="I15" s="3"/>
      <c r="J15" s="3"/>
      <c r="K15" s="3"/>
      <c r="L15" s="33" t="s">
        <v>70</v>
      </c>
      <c r="M15" s="34">
        <f t="shared" ref="M15:X15" si="7">SUM(M7:M14)</f>
        <v>0</v>
      </c>
      <c r="N15" s="34">
        <f t="shared" si="7"/>
        <v>0</v>
      </c>
      <c r="O15" s="34">
        <f t="shared" si="7"/>
        <v>-15888</v>
      </c>
      <c r="P15" s="34">
        <f t="shared" si="7"/>
        <v>0</v>
      </c>
      <c r="Q15" s="34">
        <f t="shared" si="7"/>
        <v>15888</v>
      </c>
      <c r="R15" s="34">
        <f t="shared" si="7"/>
        <v>0</v>
      </c>
      <c r="S15" s="34">
        <f t="shared" si="7"/>
        <v>0</v>
      </c>
      <c r="T15" s="34">
        <f t="shared" si="7"/>
        <v>0</v>
      </c>
      <c r="U15" s="34">
        <f t="shared" si="7"/>
        <v>0</v>
      </c>
      <c r="V15" s="34">
        <f t="shared" si="7"/>
        <v>-36915</v>
      </c>
      <c r="W15" s="34">
        <f t="shared" si="7"/>
        <v>0</v>
      </c>
      <c r="X15" s="34">
        <f t="shared" si="7"/>
        <v>0</v>
      </c>
      <c r="Y15" s="34">
        <f t="shared" si="1"/>
        <v>-36915</v>
      </c>
    </row>
    <row r="16" spans="1:25" ht="19.5" customHeight="1" x14ac:dyDescent="0.3">
      <c r="A16" s="21"/>
      <c r="B16" s="31"/>
      <c r="C16" s="22"/>
      <c r="D16" s="3"/>
      <c r="E16" s="3"/>
      <c r="F16" s="3"/>
      <c r="G16" s="31"/>
      <c r="H16" s="32"/>
      <c r="I16" s="3"/>
      <c r="J16" s="3"/>
      <c r="K16" s="3"/>
      <c r="L16" s="3"/>
      <c r="M16" s="35"/>
      <c r="N16" s="35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9.5" customHeight="1" x14ac:dyDescent="0.3">
      <c r="A17" s="21"/>
      <c r="B17" s="31"/>
      <c r="C17" s="22"/>
      <c r="D17" s="3"/>
      <c r="E17" s="3"/>
      <c r="F17" s="3"/>
      <c r="G17" s="31"/>
      <c r="H17" s="32"/>
      <c r="I17" s="3"/>
      <c r="J17" s="3"/>
      <c r="K17" s="3"/>
      <c r="L17" s="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9.5" customHeight="1" x14ac:dyDescent="0.3">
      <c r="A18" s="21"/>
      <c r="B18" s="31"/>
      <c r="C18" s="22"/>
      <c r="D18" s="3"/>
      <c r="E18" s="3"/>
      <c r="F18" s="3"/>
      <c r="G18" s="31"/>
      <c r="H18" s="32"/>
      <c r="I18" s="3"/>
      <c r="J18" s="3"/>
      <c r="K18" s="3"/>
      <c r="L18" s="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9.5" customHeight="1" x14ac:dyDescent="0.3">
      <c r="A19" s="21"/>
      <c r="B19" s="31"/>
      <c r="C19" s="22"/>
      <c r="D19" s="3"/>
      <c r="E19" s="3"/>
      <c r="F19" s="3"/>
      <c r="G19" s="31"/>
      <c r="H19" s="32"/>
      <c r="I19" s="3"/>
      <c r="J19" s="3"/>
      <c r="K19" s="3"/>
      <c r="L19" s="3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9.5" customHeight="1" x14ac:dyDescent="0.3">
      <c r="A20" s="21"/>
      <c r="B20" s="31"/>
      <c r="C20" s="22"/>
      <c r="D20" s="3"/>
      <c r="E20" s="3"/>
      <c r="F20" s="3"/>
      <c r="G20" s="31"/>
      <c r="H20" s="32"/>
      <c r="I20" s="3"/>
      <c r="J20" s="3"/>
      <c r="K20" s="3"/>
      <c r="L20" s="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9.5" customHeight="1" x14ac:dyDescent="0.3">
      <c r="A21" s="21"/>
      <c r="B21" s="31"/>
      <c r="C21" s="22"/>
      <c r="D21" s="3"/>
      <c r="E21" s="3"/>
      <c r="F21" s="3"/>
      <c r="G21" s="31"/>
      <c r="H21" s="32"/>
      <c r="I21" s="3"/>
      <c r="J21" s="3"/>
      <c r="K21" s="3"/>
      <c r="L21" s="3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9.5" customHeight="1" x14ac:dyDescent="0.3">
      <c r="A22" s="21"/>
      <c r="B22" s="31"/>
      <c r="C22" s="22"/>
      <c r="D22" s="3"/>
      <c r="E22" s="3"/>
      <c r="F22" s="3"/>
      <c r="G22" s="31"/>
      <c r="H22" s="32"/>
      <c r="I22" s="3"/>
      <c r="J22" s="3"/>
      <c r="K22" s="3"/>
      <c r="L22" s="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9.5" customHeight="1" x14ac:dyDescent="0.3">
      <c r="A23" s="21"/>
      <c r="B23" s="31"/>
      <c r="C23" s="22"/>
      <c r="D23" s="3"/>
      <c r="E23" s="3"/>
      <c r="F23" s="3"/>
      <c r="G23" s="31"/>
      <c r="H23" s="32"/>
      <c r="I23" s="3"/>
      <c r="J23" s="3"/>
      <c r="K23" s="3"/>
      <c r="L23" s="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9.5" customHeight="1" x14ac:dyDescent="0.3">
      <c r="A24" s="21"/>
      <c r="B24" s="31"/>
      <c r="C24" s="22"/>
      <c r="D24" s="3"/>
      <c r="E24" s="3"/>
      <c r="F24" s="3"/>
      <c r="G24" s="31"/>
      <c r="H24" s="32"/>
      <c r="I24" s="3"/>
      <c r="J24" s="3"/>
      <c r="K24" s="3"/>
      <c r="L24" s="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9.5" customHeight="1" x14ac:dyDescent="0.3">
      <c r="A25" s="21"/>
      <c r="B25" s="31"/>
      <c r="C25" s="22"/>
      <c r="D25" s="3"/>
      <c r="E25" s="3"/>
      <c r="F25" s="3"/>
      <c r="G25" s="31"/>
      <c r="H25" s="32"/>
      <c r="I25" s="3"/>
      <c r="J25" s="3"/>
      <c r="K25" s="3"/>
      <c r="L25" s="3"/>
      <c r="M25" s="35"/>
      <c r="N25" s="35"/>
      <c r="O25" s="22"/>
      <c r="P25" s="35"/>
      <c r="Q25" s="22"/>
      <c r="R25" s="35"/>
      <c r="S25" s="35"/>
      <c r="T25" s="35"/>
      <c r="U25" s="35"/>
      <c r="V25" s="22"/>
      <c r="W25" s="35"/>
      <c r="X25" s="35"/>
      <c r="Y25" s="3"/>
    </row>
    <row r="26" spans="1:25" ht="19.5" customHeight="1" x14ac:dyDescent="0.3">
      <c r="A26" s="21"/>
      <c r="B26" s="31"/>
      <c r="C26" s="22"/>
      <c r="D26" s="3"/>
      <c r="E26" s="3"/>
      <c r="F26" s="3"/>
      <c r="G26" s="31"/>
      <c r="H26" s="32"/>
      <c r="I26" s="3"/>
      <c r="J26" s="3"/>
      <c r="K26" s="3"/>
      <c r="L26" s="3"/>
      <c r="M26" s="35"/>
      <c r="N26" s="35"/>
      <c r="O26" s="22"/>
      <c r="P26" s="35"/>
      <c r="Q26" s="22"/>
      <c r="R26" s="35"/>
      <c r="S26" s="35"/>
      <c r="T26" s="35"/>
      <c r="U26" s="35"/>
      <c r="V26" s="22"/>
      <c r="W26" s="35"/>
      <c r="X26" s="35"/>
      <c r="Y26" s="3"/>
    </row>
    <row r="27" spans="1:25" ht="19.5" customHeight="1" x14ac:dyDescent="0.3">
      <c r="A27" s="21"/>
      <c r="B27" s="31"/>
      <c r="C27" s="22"/>
      <c r="D27" s="3"/>
      <c r="E27" s="3"/>
      <c r="F27" s="3"/>
      <c r="G27" s="31"/>
      <c r="H27" s="32"/>
      <c r="I27" s="3"/>
      <c r="J27" s="3"/>
      <c r="K27" s="3"/>
      <c r="L27" s="3"/>
      <c r="M27" s="35"/>
      <c r="N27" s="35"/>
      <c r="O27" s="22"/>
      <c r="P27" s="35"/>
      <c r="Q27" s="22"/>
      <c r="R27" s="35"/>
      <c r="S27" s="35"/>
      <c r="T27" s="35"/>
      <c r="U27" s="35"/>
      <c r="V27" s="22"/>
      <c r="W27" s="35"/>
      <c r="X27" s="35"/>
      <c r="Y27" s="3"/>
    </row>
    <row r="28" spans="1:25" ht="19.5" customHeight="1" x14ac:dyDescent="0.3">
      <c r="A28" s="21"/>
      <c r="B28" s="31"/>
      <c r="C28" s="22"/>
      <c r="D28" s="3"/>
      <c r="E28" s="3"/>
      <c r="F28" s="3"/>
      <c r="G28" s="31"/>
      <c r="H28" s="32"/>
      <c r="I28" s="3"/>
      <c r="J28" s="3"/>
      <c r="K28" s="3"/>
      <c r="L28" s="3"/>
      <c r="M28" s="35"/>
      <c r="N28" s="35"/>
      <c r="O28" s="22"/>
      <c r="P28" s="35"/>
      <c r="Q28" s="22"/>
      <c r="R28" s="35"/>
      <c r="S28" s="35"/>
      <c r="T28" s="35"/>
      <c r="U28" s="35"/>
      <c r="V28" s="22"/>
      <c r="W28" s="35"/>
      <c r="X28" s="35"/>
      <c r="Y28" s="3"/>
    </row>
    <row r="29" spans="1:25" ht="19.5" customHeight="1" x14ac:dyDescent="0.3">
      <c r="A29" s="21"/>
      <c r="B29" s="31"/>
      <c r="C29" s="22"/>
      <c r="D29" s="3"/>
      <c r="E29" s="3"/>
      <c r="F29" s="3"/>
      <c r="G29" s="31"/>
      <c r="H29" s="32"/>
      <c r="I29" s="3"/>
      <c r="J29" s="3"/>
      <c r="K29" s="3"/>
      <c r="L29" s="3"/>
      <c r="M29" s="35"/>
      <c r="N29" s="35"/>
      <c r="O29" s="22"/>
      <c r="P29" s="35"/>
      <c r="Q29" s="22"/>
      <c r="R29" s="35"/>
      <c r="S29" s="35"/>
      <c r="T29" s="35"/>
      <c r="U29" s="35"/>
      <c r="V29" s="22"/>
      <c r="W29" s="35"/>
      <c r="X29" s="35"/>
      <c r="Y29" s="3"/>
    </row>
    <row r="30" spans="1:25" ht="19.5" customHeight="1" x14ac:dyDescent="0.3">
      <c r="A30" s="21"/>
      <c r="B30" s="31"/>
      <c r="C30" s="22"/>
      <c r="D30" s="3"/>
      <c r="E30" s="3"/>
      <c r="F30" s="3"/>
      <c r="G30" s="31"/>
      <c r="H30" s="32"/>
      <c r="I30" s="3"/>
      <c r="J30" s="3"/>
      <c r="K30" s="3"/>
      <c r="L30" s="3"/>
      <c r="M30" s="35"/>
      <c r="N30" s="35"/>
      <c r="O30" s="22"/>
      <c r="P30" s="35"/>
      <c r="Q30" s="22"/>
      <c r="R30" s="35"/>
      <c r="S30" s="35"/>
      <c r="T30" s="35"/>
      <c r="U30" s="35"/>
      <c r="V30" s="22"/>
      <c r="W30" s="35"/>
      <c r="X30" s="35"/>
      <c r="Y30" s="3"/>
    </row>
    <row r="31" spans="1:25" ht="19.5" customHeight="1" x14ac:dyDescent="0.3">
      <c r="A31" s="21"/>
      <c r="B31" s="31"/>
      <c r="C31" s="22"/>
      <c r="D31" s="3"/>
      <c r="E31" s="3"/>
      <c r="F31" s="3"/>
      <c r="G31" s="31"/>
      <c r="H31" s="32"/>
      <c r="I31" s="3"/>
      <c r="J31" s="3"/>
      <c r="K31" s="3"/>
      <c r="L31" s="3"/>
      <c r="M31" s="35"/>
      <c r="N31" s="35"/>
      <c r="O31" s="22"/>
      <c r="P31" s="35"/>
      <c r="Q31" s="22"/>
      <c r="R31" s="35"/>
      <c r="S31" s="35"/>
      <c r="T31" s="35"/>
      <c r="U31" s="35"/>
      <c r="V31" s="22"/>
      <c r="W31" s="35"/>
      <c r="X31" s="35"/>
      <c r="Y31" s="3"/>
    </row>
    <row r="32" spans="1:25" ht="19.5" customHeight="1" x14ac:dyDescent="0.3">
      <c r="A32" s="21"/>
      <c r="B32" s="31"/>
      <c r="C32" s="22"/>
      <c r="D32" s="3"/>
      <c r="E32" s="3"/>
      <c r="F32" s="3"/>
      <c r="G32" s="31"/>
      <c r="H32" s="32"/>
      <c r="I32" s="3"/>
      <c r="J32" s="3"/>
      <c r="K32" s="3"/>
      <c r="L32" s="3"/>
      <c r="M32" s="35"/>
      <c r="N32" s="35"/>
      <c r="O32" s="22"/>
      <c r="P32" s="35"/>
      <c r="Q32" s="22"/>
      <c r="R32" s="35"/>
      <c r="S32" s="35"/>
      <c r="T32" s="35"/>
      <c r="U32" s="35"/>
      <c r="V32" s="22"/>
      <c r="W32" s="35"/>
      <c r="X32" s="35"/>
      <c r="Y32" s="3"/>
    </row>
    <row r="33" spans="1:25" ht="19.5" customHeight="1" x14ac:dyDescent="0.3">
      <c r="A33" s="21"/>
      <c r="B33" s="31"/>
      <c r="C33" s="22"/>
      <c r="D33" s="3"/>
      <c r="E33" s="3"/>
      <c r="F33" s="3"/>
      <c r="G33" s="31"/>
      <c r="H33" s="32"/>
      <c r="I33" s="3"/>
      <c r="J33" s="3"/>
      <c r="K33" s="3"/>
      <c r="L33" s="3"/>
      <c r="M33" s="35"/>
      <c r="N33" s="35"/>
      <c r="O33" s="22"/>
      <c r="P33" s="35"/>
      <c r="Q33" s="22"/>
      <c r="R33" s="35"/>
      <c r="S33" s="35"/>
      <c r="T33" s="35"/>
      <c r="U33" s="35"/>
      <c r="V33" s="22"/>
      <c r="W33" s="35"/>
      <c r="X33" s="35"/>
      <c r="Y33" s="3"/>
    </row>
    <row r="34" spans="1:25" ht="19.5" customHeight="1" x14ac:dyDescent="0.3">
      <c r="A34" s="21"/>
      <c r="B34" s="31"/>
      <c r="C34" s="22"/>
      <c r="D34" s="3"/>
      <c r="E34" s="3"/>
      <c r="F34" s="3"/>
      <c r="G34" s="31"/>
      <c r="H34" s="32"/>
      <c r="I34" s="3"/>
      <c r="J34" s="3"/>
      <c r="K34" s="3"/>
      <c r="L34" s="3"/>
      <c r="M34" s="35"/>
      <c r="N34" s="35"/>
      <c r="O34" s="22"/>
      <c r="P34" s="35"/>
      <c r="Q34" s="22"/>
      <c r="R34" s="35"/>
      <c r="S34" s="35"/>
      <c r="T34" s="35"/>
      <c r="U34" s="35"/>
      <c r="V34" s="22"/>
      <c r="W34" s="35"/>
      <c r="X34" s="35"/>
      <c r="Y34" s="3"/>
    </row>
    <row r="35" spans="1:25" ht="19.5" customHeight="1" x14ac:dyDescent="0.3">
      <c r="A35" s="21"/>
      <c r="B35" s="31"/>
      <c r="C35" s="22"/>
      <c r="D35" s="3"/>
      <c r="E35" s="3"/>
      <c r="F35" s="3"/>
      <c r="G35" s="31"/>
      <c r="H35" s="32"/>
      <c r="I35" s="3"/>
      <c r="J35" s="3"/>
      <c r="K35" s="3"/>
      <c r="L35" s="3"/>
      <c r="M35" s="35"/>
      <c r="N35" s="35"/>
      <c r="O35" s="22"/>
      <c r="P35" s="35"/>
      <c r="Q35" s="22"/>
      <c r="R35" s="35"/>
      <c r="S35" s="35"/>
      <c r="T35" s="35"/>
      <c r="U35" s="35"/>
      <c r="V35" s="22"/>
      <c r="W35" s="35"/>
      <c r="X35" s="35"/>
      <c r="Y35" s="3"/>
    </row>
    <row r="36" spans="1:25" ht="19.5" customHeight="1" x14ac:dyDescent="0.3">
      <c r="A36" s="21"/>
      <c r="B36" s="31"/>
      <c r="C36" s="22"/>
      <c r="D36" s="3"/>
      <c r="E36" s="3"/>
      <c r="F36" s="3"/>
      <c r="G36" s="31"/>
      <c r="H36" s="32"/>
      <c r="I36" s="3"/>
      <c r="J36" s="3"/>
      <c r="K36" s="3"/>
      <c r="L36" s="3"/>
      <c r="M36" s="35"/>
      <c r="N36" s="35"/>
      <c r="O36" s="22"/>
      <c r="P36" s="35"/>
      <c r="Q36" s="22"/>
      <c r="R36" s="35"/>
      <c r="S36" s="35"/>
      <c r="T36" s="35"/>
      <c r="U36" s="35"/>
      <c r="V36" s="22"/>
      <c r="W36" s="35"/>
      <c r="X36" s="35"/>
      <c r="Y36" s="3"/>
    </row>
    <row r="37" spans="1:25" ht="19.5" customHeight="1" x14ac:dyDescent="0.3">
      <c r="A37" s="21"/>
      <c r="B37" s="31"/>
      <c r="C37" s="22"/>
      <c r="D37" s="3"/>
      <c r="E37" s="3"/>
      <c r="F37" s="3"/>
      <c r="G37" s="37"/>
      <c r="H37" s="32"/>
      <c r="I37" s="16"/>
      <c r="J37" s="3"/>
      <c r="K37" s="3"/>
      <c r="L37" s="3"/>
      <c r="M37" s="35"/>
      <c r="N37" s="35"/>
      <c r="O37" s="22"/>
      <c r="P37" s="35"/>
      <c r="Q37" s="22"/>
      <c r="R37" s="35"/>
      <c r="S37" s="35"/>
      <c r="T37" s="35"/>
      <c r="U37" s="35"/>
      <c r="V37" s="22"/>
      <c r="W37" s="35"/>
      <c r="X37" s="35"/>
      <c r="Y37" s="3"/>
    </row>
    <row r="38" spans="1:25" ht="19.5" customHeight="1" x14ac:dyDescent="0.3">
      <c r="A38" s="21"/>
      <c r="B38" s="31"/>
      <c r="C38" s="22"/>
      <c r="D38" s="3"/>
      <c r="E38" s="3"/>
      <c r="F38" s="3"/>
      <c r="G38" s="31"/>
      <c r="H38" s="32"/>
      <c r="I38" s="3"/>
      <c r="J38" s="3"/>
      <c r="K38" s="3"/>
      <c r="L38" s="3"/>
      <c r="M38" s="35"/>
      <c r="N38" s="35"/>
      <c r="O38" s="22"/>
      <c r="P38" s="35"/>
      <c r="Q38" s="22"/>
      <c r="R38" s="35"/>
      <c r="S38" s="35"/>
      <c r="T38" s="35"/>
      <c r="U38" s="35"/>
      <c r="V38" s="22"/>
      <c r="W38" s="35"/>
      <c r="X38" s="35"/>
      <c r="Y38" s="3"/>
    </row>
    <row r="39" spans="1:25" ht="19.5" customHeight="1" x14ac:dyDescent="0.3">
      <c r="A39" s="21"/>
      <c r="B39" s="31"/>
      <c r="C39" s="22"/>
      <c r="D39" s="3"/>
      <c r="E39" s="3"/>
      <c r="F39" s="3"/>
      <c r="G39" s="31"/>
      <c r="H39" s="32"/>
      <c r="I39" s="3"/>
      <c r="J39" s="3"/>
      <c r="K39" s="3"/>
      <c r="L39" s="3"/>
      <c r="M39" s="35"/>
      <c r="N39" s="35"/>
      <c r="O39" s="22"/>
      <c r="P39" s="35"/>
      <c r="Q39" s="22"/>
      <c r="R39" s="35"/>
      <c r="S39" s="35"/>
      <c r="T39" s="35"/>
      <c r="U39" s="35"/>
      <c r="V39" s="22"/>
      <c r="W39" s="35"/>
      <c r="X39" s="35"/>
      <c r="Y39" s="3"/>
    </row>
    <row r="40" spans="1:25" ht="19.5" customHeight="1" x14ac:dyDescent="0.3">
      <c r="A40" s="21"/>
      <c r="B40" s="31"/>
      <c r="C40" s="22"/>
      <c r="D40" s="3"/>
      <c r="E40" s="3"/>
      <c r="F40" s="3"/>
      <c r="G40" s="31"/>
      <c r="H40" s="10"/>
      <c r="I40" s="3"/>
      <c r="J40" s="3"/>
      <c r="K40" s="3"/>
      <c r="L40" s="3"/>
      <c r="M40" s="35"/>
      <c r="N40" s="35"/>
      <c r="O40" s="22"/>
      <c r="P40" s="35"/>
      <c r="Q40" s="22"/>
      <c r="R40" s="35"/>
      <c r="S40" s="35"/>
      <c r="T40" s="35"/>
      <c r="U40" s="35"/>
      <c r="V40" s="22"/>
      <c r="W40" s="35"/>
      <c r="X40" s="35"/>
      <c r="Y40" s="3"/>
    </row>
    <row r="41" spans="1:25" ht="19.5" customHeight="1" x14ac:dyDescent="0.3">
      <c r="A41" s="21"/>
      <c r="B41" s="31"/>
      <c r="C41" s="22"/>
      <c r="D41" s="3"/>
      <c r="E41" s="3"/>
      <c r="F41" s="3"/>
      <c r="G41" s="31"/>
      <c r="H41" s="10"/>
      <c r="I41" s="3"/>
      <c r="J41" s="3"/>
      <c r="K41" s="3"/>
      <c r="L41" s="3"/>
      <c r="M41" s="35"/>
      <c r="N41" s="35"/>
      <c r="O41" s="22"/>
      <c r="P41" s="35"/>
      <c r="Q41" s="22"/>
      <c r="R41" s="35"/>
      <c r="S41" s="35"/>
      <c r="T41" s="35"/>
      <c r="U41" s="35"/>
      <c r="V41" s="22"/>
      <c r="W41" s="35"/>
      <c r="X41" s="35"/>
      <c r="Y41" s="3"/>
    </row>
    <row r="42" spans="1:25" ht="19.5" customHeight="1" x14ac:dyDescent="0.3">
      <c r="A42" s="21"/>
      <c r="B42" s="31"/>
      <c r="C42" s="22"/>
      <c r="D42" s="3"/>
      <c r="E42" s="39"/>
      <c r="F42" s="3"/>
      <c r="G42" s="31"/>
      <c r="H42" s="40"/>
      <c r="I42" s="3"/>
      <c r="J42" s="3"/>
      <c r="K42" s="3"/>
      <c r="L42" s="3"/>
      <c r="M42" s="35"/>
      <c r="N42" s="35"/>
      <c r="O42" s="22"/>
      <c r="P42" s="35"/>
      <c r="Q42" s="22"/>
      <c r="R42" s="35"/>
      <c r="S42" s="35"/>
      <c r="T42" s="35"/>
      <c r="U42" s="35"/>
      <c r="V42" s="22"/>
      <c r="W42" s="35"/>
      <c r="X42" s="35"/>
      <c r="Y42" s="3"/>
    </row>
    <row r="43" spans="1:25" ht="19.5" customHeight="1" x14ac:dyDescent="0.3">
      <c r="A43" s="21"/>
      <c r="B43" s="31"/>
      <c r="C43" s="22"/>
      <c r="D43" s="3"/>
      <c r="E43" s="39"/>
      <c r="F43" s="3"/>
      <c r="G43" s="31"/>
      <c r="H43" s="40"/>
      <c r="I43" s="3"/>
      <c r="J43" s="3"/>
      <c r="K43" s="3"/>
      <c r="L43" s="3"/>
      <c r="M43" s="35"/>
      <c r="N43" s="35"/>
      <c r="O43" s="22"/>
      <c r="P43" s="35"/>
      <c r="Q43" s="22"/>
      <c r="R43" s="35"/>
      <c r="S43" s="35"/>
      <c r="T43" s="35"/>
      <c r="U43" s="35"/>
      <c r="V43" s="22"/>
      <c r="W43" s="35"/>
      <c r="X43" s="35"/>
      <c r="Y43" s="3"/>
    </row>
    <row r="44" spans="1:25" ht="19.5" customHeight="1" x14ac:dyDescent="0.3">
      <c r="A44" s="41"/>
      <c r="B44" s="42"/>
      <c r="C44" s="22"/>
      <c r="D44" s="3"/>
      <c r="E44" s="39"/>
      <c r="F44" s="3"/>
      <c r="G44" s="31"/>
      <c r="H44" s="40"/>
      <c r="I44" s="3"/>
      <c r="J44" s="3"/>
      <c r="K44" s="3"/>
      <c r="L44" s="3"/>
      <c r="M44" s="35"/>
      <c r="N44" s="35"/>
      <c r="O44" s="22"/>
      <c r="P44" s="35"/>
      <c r="Q44" s="22"/>
      <c r="R44" s="35"/>
      <c r="S44" s="35"/>
      <c r="T44" s="35"/>
      <c r="U44" s="35"/>
      <c r="V44" s="22"/>
      <c r="W44" s="35"/>
      <c r="X44" s="35"/>
      <c r="Y44" s="3"/>
    </row>
    <row r="45" spans="1:25" ht="19.5" customHeight="1" x14ac:dyDescent="0.3">
      <c r="A45" s="41"/>
      <c r="B45" s="42"/>
      <c r="C45" s="22"/>
      <c r="D45" s="3"/>
      <c r="E45" s="3"/>
      <c r="F45" s="3"/>
      <c r="G45" s="43"/>
      <c r="H45" s="10"/>
      <c r="I45" s="3"/>
      <c r="J45" s="3"/>
      <c r="K45" s="3"/>
      <c r="L45" s="3"/>
      <c r="M45" s="35"/>
      <c r="N45" s="35"/>
      <c r="O45" s="22"/>
      <c r="P45" s="35"/>
      <c r="Q45" s="22"/>
      <c r="R45" s="35"/>
      <c r="S45" s="35"/>
      <c r="T45" s="35"/>
      <c r="U45" s="35"/>
      <c r="V45" s="22"/>
      <c r="W45" s="35"/>
      <c r="X45" s="35"/>
      <c r="Y45" s="3"/>
    </row>
    <row r="46" spans="1:25" ht="19.5" customHeight="1" x14ac:dyDescent="0.3">
      <c r="A46" s="41"/>
      <c r="B46" s="42"/>
      <c r="C46" s="22"/>
      <c r="D46" s="3"/>
      <c r="E46" s="3"/>
      <c r="F46" s="3"/>
      <c r="G46" s="43"/>
      <c r="H46" s="10"/>
      <c r="I46" s="3"/>
      <c r="J46" s="3"/>
      <c r="K46" s="3"/>
      <c r="L46" s="3"/>
      <c r="M46" s="35"/>
      <c r="N46" s="35"/>
      <c r="O46" s="22"/>
      <c r="P46" s="35"/>
      <c r="Q46" s="22"/>
      <c r="R46" s="35"/>
      <c r="S46" s="35"/>
      <c r="T46" s="35"/>
      <c r="U46" s="35"/>
      <c r="V46" s="22"/>
      <c r="W46" s="35"/>
      <c r="X46" s="35"/>
      <c r="Y46" s="3"/>
    </row>
    <row r="47" spans="1:25" ht="19.5" customHeight="1" x14ac:dyDescent="0.3">
      <c r="A47" s="41"/>
      <c r="B47" s="42"/>
      <c r="C47" s="22"/>
      <c r="D47" s="3"/>
      <c r="E47" s="3"/>
      <c r="F47" s="3"/>
      <c r="G47" s="43"/>
      <c r="H47" s="10"/>
      <c r="I47" s="3"/>
      <c r="J47" s="3"/>
      <c r="K47" s="3"/>
      <c r="L47" s="3"/>
      <c r="M47" s="35"/>
      <c r="N47" s="35"/>
      <c r="O47" s="22"/>
      <c r="P47" s="35"/>
      <c r="Q47" s="22"/>
      <c r="R47" s="35"/>
      <c r="S47" s="35"/>
      <c r="T47" s="35"/>
      <c r="U47" s="35"/>
      <c r="V47" s="22"/>
      <c r="W47" s="35"/>
      <c r="X47" s="35"/>
      <c r="Y47" s="3"/>
    </row>
    <row r="48" spans="1:25" ht="19.5" customHeight="1" x14ac:dyDescent="0.3">
      <c r="A48" s="3"/>
      <c r="B48" s="31"/>
      <c r="C48" s="22"/>
      <c r="D48" s="3"/>
      <c r="E48" s="3"/>
      <c r="F48" s="3"/>
      <c r="G48" s="43"/>
      <c r="H48" s="10"/>
      <c r="I48" s="3"/>
      <c r="J48" s="3"/>
      <c r="K48" s="3"/>
      <c r="L48" s="3"/>
      <c r="M48" s="35"/>
      <c r="N48" s="35"/>
      <c r="O48" s="22"/>
      <c r="P48" s="35"/>
      <c r="Q48" s="22"/>
      <c r="R48" s="35"/>
      <c r="S48" s="35"/>
      <c r="T48" s="35"/>
      <c r="U48" s="35"/>
      <c r="V48" s="22"/>
      <c r="W48" s="35"/>
      <c r="X48" s="35"/>
      <c r="Y48" s="3"/>
    </row>
    <row r="49" spans="1:25" ht="19.5" customHeight="1" x14ac:dyDescent="0.3">
      <c r="A49" s="3"/>
      <c r="B49" s="31"/>
      <c r="C49" s="22"/>
      <c r="D49" s="3"/>
      <c r="E49" s="3"/>
      <c r="F49" s="3"/>
      <c r="G49" s="43"/>
      <c r="H49" s="10"/>
      <c r="I49" s="3"/>
      <c r="J49" s="3"/>
      <c r="K49" s="3"/>
      <c r="L49" s="3"/>
      <c r="M49" s="35"/>
      <c r="N49" s="35"/>
      <c r="O49" s="22"/>
      <c r="P49" s="35"/>
      <c r="Q49" s="22"/>
      <c r="R49" s="35"/>
      <c r="S49" s="35"/>
      <c r="T49" s="35"/>
      <c r="U49" s="35"/>
      <c r="V49" s="22"/>
      <c r="W49" s="35"/>
      <c r="X49" s="35"/>
      <c r="Y49" s="3"/>
    </row>
    <row r="50" spans="1:25" ht="19.5" customHeight="1" x14ac:dyDescent="0.3">
      <c r="A50" s="3"/>
      <c r="B50" s="31"/>
      <c r="C50" s="22"/>
      <c r="D50" s="3"/>
      <c r="E50" s="3"/>
      <c r="F50" s="3"/>
      <c r="G50" s="43"/>
      <c r="H50" s="10"/>
      <c r="I50" s="3"/>
      <c r="J50" s="3"/>
      <c r="K50" s="3"/>
      <c r="L50" s="3"/>
      <c r="M50" s="35"/>
      <c r="N50" s="35"/>
      <c r="O50" s="22"/>
      <c r="P50" s="35"/>
      <c r="Q50" s="22"/>
      <c r="R50" s="35"/>
      <c r="S50" s="35"/>
      <c r="T50" s="35"/>
      <c r="U50" s="35"/>
      <c r="V50" s="22"/>
      <c r="W50" s="35"/>
      <c r="X50" s="35"/>
      <c r="Y50" s="3"/>
    </row>
    <row r="51" spans="1:25" ht="19.5" customHeight="1" x14ac:dyDescent="0.3">
      <c r="A51" s="41"/>
      <c r="B51" s="42"/>
      <c r="C51" s="22"/>
      <c r="D51" s="3"/>
      <c r="E51" s="3"/>
      <c r="F51" s="3"/>
      <c r="G51" s="43"/>
      <c r="H51" s="10"/>
      <c r="I51" s="3"/>
      <c r="J51" s="3"/>
      <c r="K51" s="3"/>
      <c r="L51" s="3"/>
      <c r="M51" s="35"/>
      <c r="N51" s="35"/>
      <c r="O51" s="22"/>
      <c r="P51" s="35"/>
      <c r="Q51" s="22"/>
      <c r="R51" s="35"/>
      <c r="S51" s="35"/>
      <c r="T51" s="35"/>
      <c r="U51" s="35"/>
      <c r="V51" s="22"/>
      <c r="W51" s="35"/>
      <c r="X51" s="35"/>
      <c r="Y51" s="3"/>
    </row>
    <row r="52" spans="1:25" ht="19.5" customHeight="1" x14ac:dyDescent="0.3">
      <c r="A52" s="3"/>
      <c r="B52" s="31"/>
      <c r="C52" s="22"/>
      <c r="D52" s="3"/>
      <c r="E52" s="3"/>
      <c r="F52" s="3"/>
      <c r="G52" s="43"/>
      <c r="H52" s="10"/>
      <c r="I52" s="3"/>
      <c r="J52" s="3"/>
      <c r="K52" s="3"/>
      <c r="L52" s="3"/>
      <c r="M52" s="35"/>
      <c r="N52" s="35"/>
      <c r="O52" s="22"/>
      <c r="P52" s="35"/>
      <c r="Q52" s="22"/>
      <c r="R52" s="35"/>
      <c r="S52" s="35"/>
      <c r="T52" s="35"/>
      <c r="U52" s="35"/>
      <c r="V52" s="22"/>
      <c r="W52" s="35"/>
      <c r="X52" s="35"/>
      <c r="Y52" s="3"/>
    </row>
    <row r="53" spans="1:25" ht="19.5" customHeight="1" x14ac:dyDescent="0.3">
      <c r="A53" s="3"/>
      <c r="B53" s="31"/>
      <c r="C53" s="22"/>
      <c r="D53" s="3"/>
      <c r="E53" s="3"/>
      <c r="F53" s="3"/>
      <c r="G53" s="43"/>
      <c r="H53" s="10"/>
      <c r="I53" s="3"/>
      <c r="J53" s="3"/>
      <c r="K53" s="3"/>
      <c r="L53" s="3"/>
      <c r="M53" s="35"/>
      <c r="N53" s="35"/>
      <c r="O53" s="22"/>
      <c r="P53" s="35"/>
      <c r="Q53" s="22"/>
      <c r="R53" s="35"/>
      <c r="S53" s="35"/>
      <c r="T53" s="35"/>
      <c r="U53" s="35"/>
      <c r="V53" s="22"/>
      <c r="W53" s="35"/>
      <c r="X53" s="35"/>
      <c r="Y53" s="3"/>
    </row>
    <row r="54" spans="1:25" ht="19.5" customHeight="1" x14ac:dyDescent="0.3">
      <c r="A54" s="3"/>
      <c r="B54" s="31"/>
      <c r="C54" s="22"/>
      <c r="D54" s="3"/>
      <c r="E54" s="3"/>
      <c r="F54" s="3"/>
      <c r="G54" s="43"/>
      <c r="H54" s="10"/>
      <c r="I54" s="3"/>
      <c r="J54" s="3"/>
      <c r="K54" s="3"/>
      <c r="L54" s="3"/>
      <c r="M54" s="35"/>
      <c r="N54" s="35"/>
      <c r="O54" s="22"/>
      <c r="P54" s="35"/>
      <c r="Q54" s="22"/>
      <c r="R54" s="35"/>
      <c r="S54" s="35"/>
      <c r="T54" s="35"/>
      <c r="U54" s="35"/>
      <c r="V54" s="22"/>
      <c r="W54" s="35"/>
      <c r="X54" s="35"/>
      <c r="Y54" s="3"/>
    </row>
    <row r="55" spans="1:25" ht="19.5" customHeight="1" x14ac:dyDescent="0.3">
      <c r="A55" s="3"/>
      <c r="B55" s="31"/>
      <c r="C55" s="22"/>
      <c r="D55" s="3"/>
      <c r="E55" s="3"/>
      <c r="F55" s="3"/>
      <c r="G55" s="43"/>
      <c r="H55" s="10"/>
      <c r="I55" s="3"/>
      <c r="J55" s="3"/>
      <c r="K55" s="3"/>
      <c r="L55" s="3"/>
      <c r="M55" s="35"/>
      <c r="N55" s="35"/>
      <c r="O55" s="22"/>
      <c r="P55" s="35"/>
      <c r="Q55" s="22"/>
      <c r="R55" s="35"/>
      <c r="S55" s="35"/>
      <c r="T55" s="35"/>
      <c r="U55" s="35"/>
      <c r="V55" s="22"/>
      <c r="W55" s="35"/>
      <c r="X55" s="35"/>
      <c r="Y55" s="3"/>
    </row>
    <row r="56" spans="1:25" ht="19.5" customHeight="1" x14ac:dyDescent="0.3">
      <c r="A56" s="3"/>
      <c r="B56" s="31"/>
      <c r="C56" s="22"/>
      <c r="D56" s="3"/>
      <c r="E56" s="3"/>
      <c r="F56" s="3"/>
      <c r="G56" s="43"/>
      <c r="H56" s="10"/>
      <c r="I56" s="3"/>
      <c r="J56" s="3"/>
      <c r="K56" s="3"/>
      <c r="L56" s="3"/>
      <c r="M56" s="35"/>
      <c r="N56" s="35"/>
      <c r="O56" s="22"/>
      <c r="P56" s="35"/>
      <c r="Q56" s="22"/>
      <c r="R56" s="35"/>
      <c r="S56" s="35"/>
      <c r="T56" s="35"/>
      <c r="U56" s="35"/>
      <c r="V56" s="22"/>
      <c r="W56" s="35"/>
      <c r="X56" s="35"/>
      <c r="Y56" s="3"/>
    </row>
    <row r="57" spans="1:25" ht="19.5" customHeight="1" x14ac:dyDescent="0.3">
      <c r="A57" s="44"/>
      <c r="B57" s="31"/>
      <c r="C57" s="22"/>
      <c r="D57" s="3"/>
      <c r="E57" s="3"/>
      <c r="F57" s="3"/>
      <c r="G57" s="43"/>
      <c r="H57" s="10"/>
      <c r="I57" s="3"/>
      <c r="J57" s="3"/>
      <c r="K57" s="3"/>
      <c r="L57" s="3"/>
      <c r="M57" s="35"/>
      <c r="N57" s="35"/>
      <c r="O57" s="22"/>
      <c r="P57" s="35"/>
      <c r="Q57" s="22"/>
      <c r="R57" s="35"/>
      <c r="S57" s="35"/>
      <c r="T57" s="35"/>
      <c r="U57" s="35"/>
      <c r="V57" s="22"/>
      <c r="W57" s="35"/>
      <c r="X57" s="35"/>
      <c r="Y57" s="3"/>
    </row>
    <row r="58" spans="1:25" ht="19.5" customHeight="1" x14ac:dyDescent="0.3">
      <c r="A58" s="3"/>
      <c r="B58" s="31"/>
      <c r="C58" s="22"/>
      <c r="D58" s="3"/>
      <c r="E58" s="3"/>
      <c r="F58" s="3"/>
      <c r="G58" s="43"/>
      <c r="H58" s="10"/>
      <c r="I58" s="3"/>
      <c r="J58" s="3"/>
      <c r="K58" s="3"/>
      <c r="L58" s="3"/>
      <c r="M58" s="35"/>
      <c r="N58" s="35"/>
      <c r="O58" s="22"/>
      <c r="P58" s="35"/>
      <c r="Q58" s="22"/>
      <c r="R58" s="35"/>
      <c r="S58" s="35"/>
      <c r="T58" s="35"/>
      <c r="U58" s="35"/>
      <c r="V58" s="22"/>
      <c r="W58" s="35"/>
      <c r="X58" s="35"/>
      <c r="Y58" s="3"/>
    </row>
    <row r="59" spans="1:25" ht="19.5" customHeight="1" x14ac:dyDescent="0.3">
      <c r="A59" s="3"/>
      <c r="B59" s="31"/>
      <c r="C59" s="22"/>
      <c r="D59" s="3"/>
      <c r="E59" s="3"/>
      <c r="F59" s="3"/>
      <c r="G59" s="31"/>
      <c r="H59" s="3"/>
      <c r="I59" s="3"/>
      <c r="J59" s="3"/>
      <c r="K59" s="3"/>
      <c r="L59" s="3"/>
      <c r="M59" s="35"/>
      <c r="N59" s="35"/>
      <c r="O59" s="22"/>
      <c r="P59" s="35"/>
      <c r="Q59" s="22"/>
      <c r="R59" s="35"/>
      <c r="S59" s="35"/>
      <c r="T59" s="35"/>
      <c r="U59" s="35"/>
      <c r="V59" s="22"/>
      <c r="W59" s="35"/>
      <c r="X59" s="35"/>
      <c r="Y59" s="3"/>
    </row>
    <row r="60" spans="1:25" ht="19.5" customHeight="1" x14ac:dyDescent="0.3">
      <c r="A60" s="3"/>
      <c r="B60" s="31"/>
      <c r="C60" s="22"/>
      <c r="D60" s="3"/>
      <c r="E60" s="3"/>
      <c r="F60" s="3"/>
      <c r="G60" s="31"/>
      <c r="H60" s="3"/>
      <c r="I60" s="3"/>
      <c r="J60" s="3"/>
      <c r="K60" s="3"/>
      <c r="L60" s="3"/>
      <c r="M60" s="35"/>
      <c r="N60" s="35"/>
      <c r="O60" s="22"/>
      <c r="P60" s="35"/>
      <c r="Q60" s="22"/>
      <c r="R60" s="35"/>
      <c r="S60" s="35"/>
      <c r="T60" s="35"/>
      <c r="U60" s="35"/>
      <c r="V60" s="22"/>
      <c r="W60" s="35"/>
      <c r="X60" s="35"/>
      <c r="Y60" s="3"/>
    </row>
    <row r="61" spans="1:25" ht="19.5" customHeight="1" x14ac:dyDescent="0.3">
      <c r="A61" s="3"/>
      <c r="B61" s="31"/>
      <c r="C61" s="10"/>
      <c r="D61" s="3"/>
      <c r="E61" s="3"/>
      <c r="F61" s="3"/>
      <c r="G61" s="31"/>
      <c r="H61" s="3"/>
      <c r="I61" s="3"/>
      <c r="J61" s="3"/>
      <c r="K61" s="3"/>
      <c r="L61" s="3"/>
      <c r="M61" s="35"/>
      <c r="N61" s="35"/>
      <c r="O61" s="22"/>
      <c r="P61" s="35"/>
      <c r="Q61" s="22"/>
      <c r="R61" s="35"/>
      <c r="S61" s="35"/>
      <c r="T61" s="35"/>
      <c r="U61" s="35"/>
      <c r="V61" s="22"/>
      <c r="W61" s="35"/>
      <c r="X61" s="35"/>
      <c r="Y61" s="3"/>
    </row>
    <row r="62" spans="1:25" ht="19.5" customHeight="1" x14ac:dyDescent="0.3">
      <c r="A62" s="3"/>
      <c r="B62" s="31"/>
      <c r="C62" s="10"/>
      <c r="D62" s="3"/>
      <c r="E62" s="3"/>
      <c r="F62" s="3"/>
      <c r="G62" s="31"/>
      <c r="H62" s="3"/>
      <c r="I62" s="3"/>
      <c r="J62" s="3"/>
      <c r="K62" s="3"/>
      <c r="L62" s="3"/>
      <c r="M62" s="35"/>
      <c r="N62" s="35"/>
      <c r="O62" s="22"/>
      <c r="P62" s="35"/>
      <c r="Q62" s="22"/>
      <c r="R62" s="35"/>
      <c r="S62" s="35"/>
      <c r="T62" s="35"/>
      <c r="U62" s="35"/>
      <c r="V62" s="22"/>
      <c r="W62" s="35"/>
      <c r="X62" s="35"/>
      <c r="Y62" s="3"/>
    </row>
    <row r="63" spans="1:25" ht="19.5" customHeight="1" x14ac:dyDescent="0.3">
      <c r="A63" s="3"/>
      <c r="B63" s="31"/>
      <c r="C63" s="10"/>
      <c r="D63" s="3"/>
      <c r="E63" s="3"/>
      <c r="F63" s="3"/>
      <c r="G63" s="31"/>
      <c r="H63" s="3"/>
      <c r="I63" s="3"/>
      <c r="J63" s="3"/>
      <c r="K63" s="3"/>
      <c r="L63" s="3"/>
      <c r="M63" s="35"/>
      <c r="N63" s="35"/>
      <c r="O63" s="22"/>
      <c r="P63" s="35"/>
      <c r="Q63" s="22"/>
      <c r="R63" s="35"/>
      <c r="S63" s="35"/>
      <c r="T63" s="35"/>
      <c r="U63" s="35"/>
      <c r="V63" s="22"/>
      <c r="W63" s="35"/>
      <c r="X63" s="35"/>
      <c r="Y63" s="3"/>
    </row>
    <row r="64" spans="1:25" ht="19.5" customHeight="1" x14ac:dyDescent="0.3">
      <c r="A64" s="3"/>
      <c r="B64" s="31"/>
      <c r="C64" s="10"/>
      <c r="D64" s="3"/>
      <c r="E64" s="3"/>
      <c r="F64" s="3"/>
      <c r="G64" s="31"/>
      <c r="H64" s="3"/>
      <c r="I64" s="3"/>
      <c r="J64" s="3"/>
      <c r="K64" s="3"/>
      <c r="L64" s="3"/>
      <c r="M64" s="35"/>
      <c r="N64" s="35"/>
      <c r="O64" s="22"/>
      <c r="P64" s="35"/>
      <c r="Q64" s="22"/>
      <c r="R64" s="35"/>
      <c r="S64" s="35"/>
      <c r="T64" s="35"/>
      <c r="U64" s="35"/>
      <c r="V64" s="22"/>
      <c r="W64" s="35"/>
      <c r="X64" s="35"/>
      <c r="Y64" s="3"/>
    </row>
    <row r="65" spans="1:25" ht="19.5" customHeight="1" x14ac:dyDescent="0.3">
      <c r="A65" s="3"/>
      <c r="B65" s="31"/>
      <c r="C65" s="10"/>
      <c r="D65" s="3"/>
      <c r="E65" s="3"/>
      <c r="F65" s="3"/>
      <c r="G65" s="31"/>
      <c r="H65" s="10"/>
      <c r="I65" s="3"/>
      <c r="J65" s="3"/>
      <c r="K65" s="3"/>
      <c r="L65" s="3"/>
      <c r="M65" s="35"/>
      <c r="N65" s="35"/>
      <c r="O65" s="22"/>
      <c r="P65" s="35"/>
      <c r="Q65" s="22"/>
      <c r="R65" s="35"/>
      <c r="S65" s="35"/>
      <c r="T65" s="35"/>
      <c r="U65" s="35"/>
      <c r="V65" s="22"/>
      <c r="W65" s="35"/>
      <c r="X65" s="35"/>
      <c r="Y65" s="3"/>
    </row>
    <row r="66" spans="1:25" ht="19.5" customHeight="1" x14ac:dyDescent="0.3">
      <c r="A66" s="3"/>
      <c r="B66" s="31"/>
      <c r="C66" s="10"/>
      <c r="D66" s="3"/>
      <c r="E66" s="3"/>
      <c r="F66" s="3"/>
      <c r="G66" s="31"/>
      <c r="H66" s="10"/>
      <c r="I66" s="3"/>
      <c r="J66" s="3"/>
      <c r="K66" s="3"/>
      <c r="L66" s="3"/>
      <c r="M66" s="35"/>
      <c r="N66" s="35"/>
      <c r="O66" s="22"/>
      <c r="P66" s="35"/>
      <c r="Q66" s="22"/>
      <c r="R66" s="35"/>
      <c r="S66" s="35"/>
      <c r="T66" s="35"/>
      <c r="U66" s="35"/>
      <c r="V66" s="22"/>
      <c r="W66" s="35"/>
      <c r="X66" s="35"/>
      <c r="Y66" s="3"/>
    </row>
    <row r="67" spans="1:25" ht="19.5" customHeight="1" x14ac:dyDescent="0.3">
      <c r="A67" s="3"/>
      <c r="B67" s="31"/>
      <c r="C67" s="10"/>
      <c r="D67" s="3"/>
      <c r="E67" s="3"/>
      <c r="F67" s="3"/>
      <c r="G67" s="31"/>
      <c r="H67" s="3"/>
      <c r="I67" s="3"/>
      <c r="J67" s="3"/>
      <c r="K67" s="3"/>
      <c r="L67" s="3"/>
      <c r="M67" s="35"/>
      <c r="N67" s="35"/>
      <c r="O67" s="22"/>
      <c r="P67" s="35"/>
      <c r="Q67" s="22"/>
      <c r="R67" s="35"/>
      <c r="S67" s="35"/>
      <c r="T67" s="35"/>
      <c r="U67" s="35"/>
      <c r="V67" s="22"/>
      <c r="W67" s="35"/>
      <c r="X67" s="35"/>
      <c r="Y67" s="3"/>
    </row>
    <row r="68" spans="1:25" ht="19.5" customHeight="1" x14ac:dyDescent="0.3">
      <c r="A68" s="3"/>
      <c r="B68" s="31"/>
      <c r="C68" s="10"/>
      <c r="D68" s="3"/>
      <c r="E68" s="3"/>
      <c r="F68" s="3"/>
      <c r="G68" s="31"/>
      <c r="H68" s="3"/>
      <c r="I68" s="3"/>
      <c r="J68" s="3"/>
      <c r="K68" s="3"/>
      <c r="L68" s="3"/>
      <c r="M68" s="35"/>
      <c r="N68" s="35"/>
      <c r="O68" s="22"/>
      <c r="P68" s="35"/>
      <c r="Q68" s="22"/>
      <c r="R68" s="35"/>
      <c r="S68" s="35"/>
      <c r="T68" s="35"/>
      <c r="U68" s="35"/>
      <c r="V68" s="22"/>
      <c r="W68" s="35"/>
      <c r="X68" s="35"/>
      <c r="Y68" s="3"/>
    </row>
    <row r="69" spans="1:25" ht="19.5" customHeight="1" x14ac:dyDescent="0.3">
      <c r="A69" s="3"/>
      <c r="B69" s="31"/>
      <c r="C69" s="10"/>
      <c r="D69" s="3"/>
      <c r="E69" s="3"/>
      <c r="F69" s="3"/>
      <c r="G69" s="31"/>
      <c r="H69" s="3"/>
      <c r="I69" s="3"/>
      <c r="J69" s="3"/>
      <c r="K69" s="3"/>
      <c r="L69" s="3"/>
      <c r="M69" s="35"/>
      <c r="N69" s="35"/>
      <c r="O69" s="22"/>
      <c r="P69" s="35"/>
      <c r="Q69" s="22"/>
      <c r="R69" s="35"/>
      <c r="S69" s="35"/>
      <c r="T69" s="35"/>
      <c r="U69" s="35"/>
      <c r="V69" s="22"/>
      <c r="W69" s="35"/>
      <c r="X69" s="35"/>
      <c r="Y69" s="3"/>
    </row>
    <row r="70" spans="1:25" ht="19.5" customHeight="1" x14ac:dyDescent="0.3">
      <c r="A70" s="3"/>
      <c r="B70" s="31"/>
      <c r="C70" s="10"/>
      <c r="D70" s="3"/>
      <c r="E70" s="3"/>
      <c r="F70" s="3"/>
      <c r="G70" s="31"/>
      <c r="H70" s="3"/>
      <c r="I70" s="3"/>
      <c r="J70" s="3"/>
      <c r="K70" s="3"/>
      <c r="L70" s="3"/>
      <c r="M70" s="35"/>
      <c r="N70" s="35"/>
      <c r="O70" s="22"/>
      <c r="P70" s="35"/>
      <c r="Q70" s="22"/>
      <c r="R70" s="35"/>
      <c r="S70" s="35"/>
      <c r="T70" s="35"/>
      <c r="U70" s="35"/>
      <c r="V70" s="22"/>
      <c r="W70" s="35"/>
      <c r="X70" s="35"/>
      <c r="Y70" s="3"/>
    </row>
    <row r="71" spans="1:25" ht="19.5" customHeight="1" x14ac:dyDescent="0.3">
      <c r="A71" s="3"/>
      <c r="B71" s="31"/>
      <c r="C71" s="10"/>
      <c r="D71" s="3"/>
      <c r="E71" s="3"/>
      <c r="F71" s="3"/>
      <c r="G71" s="31"/>
      <c r="H71" s="3"/>
      <c r="I71" s="3"/>
      <c r="J71" s="3"/>
      <c r="K71" s="3"/>
      <c r="L71" s="3"/>
      <c r="M71" s="35"/>
      <c r="N71" s="35"/>
      <c r="O71" s="22"/>
      <c r="P71" s="35"/>
      <c r="Q71" s="22"/>
      <c r="R71" s="35"/>
      <c r="S71" s="35"/>
      <c r="T71" s="35"/>
      <c r="U71" s="35"/>
      <c r="V71" s="22"/>
      <c r="W71" s="35"/>
      <c r="X71" s="35"/>
      <c r="Y71" s="3"/>
    </row>
    <row r="72" spans="1:25" ht="19.5" customHeight="1" x14ac:dyDescent="0.3">
      <c r="A72" s="3"/>
      <c r="B72" s="31"/>
      <c r="C72" s="10"/>
      <c r="D72" s="3"/>
      <c r="E72" s="3"/>
      <c r="F72" s="3"/>
      <c r="G72" s="31"/>
      <c r="H72" s="3"/>
      <c r="I72" s="3"/>
      <c r="J72" s="3"/>
      <c r="K72" s="3"/>
      <c r="L72" s="3"/>
      <c r="M72" s="35"/>
      <c r="N72" s="35"/>
      <c r="O72" s="22"/>
      <c r="P72" s="35"/>
      <c r="Q72" s="22"/>
      <c r="R72" s="35"/>
      <c r="S72" s="35"/>
      <c r="T72" s="35"/>
      <c r="U72" s="35"/>
      <c r="V72" s="22"/>
      <c r="W72" s="35"/>
      <c r="X72" s="35"/>
      <c r="Y72" s="3"/>
    </row>
    <row r="73" spans="1:25" ht="19.5" customHeight="1" x14ac:dyDescent="0.3">
      <c r="A73" s="3"/>
      <c r="B73" s="31"/>
      <c r="C73" s="10"/>
      <c r="D73" s="3"/>
      <c r="E73" s="3"/>
      <c r="F73" s="3"/>
      <c r="G73" s="31"/>
      <c r="H73" s="10"/>
      <c r="I73" s="3"/>
      <c r="J73" s="3"/>
      <c r="K73" s="3"/>
      <c r="L73" s="3"/>
      <c r="M73" s="35"/>
      <c r="N73" s="35"/>
      <c r="O73" s="22"/>
      <c r="P73" s="35"/>
      <c r="Q73" s="22"/>
      <c r="R73" s="35"/>
      <c r="S73" s="35"/>
      <c r="T73" s="35"/>
      <c r="U73" s="35"/>
      <c r="V73" s="22"/>
      <c r="W73" s="35"/>
      <c r="X73" s="35"/>
      <c r="Y73" s="3"/>
    </row>
    <row r="74" spans="1:25" ht="19.5" customHeight="1" x14ac:dyDescent="0.3">
      <c r="A74" s="3"/>
      <c r="B74" s="31"/>
      <c r="C74" s="10"/>
      <c r="D74" s="3"/>
      <c r="E74" s="3"/>
      <c r="F74" s="3"/>
      <c r="G74" s="31"/>
      <c r="H74" s="3"/>
      <c r="I74" s="3"/>
      <c r="J74" s="3"/>
      <c r="K74" s="3"/>
      <c r="L74" s="3"/>
      <c r="M74" s="35"/>
      <c r="N74" s="35"/>
      <c r="O74" s="22"/>
      <c r="P74" s="35"/>
      <c r="Q74" s="22"/>
      <c r="R74" s="35"/>
      <c r="S74" s="35"/>
      <c r="T74" s="35"/>
      <c r="U74" s="35"/>
      <c r="V74" s="22"/>
      <c r="W74" s="35"/>
      <c r="X74" s="35"/>
      <c r="Y74" s="3"/>
    </row>
    <row r="75" spans="1:25" ht="19.5" customHeight="1" x14ac:dyDescent="0.3">
      <c r="A75" s="3"/>
      <c r="B75" s="31"/>
      <c r="C75" s="10"/>
      <c r="D75" s="3"/>
      <c r="E75" s="3"/>
      <c r="F75" s="3"/>
      <c r="G75" s="31"/>
      <c r="H75" s="3"/>
      <c r="I75" s="3"/>
      <c r="J75" s="3"/>
      <c r="K75" s="3"/>
      <c r="L75" s="3"/>
      <c r="M75" s="35"/>
      <c r="N75" s="35"/>
      <c r="O75" s="22"/>
      <c r="P75" s="35"/>
      <c r="Q75" s="22"/>
      <c r="R75" s="35"/>
      <c r="S75" s="35"/>
      <c r="T75" s="35"/>
      <c r="U75" s="35"/>
      <c r="V75" s="22"/>
      <c r="W75" s="35"/>
      <c r="X75" s="35"/>
      <c r="Y75" s="3"/>
    </row>
    <row r="76" spans="1:25" ht="19.5" customHeight="1" x14ac:dyDescent="0.3">
      <c r="A76" s="3"/>
      <c r="B76" s="31"/>
      <c r="C76" s="10"/>
      <c r="D76" s="3"/>
      <c r="E76" s="3"/>
      <c r="F76" s="3"/>
      <c r="G76" s="31"/>
      <c r="H76" s="10"/>
      <c r="I76" s="3"/>
      <c r="J76" s="3"/>
      <c r="K76" s="3"/>
      <c r="L76" s="3"/>
      <c r="M76" s="35"/>
      <c r="N76" s="35"/>
      <c r="O76" s="22"/>
      <c r="P76" s="35"/>
      <c r="Q76" s="22"/>
      <c r="R76" s="35"/>
      <c r="S76" s="35"/>
      <c r="T76" s="35"/>
      <c r="U76" s="35"/>
      <c r="V76" s="22"/>
      <c r="W76" s="35"/>
      <c r="X76" s="35"/>
      <c r="Y76" s="3"/>
    </row>
    <row r="77" spans="1:25" ht="19.5" customHeight="1" x14ac:dyDescent="0.3">
      <c r="A77" s="3"/>
      <c r="B77" s="31"/>
      <c r="C77" s="10"/>
      <c r="D77" s="3"/>
      <c r="E77" s="3"/>
      <c r="F77" s="3"/>
      <c r="G77" s="31"/>
      <c r="H77" s="10"/>
      <c r="I77" s="3"/>
      <c r="J77" s="3"/>
      <c r="K77" s="3"/>
      <c r="L77" s="3"/>
      <c r="M77" s="35"/>
      <c r="N77" s="35"/>
      <c r="O77" s="22"/>
      <c r="P77" s="35"/>
      <c r="Q77" s="22"/>
      <c r="R77" s="35"/>
      <c r="S77" s="35"/>
      <c r="T77" s="35"/>
      <c r="U77" s="35"/>
      <c r="V77" s="22"/>
      <c r="W77" s="35"/>
      <c r="X77" s="35"/>
      <c r="Y77" s="3"/>
    </row>
    <row r="78" spans="1:25" ht="19.5" customHeight="1" x14ac:dyDescent="0.3">
      <c r="A78" s="3"/>
      <c r="B78" s="31"/>
      <c r="C78" s="22"/>
      <c r="D78" s="3"/>
      <c r="E78" s="3"/>
      <c r="F78" s="3"/>
      <c r="G78" s="31"/>
      <c r="H78" s="10"/>
      <c r="I78" s="3"/>
      <c r="J78" s="3"/>
      <c r="K78" s="3"/>
      <c r="L78" s="3"/>
      <c r="M78" s="35"/>
      <c r="N78" s="35"/>
      <c r="O78" s="22"/>
      <c r="P78" s="35"/>
      <c r="Q78" s="22"/>
      <c r="R78" s="35"/>
      <c r="S78" s="35"/>
      <c r="T78" s="35"/>
      <c r="U78" s="35"/>
      <c r="V78" s="22"/>
      <c r="W78" s="35"/>
      <c r="X78" s="35"/>
      <c r="Y78" s="3"/>
    </row>
    <row r="79" spans="1:25" ht="19.5" customHeight="1" x14ac:dyDescent="0.3">
      <c r="A79" s="3"/>
      <c r="B79" s="31"/>
      <c r="C79" s="22"/>
      <c r="D79" s="3"/>
      <c r="E79" s="3"/>
      <c r="F79" s="3"/>
      <c r="G79" s="31"/>
      <c r="H79" s="10"/>
      <c r="I79" s="3"/>
      <c r="J79" s="3"/>
      <c r="K79" s="3"/>
      <c r="L79" s="3"/>
      <c r="M79" s="35"/>
      <c r="N79" s="35"/>
      <c r="O79" s="22"/>
      <c r="P79" s="35"/>
      <c r="Q79" s="22"/>
      <c r="R79" s="35"/>
      <c r="S79" s="35"/>
      <c r="T79" s="35"/>
      <c r="U79" s="35"/>
      <c r="V79" s="22"/>
      <c r="W79" s="35"/>
      <c r="X79" s="35"/>
      <c r="Y79" s="3"/>
    </row>
    <row r="80" spans="1:25" ht="19.5" customHeight="1" x14ac:dyDescent="0.3">
      <c r="A80" s="3"/>
      <c r="B80" s="31"/>
      <c r="C80" s="22"/>
      <c r="D80" s="3"/>
      <c r="E80" s="3"/>
      <c r="F80" s="3"/>
      <c r="G80" s="31"/>
      <c r="H80" s="10"/>
      <c r="I80" s="3"/>
      <c r="J80" s="3"/>
      <c r="K80" s="3"/>
      <c r="L80" s="3"/>
      <c r="M80" s="35"/>
      <c r="N80" s="35"/>
      <c r="O80" s="22"/>
      <c r="P80" s="35"/>
      <c r="Q80" s="22"/>
      <c r="R80" s="35"/>
      <c r="S80" s="35"/>
      <c r="T80" s="35"/>
      <c r="U80" s="35"/>
      <c r="V80" s="22"/>
      <c r="W80" s="35"/>
      <c r="X80" s="35"/>
      <c r="Y80" s="3"/>
    </row>
    <row r="81" spans="1:25" ht="19.5" customHeight="1" x14ac:dyDescent="0.3">
      <c r="A81" s="3"/>
      <c r="B81" s="31"/>
      <c r="C81" s="22"/>
      <c r="D81" s="3"/>
      <c r="E81" s="3"/>
      <c r="F81" s="3"/>
      <c r="G81" s="31"/>
      <c r="H81" s="10"/>
      <c r="I81" s="3"/>
      <c r="J81" s="3"/>
      <c r="K81" s="3"/>
      <c r="L81" s="3"/>
      <c r="M81" s="35"/>
      <c r="N81" s="35"/>
      <c r="O81" s="22"/>
      <c r="P81" s="35"/>
      <c r="Q81" s="22"/>
      <c r="R81" s="35"/>
      <c r="S81" s="35"/>
      <c r="T81" s="35"/>
      <c r="U81" s="35"/>
      <c r="V81" s="22"/>
      <c r="W81" s="35"/>
      <c r="X81" s="35"/>
      <c r="Y81" s="3"/>
    </row>
    <row r="82" spans="1:25" ht="19.5" customHeight="1" x14ac:dyDescent="0.3">
      <c r="A82" s="3"/>
      <c r="B82" s="31"/>
      <c r="C82" s="22"/>
      <c r="D82" s="3"/>
      <c r="E82" s="3"/>
      <c r="F82" s="3"/>
      <c r="G82" s="31"/>
      <c r="H82" s="10"/>
      <c r="I82" s="3"/>
      <c r="J82" s="3"/>
      <c r="K82" s="3"/>
      <c r="L82" s="3"/>
      <c r="M82" s="35"/>
      <c r="N82" s="35"/>
      <c r="O82" s="22"/>
      <c r="P82" s="35"/>
      <c r="Q82" s="22"/>
      <c r="R82" s="35"/>
      <c r="S82" s="35"/>
      <c r="T82" s="35"/>
      <c r="U82" s="35"/>
      <c r="V82" s="22"/>
      <c r="W82" s="35"/>
      <c r="X82" s="35"/>
      <c r="Y82" s="3"/>
    </row>
    <row r="83" spans="1:25" ht="19.5" customHeight="1" x14ac:dyDescent="0.3">
      <c r="A83" s="3"/>
      <c r="B83" s="31"/>
      <c r="C83" s="22"/>
      <c r="D83" s="3"/>
      <c r="E83" s="3"/>
      <c r="F83" s="3"/>
      <c r="G83" s="31"/>
      <c r="H83" s="10"/>
      <c r="I83" s="3"/>
      <c r="J83" s="3"/>
      <c r="K83" s="3"/>
      <c r="L83" s="3"/>
      <c r="M83" s="35"/>
      <c r="N83" s="35"/>
      <c r="O83" s="22"/>
      <c r="P83" s="35"/>
      <c r="Q83" s="22"/>
      <c r="R83" s="35"/>
      <c r="S83" s="35"/>
      <c r="T83" s="35"/>
      <c r="U83" s="35"/>
      <c r="V83" s="22"/>
      <c r="W83" s="35"/>
      <c r="X83" s="35"/>
      <c r="Y83" s="3"/>
    </row>
    <row r="84" spans="1:25" ht="19.5" customHeight="1" x14ac:dyDescent="0.3">
      <c r="A84" s="3"/>
      <c r="B84" s="31"/>
      <c r="C84" s="22"/>
      <c r="D84" s="3"/>
      <c r="E84" s="3"/>
      <c r="F84" s="3"/>
      <c r="G84" s="31"/>
      <c r="H84" s="10"/>
      <c r="I84" s="3"/>
      <c r="J84" s="3"/>
      <c r="K84" s="3"/>
      <c r="L84" s="3"/>
      <c r="M84" s="35"/>
      <c r="N84" s="35"/>
      <c r="O84" s="22"/>
      <c r="P84" s="35"/>
      <c r="Q84" s="22"/>
      <c r="R84" s="35"/>
      <c r="S84" s="35"/>
      <c r="T84" s="35"/>
      <c r="U84" s="35"/>
      <c r="V84" s="22"/>
      <c r="W84" s="35"/>
      <c r="X84" s="35"/>
      <c r="Y84" s="3"/>
    </row>
    <row r="85" spans="1:25" ht="19.5" customHeight="1" x14ac:dyDescent="0.3">
      <c r="A85" s="3"/>
      <c r="B85" s="31"/>
      <c r="C85" s="22"/>
      <c r="D85" s="3"/>
      <c r="E85" s="3"/>
      <c r="F85" s="31"/>
      <c r="G85" s="31"/>
      <c r="H85" s="10"/>
      <c r="I85" s="3"/>
      <c r="J85" s="3"/>
      <c r="K85" s="3"/>
      <c r="L85" s="3"/>
      <c r="M85" s="35"/>
      <c r="N85" s="35"/>
      <c r="O85" s="22"/>
      <c r="P85" s="35"/>
      <c r="Q85" s="22"/>
      <c r="R85" s="35"/>
      <c r="S85" s="35"/>
      <c r="T85" s="35"/>
      <c r="U85" s="35"/>
      <c r="V85" s="22"/>
      <c r="W85" s="35"/>
      <c r="X85" s="35"/>
      <c r="Y85" s="3"/>
    </row>
    <row r="86" spans="1:25" ht="19.5" customHeight="1" x14ac:dyDescent="0.3">
      <c r="A86" s="3"/>
      <c r="B86" s="31"/>
      <c r="C86" s="45"/>
      <c r="D86" s="3"/>
      <c r="E86" s="3"/>
      <c r="F86" s="3"/>
      <c r="G86" s="31"/>
      <c r="H86" s="10"/>
      <c r="I86" s="3"/>
      <c r="J86" s="3"/>
      <c r="K86" s="3"/>
      <c r="L86" s="3"/>
      <c r="M86" s="35"/>
      <c r="N86" s="35"/>
      <c r="O86" s="22"/>
      <c r="P86" s="35"/>
      <c r="Q86" s="22"/>
      <c r="R86" s="35"/>
      <c r="S86" s="35"/>
      <c r="T86" s="35"/>
      <c r="U86" s="35"/>
      <c r="V86" s="22"/>
      <c r="W86" s="35"/>
      <c r="X86" s="35"/>
      <c r="Y86" s="3"/>
    </row>
    <row r="87" spans="1:25" ht="19.5" customHeight="1" x14ac:dyDescent="0.3">
      <c r="A87" s="3"/>
      <c r="B87" s="31"/>
      <c r="C87" s="10"/>
      <c r="D87" s="3"/>
      <c r="E87" s="3"/>
      <c r="F87" s="3"/>
      <c r="G87" s="31"/>
      <c r="H87" s="10"/>
      <c r="I87" s="3"/>
      <c r="J87" s="3"/>
      <c r="K87" s="3"/>
      <c r="L87" s="3"/>
      <c r="M87" s="35"/>
      <c r="N87" s="35"/>
      <c r="O87" s="22"/>
      <c r="P87" s="35"/>
      <c r="Q87" s="22"/>
      <c r="R87" s="35"/>
      <c r="S87" s="35"/>
      <c r="T87" s="35"/>
      <c r="U87" s="35"/>
      <c r="V87" s="22"/>
      <c r="W87" s="35"/>
      <c r="X87" s="35"/>
      <c r="Y87" s="3"/>
    </row>
    <row r="88" spans="1:25" ht="19.5" customHeight="1" x14ac:dyDescent="0.3">
      <c r="A88" s="3"/>
      <c r="B88" s="31"/>
      <c r="C88" s="10"/>
      <c r="D88" s="3"/>
      <c r="E88" s="3"/>
      <c r="F88" s="3"/>
      <c r="G88" s="31"/>
      <c r="H88" s="38"/>
      <c r="I88" s="3"/>
      <c r="J88" s="3"/>
      <c r="K88" s="3"/>
      <c r="L88" s="3"/>
      <c r="M88" s="35"/>
      <c r="N88" s="35"/>
      <c r="O88" s="22"/>
      <c r="P88" s="35"/>
      <c r="Q88" s="22"/>
      <c r="R88" s="35"/>
      <c r="S88" s="35"/>
      <c r="T88" s="35"/>
      <c r="U88" s="35"/>
      <c r="V88" s="22"/>
      <c r="W88" s="35"/>
      <c r="X88" s="35"/>
      <c r="Y88" s="3"/>
    </row>
    <row r="89" spans="1:25" ht="19.5" customHeight="1" x14ac:dyDescent="0.3">
      <c r="A89" s="3"/>
      <c r="B89" s="31"/>
      <c r="C89" s="10"/>
      <c r="D89" s="3"/>
      <c r="E89" s="3"/>
      <c r="F89" s="3"/>
      <c r="G89" s="31"/>
      <c r="H89" s="38"/>
      <c r="I89" s="3"/>
      <c r="J89" s="3"/>
      <c r="K89" s="3"/>
      <c r="L89" s="3"/>
      <c r="M89" s="35"/>
      <c r="N89" s="35"/>
      <c r="O89" s="22"/>
      <c r="P89" s="35"/>
      <c r="Q89" s="22"/>
      <c r="R89" s="35"/>
      <c r="S89" s="35"/>
      <c r="T89" s="35"/>
      <c r="U89" s="35"/>
      <c r="V89" s="22"/>
      <c r="W89" s="35"/>
      <c r="X89" s="35"/>
      <c r="Y89" s="3"/>
    </row>
    <row r="90" spans="1:25" ht="19.5" customHeight="1" x14ac:dyDescent="0.3">
      <c r="A90" s="3"/>
      <c r="B90" s="31"/>
      <c r="C90" s="10"/>
      <c r="D90" s="3"/>
      <c r="E90" s="3"/>
      <c r="F90" s="3"/>
      <c r="G90" s="31"/>
      <c r="H90" s="10"/>
      <c r="I90" s="3"/>
      <c r="J90" s="3"/>
      <c r="K90" s="3"/>
      <c r="L90" s="3"/>
      <c r="M90" s="35"/>
      <c r="N90" s="35"/>
      <c r="O90" s="22"/>
      <c r="P90" s="35"/>
      <c r="Q90" s="22"/>
      <c r="R90" s="35"/>
      <c r="S90" s="35"/>
      <c r="T90" s="35"/>
      <c r="U90" s="35"/>
      <c r="V90" s="22"/>
      <c r="W90" s="35"/>
      <c r="X90" s="35"/>
      <c r="Y90" s="3"/>
    </row>
    <row r="91" spans="1:25" ht="19.5" customHeight="1" x14ac:dyDescent="0.3">
      <c r="A91" s="3"/>
      <c r="B91" s="31"/>
      <c r="C91" s="10"/>
      <c r="D91" s="3"/>
      <c r="E91" s="3"/>
      <c r="F91" s="3"/>
      <c r="G91" s="31"/>
      <c r="H91" s="10"/>
      <c r="I91" s="3"/>
      <c r="J91" s="3"/>
      <c r="K91" s="3"/>
      <c r="L91" s="3"/>
      <c r="M91" s="35"/>
      <c r="N91" s="35"/>
      <c r="O91" s="22"/>
      <c r="P91" s="35"/>
      <c r="Q91" s="22"/>
      <c r="R91" s="35"/>
      <c r="S91" s="35"/>
      <c r="T91" s="35"/>
      <c r="U91" s="35"/>
      <c r="V91" s="22"/>
      <c r="W91" s="35"/>
      <c r="X91" s="35"/>
      <c r="Y91" s="3"/>
    </row>
    <row r="92" spans="1:25" ht="19.5" customHeight="1" x14ac:dyDescent="0.3">
      <c r="A92" s="3"/>
      <c r="B92" s="31"/>
      <c r="C92" s="10"/>
      <c r="D92" s="3"/>
      <c r="E92" s="3"/>
      <c r="F92" s="3"/>
      <c r="G92" s="31"/>
      <c r="H92" s="10"/>
      <c r="I92" s="3"/>
      <c r="J92" s="3"/>
      <c r="K92" s="3"/>
      <c r="L92" s="3"/>
      <c r="M92" s="35"/>
      <c r="N92" s="35"/>
      <c r="O92" s="22"/>
      <c r="P92" s="35"/>
      <c r="Q92" s="22"/>
      <c r="R92" s="35"/>
      <c r="S92" s="35"/>
      <c r="T92" s="35"/>
      <c r="U92" s="35"/>
      <c r="V92" s="22"/>
      <c r="W92" s="35"/>
      <c r="X92" s="35"/>
      <c r="Y92" s="3"/>
    </row>
    <row r="93" spans="1:25" ht="19.5" customHeight="1" x14ac:dyDescent="0.3">
      <c r="A93" s="3"/>
      <c r="B93" s="31"/>
      <c r="C93" s="10"/>
      <c r="D93" s="3"/>
      <c r="E93" s="3"/>
      <c r="F93" s="3"/>
      <c r="G93" s="31"/>
      <c r="H93" s="10"/>
      <c r="I93" s="3"/>
      <c r="J93" s="3"/>
      <c r="K93" s="3"/>
      <c r="L93" s="3"/>
      <c r="M93" s="35"/>
      <c r="N93" s="35"/>
      <c r="O93" s="22"/>
      <c r="P93" s="35"/>
      <c r="Q93" s="22"/>
      <c r="R93" s="35"/>
      <c r="S93" s="35"/>
      <c r="T93" s="35"/>
      <c r="U93" s="35"/>
      <c r="V93" s="22"/>
      <c r="W93" s="35"/>
      <c r="X93" s="35"/>
      <c r="Y93" s="3"/>
    </row>
    <row r="94" spans="1:25" ht="19.5" customHeight="1" x14ac:dyDescent="0.3">
      <c r="A94" s="3"/>
      <c r="B94" s="31"/>
      <c r="C94" s="10"/>
      <c r="D94" s="3"/>
      <c r="E94" s="3"/>
      <c r="F94" s="3"/>
      <c r="G94" s="31"/>
      <c r="H94" s="10"/>
      <c r="I94" s="3"/>
      <c r="J94" s="3"/>
      <c r="K94" s="3"/>
      <c r="L94" s="3"/>
      <c r="M94" s="35"/>
      <c r="N94" s="35"/>
      <c r="O94" s="22"/>
      <c r="P94" s="35"/>
      <c r="Q94" s="22"/>
      <c r="R94" s="35"/>
      <c r="S94" s="35"/>
      <c r="T94" s="35"/>
      <c r="U94" s="35"/>
      <c r="V94" s="22"/>
      <c r="W94" s="35"/>
      <c r="X94" s="35"/>
      <c r="Y94" s="3"/>
    </row>
    <row r="95" spans="1:25" ht="19.5" customHeight="1" x14ac:dyDescent="0.3">
      <c r="A95" s="3"/>
      <c r="B95" s="31"/>
      <c r="C95" s="10"/>
      <c r="D95" s="3"/>
      <c r="E95" s="3"/>
      <c r="F95" s="3"/>
      <c r="G95" s="31"/>
      <c r="H95" s="10"/>
      <c r="I95" s="3"/>
      <c r="J95" s="3"/>
      <c r="K95" s="3"/>
      <c r="L95" s="3"/>
      <c r="M95" s="35"/>
      <c r="N95" s="35"/>
      <c r="O95" s="22"/>
      <c r="P95" s="35"/>
      <c r="Q95" s="22"/>
      <c r="R95" s="35"/>
      <c r="S95" s="35"/>
      <c r="T95" s="35"/>
      <c r="U95" s="35"/>
      <c r="V95" s="22"/>
      <c r="W95" s="35"/>
      <c r="X95" s="35"/>
      <c r="Y95" s="3"/>
    </row>
    <row r="96" spans="1:25" ht="19.5" customHeight="1" x14ac:dyDescent="0.3">
      <c r="A96" s="3"/>
      <c r="B96" s="31"/>
      <c r="C96" s="10"/>
      <c r="D96" s="3"/>
      <c r="E96" s="3"/>
      <c r="F96" s="3"/>
      <c r="G96" s="31"/>
      <c r="H96" s="10"/>
      <c r="I96" s="3"/>
      <c r="J96" s="3"/>
      <c r="K96" s="3"/>
      <c r="L96" s="3"/>
      <c r="M96" s="35"/>
      <c r="N96" s="35"/>
      <c r="O96" s="22"/>
      <c r="P96" s="35"/>
      <c r="Q96" s="22"/>
      <c r="R96" s="35"/>
      <c r="S96" s="35"/>
      <c r="T96" s="35"/>
      <c r="U96" s="35"/>
      <c r="V96" s="22"/>
      <c r="W96" s="35"/>
      <c r="X96" s="35"/>
      <c r="Y96" s="3"/>
    </row>
    <row r="97" spans="1:25" ht="19.5" customHeight="1" x14ac:dyDescent="0.3">
      <c r="A97" s="3"/>
      <c r="B97" s="31"/>
      <c r="C97" s="10"/>
      <c r="D97" s="3"/>
      <c r="E97" s="3"/>
      <c r="F97" s="3"/>
      <c r="G97" s="31"/>
      <c r="H97" s="10"/>
      <c r="I97" s="3"/>
      <c r="J97" s="3"/>
      <c r="K97" s="3"/>
      <c r="L97" s="3"/>
      <c r="M97" s="35"/>
      <c r="N97" s="35"/>
      <c r="O97" s="22"/>
      <c r="P97" s="35"/>
      <c r="Q97" s="22"/>
      <c r="R97" s="35"/>
      <c r="S97" s="35"/>
      <c r="T97" s="35"/>
      <c r="U97" s="35"/>
      <c r="V97" s="22"/>
      <c r="W97" s="35"/>
      <c r="X97" s="35"/>
      <c r="Y97" s="3"/>
    </row>
    <row r="98" spans="1:25" ht="19.5" customHeight="1" x14ac:dyDescent="0.3">
      <c r="A98" s="3"/>
      <c r="B98" s="31"/>
      <c r="C98" s="10"/>
      <c r="D98" s="3"/>
      <c r="E98" s="3"/>
      <c r="F98" s="3"/>
      <c r="G98" s="31"/>
      <c r="H98" s="10"/>
      <c r="I98" s="3"/>
      <c r="J98" s="3"/>
      <c r="K98" s="3"/>
      <c r="L98" s="3"/>
      <c r="M98" s="35"/>
      <c r="N98" s="35"/>
      <c r="O98" s="22"/>
      <c r="P98" s="35"/>
      <c r="Q98" s="22"/>
      <c r="R98" s="35"/>
      <c r="S98" s="35"/>
      <c r="T98" s="35"/>
      <c r="U98" s="35"/>
      <c r="V98" s="22"/>
      <c r="W98" s="35"/>
      <c r="X98" s="35"/>
      <c r="Y98" s="3"/>
    </row>
    <row r="99" spans="1:25" ht="19.5" customHeight="1" x14ac:dyDescent="0.3">
      <c r="A99" s="3"/>
      <c r="B99" s="31"/>
      <c r="C99" s="10"/>
      <c r="D99" s="3"/>
      <c r="E99" s="3"/>
      <c r="F99" s="3"/>
      <c r="G99" s="31"/>
      <c r="H99" s="10"/>
      <c r="I99" s="3"/>
      <c r="J99" s="3"/>
      <c r="K99" s="3"/>
      <c r="L99" s="3"/>
      <c r="M99" s="35"/>
      <c r="N99" s="35"/>
      <c r="O99" s="22"/>
      <c r="P99" s="35"/>
      <c r="Q99" s="22"/>
      <c r="R99" s="35"/>
      <c r="S99" s="35"/>
      <c r="T99" s="35"/>
      <c r="U99" s="35"/>
      <c r="V99" s="22"/>
      <c r="W99" s="35"/>
      <c r="X99" s="35"/>
      <c r="Y99" s="3"/>
    </row>
    <row r="100" spans="1:25" ht="19.5" customHeight="1" x14ac:dyDescent="0.3">
      <c r="A100" s="3"/>
      <c r="B100" s="3"/>
      <c r="C100" s="22"/>
      <c r="D100" s="3"/>
      <c r="E100" s="3"/>
      <c r="F100" s="3"/>
      <c r="G100" s="31"/>
      <c r="H100" s="10"/>
      <c r="I100" s="3"/>
      <c r="J100" s="3"/>
      <c r="K100" s="3"/>
      <c r="L100" s="3"/>
      <c r="M100" s="35"/>
      <c r="N100" s="35"/>
      <c r="O100" s="22"/>
      <c r="P100" s="35"/>
      <c r="Q100" s="22"/>
      <c r="R100" s="35"/>
      <c r="S100" s="35"/>
      <c r="T100" s="35"/>
      <c r="U100" s="35"/>
      <c r="V100" s="22"/>
      <c r="W100" s="35"/>
      <c r="X100" s="35"/>
      <c r="Y100" s="3"/>
    </row>
    <row r="101" spans="1:25" ht="19.5" customHeight="1" x14ac:dyDescent="0.3">
      <c r="A101" s="3"/>
      <c r="B101" s="3"/>
      <c r="C101" s="22"/>
      <c r="D101" s="3"/>
      <c r="E101" s="3"/>
      <c r="F101" s="3"/>
      <c r="G101" s="31"/>
      <c r="H101" s="10"/>
      <c r="I101" s="3"/>
      <c r="J101" s="3"/>
      <c r="K101" s="3"/>
      <c r="L101" s="3"/>
      <c r="M101" s="35"/>
      <c r="N101" s="35"/>
      <c r="O101" s="22"/>
      <c r="P101" s="35"/>
      <c r="Q101" s="22"/>
      <c r="R101" s="35"/>
      <c r="S101" s="35"/>
      <c r="T101" s="35"/>
      <c r="U101" s="35"/>
      <c r="V101" s="22"/>
      <c r="W101" s="35"/>
      <c r="X101" s="35"/>
      <c r="Y101" s="3"/>
    </row>
    <row r="102" spans="1:25" ht="19.5" customHeight="1" x14ac:dyDescent="0.3">
      <c r="A102" s="3"/>
      <c r="B102" s="3"/>
      <c r="C102" s="22"/>
      <c r="D102" s="3"/>
      <c r="E102" s="3"/>
      <c r="F102" s="3"/>
      <c r="G102" s="31"/>
      <c r="H102" s="10"/>
      <c r="I102" s="3"/>
      <c r="J102" s="3"/>
      <c r="K102" s="3"/>
      <c r="L102" s="3"/>
      <c r="M102" s="35"/>
      <c r="N102" s="35"/>
      <c r="O102" s="22"/>
      <c r="P102" s="35"/>
      <c r="Q102" s="22"/>
      <c r="R102" s="35"/>
      <c r="S102" s="35"/>
      <c r="T102" s="35"/>
      <c r="U102" s="35"/>
      <c r="V102" s="22"/>
      <c r="W102" s="35"/>
      <c r="X102" s="35"/>
      <c r="Y102" s="3"/>
    </row>
    <row r="103" spans="1:25" ht="19.5" customHeight="1" x14ac:dyDescent="0.3">
      <c r="A103" s="3"/>
      <c r="B103" s="3"/>
      <c r="C103" s="22"/>
      <c r="D103" s="3"/>
      <c r="E103" s="3"/>
      <c r="F103" s="3"/>
      <c r="G103" s="31"/>
      <c r="H103" s="10"/>
      <c r="I103" s="3"/>
      <c r="J103" s="3"/>
      <c r="K103" s="3"/>
      <c r="L103" s="3"/>
      <c r="M103" s="35"/>
      <c r="N103" s="35"/>
      <c r="O103" s="22"/>
      <c r="P103" s="35"/>
      <c r="Q103" s="22"/>
      <c r="R103" s="35"/>
      <c r="S103" s="35"/>
      <c r="T103" s="35"/>
      <c r="U103" s="35"/>
      <c r="V103" s="22"/>
      <c r="W103" s="35"/>
      <c r="X103" s="35"/>
      <c r="Y103" s="3"/>
    </row>
    <row r="104" spans="1:25" ht="19.5" customHeight="1" x14ac:dyDescent="0.3">
      <c r="A104" s="3"/>
      <c r="B104" s="3"/>
      <c r="C104" s="22"/>
      <c r="D104" s="3"/>
      <c r="E104" s="3"/>
      <c r="F104" s="3"/>
      <c r="G104" s="31"/>
      <c r="H104" s="10"/>
      <c r="I104" s="3"/>
      <c r="J104" s="3"/>
      <c r="K104" s="3"/>
      <c r="L104" s="3"/>
      <c r="M104" s="35"/>
      <c r="N104" s="35"/>
      <c r="O104" s="22"/>
      <c r="P104" s="35"/>
      <c r="Q104" s="22"/>
      <c r="R104" s="35"/>
      <c r="S104" s="35"/>
      <c r="T104" s="35"/>
      <c r="U104" s="35"/>
      <c r="V104" s="22"/>
      <c r="W104" s="35"/>
      <c r="X104" s="35"/>
      <c r="Y104" s="3"/>
    </row>
    <row r="105" spans="1:25" ht="19.5" customHeight="1" x14ac:dyDescent="0.3">
      <c r="A105" s="3"/>
      <c r="B105" s="3"/>
      <c r="C105" s="22"/>
      <c r="D105" s="3"/>
      <c r="E105" s="3"/>
      <c r="F105" s="3"/>
      <c r="G105" s="31"/>
      <c r="H105" s="10"/>
      <c r="I105" s="3"/>
      <c r="J105" s="3"/>
      <c r="K105" s="3"/>
      <c r="L105" s="3"/>
      <c r="M105" s="35"/>
      <c r="N105" s="35"/>
      <c r="O105" s="22"/>
      <c r="P105" s="35"/>
      <c r="Q105" s="22"/>
      <c r="R105" s="35"/>
      <c r="S105" s="35"/>
      <c r="T105" s="35"/>
      <c r="U105" s="35"/>
      <c r="V105" s="22"/>
      <c r="W105" s="35"/>
      <c r="X105" s="35"/>
      <c r="Y105" s="3"/>
    </row>
    <row r="106" spans="1:25" ht="19.5" customHeight="1" x14ac:dyDescent="0.3">
      <c r="A106" s="3"/>
      <c r="B106" s="3"/>
      <c r="C106" s="22"/>
      <c r="D106" s="3"/>
      <c r="E106" s="3"/>
      <c r="F106" s="3"/>
      <c r="G106" s="31"/>
      <c r="H106" s="10"/>
      <c r="I106" s="3"/>
      <c r="J106" s="3"/>
      <c r="K106" s="3"/>
      <c r="L106" s="3"/>
      <c r="M106" s="35"/>
      <c r="N106" s="35"/>
      <c r="O106" s="22"/>
      <c r="P106" s="35"/>
      <c r="Q106" s="22"/>
      <c r="R106" s="35"/>
      <c r="S106" s="35"/>
      <c r="T106" s="35"/>
      <c r="U106" s="35"/>
      <c r="V106" s="22"/>
      <c r="W106" s="35"/>
      <c r="X106" s="35"/>
      <c r="Y106" s="3"/>
    </row>
    <row r="107" spans="1:25" ht="19.5" customHeight="1" x14ac:dyDescent="0.3">
      <c r="A107" s="3"/>
      <c r="B107" s="3"/>
      <c r="C107" s="22"/>
      <c r="D107" s="3"/>
      <c r="E107" s="3"/>
      <c r="F107" s="3"/>
      <c r="G107" s="31"/>
      <c r="H107" s="10"/>
      <c r="I107" s="3"/>
      <c r="J107" s="3"/>
      <c r="K107" s="3"/>
      <c r="L107" s="3"/>
      <c r="M107" s="35"/>
      <c r="N107" s="35"/>
      <c r="O107" s="22"/>
      <c r="P107" s="35"/>
      <c r="Q107" s="22"/>
      <c r="R107" s="35"/>
      <c r="S107" s="35"/>
      <c r="T107" s="35"/>
      <c r="U107" s="35"/>
      <c r="V107" s="22"/>
      <c r="W107" s="35"/>
      <c r="X107" s="35"/>
      <c r="Y107" s="3"/>
    </row>
    <row r="108" spans="1:25" ht="19.5" customHeight="1" x14ac:dyDescent="0.3">
      <c r="A108" s="3"/>
      <c r="B108" s="3"/>
      <c r="C108" s="22"/>
      <c r="D108" s="3"/>
      <c r="E108" s="3"/>
      <c r="F108" s="3"/>
      <c r="G108" s="31"/>
      <c r="H108" s="10"/>
      <c r="I108" s="3"/>
      <c r="J108" s="3"/>
      <c r="K108" s="3"/>
      <c r="L108" s="3"/>
      <c r="M108" s="35"/>
      <c r="N108" s="35"/>
      <c r="O108" s="22"/>
      <c r="P108" s="35"/>
      <c r="Q108" s="22"/>
      <c r="R108" s="35"/>
      <c r="S108" s="35"/>
      <c r="T108" s="35"/>
      <c r="U108" s="35"/>
      <c r="V108" s="22"/>
      <c r="W108" s="35"/>
      <c r="X108" s="35"/>
      <c r="Y108" s="3"/>
    </row>
    <row r="109" spans="1:25" ht="19.5" customHeight="1" x14ac:dyDescent="0.3">
      <c r="A109" s="3"/>
      <c r="B109" s="3"/>
      <c r="C109" s="22"/>
      <c r="D109" s="3"/>
      <c r="E109" s="3"/>
      <c r="F109" s="3"/>
      <c r="G109" s="31"/>
      <c r="H109" s="10"/>
      <c r="I109" s="3"/>
      <c r="J109" s="3"/>
      <c r="K109" s="3"/>
      <c r="L109" s="3"/>
      <c r="M109" s="35"/>
      <c r="N109" s="35"/>
      <c r="O109" s="22"/>
      <c r="P109" s="35"/>
      <c r="Q109" s="22"/>
      <c r="R109" s="35"/>
      <c r="S109" s="35"/>
      <c r="T109" s="35"/>
      <c r="U109" s="35"/>
      <c r="V109" s="22"/>
      <c r="W109" s="35"/>
      <c r="X109" s="35"/>
      <c r="Y109" s="3"/>
    </row>
    <row r="110" spans="1:25" ht="19.5" customHeight="1" x14ac:dyDescent="0.3">
      <c r="A110" s="3"/>
      <c r="B110" s="3"/>
      <c r="C110" s="22"/>
      <c r="D110" s="3"/>
      <c r="E110" s="3"/>
      <c r="F110" s="3"/>
      <c r="G110" s="31"/>
      <c r="H110" s="10"/>
      <c r="I110" s="3"/>
      <c r="J110" s="3"/>
      <c r="K110" s="3"/>
      <c r="L110" s="3"/>
      <c r="M110" s="35"/>
      <c r="N110" s="35"/>
      <c r="O110" s="22"/>
      <c r="P110" s="35"/>
      <c r="Q110" s="22"/>
      <c r="R110" s="35"/>
      <c r="S110" s="35"/>
      <c r="T110" s="35"/>
      <c r="U110" s="35"/>
      <c r="V110" s="22"/>
      <c r="W110" s="35"/>
      <c r="X110" s="35"/>
      <c r="Y110" s="3"/>
    </row>
    <row r="111" spans="1:25" ht="19.5" customHeight="1" x14ac:dyDescent="0.3">
      <c r="A111" s="3"/>
      <c r="B111" s="3"/>
      <c r="C111" s="22"/>
      <c r="D111" s="3"/>
      <c r="E111" s="3"/>
      <c r="F111" s="3"/>
      <c r="G111" s="31"/>
      <c r="H111" s="10"/>
      <c r="I111" s="3"/>
      <c r="J111" s="3"/>
      <c r="K111" s="3"/>
      <c r="L111" s="3"/>
      <c r="M111" s="35"/>
      <c r="N111" s="35"/>
      <c r="O111" s="22"/>
      <c r="P111" s="35"/>
      <c r="Q111" s="22"/>
      <c r="R111" s="35"/>
      <c r="S111" s="35"/>
      <c r="T111" s="35"/>
      <c r="U111" s="35"/>
      <c r="V111" s="22"/>
      <c r="W111" s="35"/>
      <c r="X111" s="35"/>
      <c r="Y111" s="3"/>
    </row>
    <row r="112" spans="1:25" ht="19.5" customHeight="1" x14ac:dyDescent="0.3">
      <c r="A112" s="3"/>
      <c r="B112" s="3"/>
      <c r="C112" s="22"/>
      <c r="D112" s="3"/>
      <c r="E112" s="3"/>
      <c r="F112" s="3"/>
      <c r="G112" s="31"/>
      <c r="H112" s="10"/>
      <c r="I112" s="3"/>
      <c r="J112" s="3"/>
      <c r="K112" s="3"/>
      <c r="L112" s="3"/>
      <c r="M112" s="35"/>
      <c r="N112" s="35"/>
      <c r="O112" s="22"/>
      <c r="P112" s="35"/>
      <c r="Q112" s="22"/>
      <c r="R112" s="35"/>
      <c r="S112" s="35"/>
      <c r="T112" s="35"/>
      <c r="U112" s="35"/>
      <c r="V112" s="22"/>
      <c r="W112" s="35"/>
      <c r="X112" s="35"/>
      <c r="Y112" s="3"/>
    </row>
    <row r="113" spans="1:25" ht="19.5" customHeight="1" x14ac:dyDescent="0.3">
      <c r="A113" s="3"/>
      <c r="B113" s="3"/>
      <c r="C113" s="22"/>
      <c r="D113" s="3"/>
      <c r="E113" s="3"/>
      <c r="F113" s="3"/>
      <c r="G113" s="31"/>
      <c r="H113" s="10"/>
      <c r="I113" s="3"/>
      <c r="J113" s="3"/>
      <c r="K113" s="3"/>
      <c r="L113" s="3"/>
      <c r="M113" s="35"/>
      <c r="N113" s="35"/>
      <c r="O113" s="22"/>
      <c r="P113" s="35"/>
      <c r="Q113" s="22"/>
      <c r="R113" s="35"/>
      <c r="S113" s="35"/>
      <c r="T113" s="35"/>
      <c r="U113" s="35"/>
      <c r="V113" s="22"/>
      <c r="W113" s="35"/>
      <c r="X113" s="35"/>
      <c r="Y113" s="3"/>
    </row>
    <row r="114" spans="1:25" ht="19.5" customHeight="1" x14ac:dyDescent="0.3">
      <c r="A114" s="3"/>
      <c r="B114" s="3"/>
      <c r="C114" s="22"/>
      <c r="D114" s="3"/>
      <c r="E114" s="3"/>
      <c r="F114" s="3"/>
      <c r="G114" s="31"/>
      <c r="H114" s="3"/>
      <c r="I114" s="3"/>
      <c r="J114" s="3"/>
      <c r="K114" s="3"/>
      <c r="L114" s="3"/>
      <c r="M114" s="35"/>
      <c r="N114" s="35"/>
      <c r="O114" s="22"/>
      <c r="P114" s="35"/>
      <c r="Q114" s="22"/>
      <c r="R114" s="35"/>
      <c r="S114" s="35"/>
      <c r="T114" s="35"/>
      <c r="U114" s="35"/>
      <c r="V114" s="22"/>
      <c r="W114" s="35"/>
      <c r="X114" s="35"/>
      <c r="Y114" s="3"/>
    </row>
    <row r="115" spans="1:25" ht="19.5" customHeight="1" x14ac:dyDescent="0.3">
      <c r="A115" s="3"/>
      <c r="B115" s="3"/>
      <c r="C115" s="22"/>
      <c r="D115" s="3"/>
      <c r="E115" s="3"/>
      <c r="F115" s="3"/>
      <c r="G115" s="31"/>
      <c r="H115" s="3"/>
      <c r="I115" s="3"/>
      <c r="J115" s="3"/>
      <c r="K115" s="3"/>
      <c r="L115" s="3"/>
      <c r="M115" s="35"/>
      <c r="N115" s="35"/>
      <c r="O115" s="22"/>
      <c r="P115" s="35"/>
      <c r="Q115" s="22"/>
      <c r="R115" s="35"/>
      <c r="S115" s="35"/>
      <c r="T115" s="35"/>
      <c r="U115" s="35"/>
      <c r="V115" s="22"/>
      <c r="W115" s="35"/>
      <c r="X115" s="35"/>
      <c r="Y115" s="3"/>
    </row>
    <row r="116" spans="1:25" ht="19.5" customHeight="1" x14ac:dyDescent="0.3">
      <c r="A116" s="3"/>
      <c r="B116" s="3"/>
      <c r="C116" s="22"/>
      <c r="D116" s="3"/>
      <c r="E116" s="3"/>
      <c r="F116" s="3"/>
      <c r="G116" s="31"/>
      <c r="H116" s="3"/>
      <c r="I116" s="3"/>
      <c r="J116" s="3"/>
      <c r="K116" s="3"/>
      <c r="L116" s="3"/>
      <c r="M116" s="35"/>
      <c r="N116" s="35"/>
      <c r="O116" s="22"/>
      <c r="P116" s="35"/>
      <c r="Q116" s="22"/>
      <c r="R116" s="35"/>
      <c r="S116" s="35"/>
      <c r="T116" s="35"/>
      <c r="U116" s="35"/>
      <c r="V116" s="22"/>
      <c r="W116" s="35"/>
      <c r="X116" s="35"/>
      <c r="Y116" s="3"/>
    </row>
    <row r="117" spans="1:25" ht="19.5" customHeight="1" x14ac:dyDescent="0.3">
      <c r="A117" s="3"/>
      <c r="B117" s="3"/>
      <c r="C117" s="22"/>
      <c r="D117" s="3"/>
      <c r="E117" s="3"/>
      <c r="F117" s="3"/>
      <c r="G117" s="31"/>
      <c r="H117" s="10"/>
      <c r="I117" s="3"/>
      <c r="J117" s="3"/>
      <c r="K117" s="3"/>
      <c r="L117" s="3"/>
      <c r="M117" s="35"/>
      <c r="N117" s="35"/>
      <c r="O117" s="22"/>
      <c r="P117" s="35"/>
      <c r="Q117" s="22"/>
      <c r="R117" s="35"/>
      <c r="S117" s="35"/>
      <c r="T117" s="35"/>
      <c r="U117" s="35"/>
      <c r="V117" s="22"/>
      <c r="W117" s="35"/>
      <c r="X117" s="35"/>
      <c r="Y117" s="3"/>
    </row>
    <row r="118" spans="1:25" ht="19.5" customHeight="1" x14ac:dyDescent="0.3">
      <c r="A118" s="3"/>
      <c r="B118" s="3"/>
      <c r="C118" s="22"/>
      <c r="D118" s="3"/>
      <c r="E118" s="3"/>
      <c r="F118" s="3"/>
      <c r="G118" s="31"/>
      <c r="H118" s="10"/>
      <c r="I118" s="3"/>
      <c r="J118" s="3"/>
      <c r="K118" s="3"/>
      <c r="L118" s="3"/>
      <c r="M118" s="35"/>
      <c r="N118" s="35"/>
      <c r="O118" s="22"/>
      <c r="P118" s="35"/>
      <c r="Q118" s="22"/>
      <c r="R118" s="35"/>
      <c r="S118" s="35"/>
      <c r="T118" s="35"/>
      <c r="U118" s="35"/>
      <c r="V118" s="22"/>
      <c r="W118" s="35"/>
      <c r="X118" s="35"/>
      <c r="Y118" s="3"/>
    </row>
    <row r="119" spans="1:25" ht="19.5" customHeight="1" x14ac:dyDescent="0.3">
      <c r="A119" s="3"/>
      <c r="B119" s="3"/>
      <c r="C119" s="22"/>
      <c r="D119" s="3"/>
      <c r="E119" s="3"/>
      <c r="F119" s="3"/>
      <c r="G119" s="31"/>
      <c r="H119" s="10"/>
      <c r="I119" s="3"/>
      <c r="J119" s="3"/>
      <c r="K119" s="3"/>
      <c r="L119" s="3"/>
      <c r="M119" s="35"/>
      <c r="N119" s="35"/>
      <c r="O119" s="22"/>
      <c r="P119" s="35"/>
      <c r="Q119" s="22"/>
      <c r="R119" s="35"/>
      <c r="S119" s="35"/>
      <c r="T119" s="35"/>
      <c r="U119" s="35"/>
      <c r="V119" s="22"/>
      <c r="W119" s="35"/>
      <c r="X119" s="35"/>
      <c r="Y119" s="3"/>
    </row>
    <row r="120" spans="1:25" ht="19.5" customHeight="1" x14ac:dyDescent="0.3">
      <c r="A120" s="3"/>
      <c r="B120" s="3"/>
      <c r="C120" s="22"/>
      <c r="D120" s="3"/>
      <c r="E120" s="3"/>
      <c r="F120" s="3"/>
      <c r="G120" s="31"/>
      <c r="H120" s="10"/>
      <c r="I120" s="3"/>
      <c r="J120" s="3"/>
      <c r="K120" s="3"/>
      <c r="L120" s="3"/>
      <c r="M120" s="35"/>
      <c r="N120" s="35"/>
      <c r="O120" s="22"/>
      <c r="P120" s="35"/>
      <c r="Q120" s="22"/>
      <c r="R120" s="35"/>
      <c r="S120" s="35"/>
      <c r="T120" s="35"/>
      <c r="U120" s="35"/>
      <c r="V120" s="22"/>
      <c r="W120" s="35"/>
      <c r="X120" s="35"/>
      <c r="Y120" s="3"/>
    </row>
    <row r="121" spans="1:25" ht="19.5" customHeight="1" x14ac:dyDescent="0.3">
      <c r="A121" s="3"/>
      <c r="B121" s="3"/>
      <c r="C121" s="22"/>
      <c r="D121" s="3"/>
      <c r="E121" s="3"/>
      <c r="F121" s="3"/>
      <c r="G121" s="31"/>
      <c r="H121" s="3"/>
      <c r="I121" s="3"/>
      <c r="J121" s="3"/>
      <c r="K121" s="3"/>
      <c r="L121" s="3"/>
      <c r="M121" s="35"/>
      <c r="N121" s="35"/>
      <c r="O121" s="22"/>
      <c r="P121" s="35"/>
      <c r="Q121" s="22"/>
      <c r="R121" s="35"/>
      <c r="S121" s="35"/>
      <c r="T121" s="35"/>
      <c r="U121" s="35"/>
      <c r="V121" s="22"/>
      <c r="W121" s="35"/>
      <c r="X121" s="35"/>
      <c r="Y121" s="3"/>
    </row>
    <row r="122" spans="1:25" ht="19.5" customHeight="1" x14ac:dyDescent="0.3">
      <c r="A122" s="3"/>
      <c r="B122" s="3"/>
      <c r="C122" s="22"/>
      <c r="D122" s="3"/>
      <c r="E122" s="3"/>
      <c r="F122" s="3"/>
      <c r="G122" s="31"/>
      <c r="H122" s="3"/>
      <c r="I122" s="3"/>
      <c r="J122" s="3"/>
      <c r="K122" s="3"/>
      <c r="L122" s="3"/>
      <c r="M122" s="35"/>
      <c r="N122" s="35"/>
      <c r="O122" s="22"/>
      <c r="P122" s="35"/>
      <c r="Q122" s="22"/>
      <c r="R122" s="35"/>
      <c r="S122" s="35"/>
      <c r="T122" s="35"/>
      <c r="U122" s="35"/>
      <c r="V122" s="22"/>
      <c r="W122" s="35"/>
      <c r="X122" s="35"/>
      <c r="Y122" s="3"/>
    </row>
    <row r="123" spans="1:25" ht="19.5" customHeight="1" x14ac:dyDescent="0.3">
      <c r="A123" s="3"/>
      <c r="B123" s="3"/>
      <c r="C123" s="22"/>
      <c r="D123" s="3"/>
      <c r="E123" s="3"/>
      <c r="F123" s="3"/>
      <c r="G123" s="31"/>
      <c r="H123" s="3"/>
      <c r="I123" s="3"/>
      <c r="J123" s="3"/>
      <c r="K123" s="3"/>
      <c r="L123" s="3"/>
      <c r="M123" s="35"/>
      <c r="N123" s="35"/>
      <c r="O123" s="22"/>
      <c r="P123" s="35"/>
      <c r="Q123" s="22"/>
      <c r="R123" s="35"/>
      <c r="S123" s="35"/>
      <c r="T123" s="35"/>
      <c r="U123" s="35"/>
      <c r="V123" s="22"/>
      <c r="W123" s="35"/>
      <c r="X123" s="35"/>
      <c r="Y123" s="3"/>
    </row>
    <row r="124" spans="1:25" ht="19.5" customHeight="1" x14ac:dyDescent="0.3">
      <c r="A124" s="3"/>
      <c r="B124" s="3"/>
      <c r="C124" s="22"/>
      <c r="D124" s="3"/>
      <c r="E124" s="3"/>
      <c r="F124" s="3"/>
      <c r="G124" s="31"/>
      <c r="H124" s="10"/>
      <c r="I124" s="3"/>
      <c r="J124" s="3"/>
      <c r="K124" s="3"/>
      <c r="L124" s="3"/>
      <c r="M124" s="35"/>
      <c r="N124" s="35"/>
      <c r="O124" s="22"/>
      <c r="P124" s="35"/>
      <c r="Q124" s="22"/>
      <c r="R124" s="35"/>
      <c r="S124" s="35"/>
      <c r="T124" s="35"/>
      <c r="U124" s="35"/>
      <c r="V124" s="22"/>
      <c r="W124" s="35"/>
      <c r="X124" s="35"/>
      <c r="Y124" s="3"/>
    </row>
    <row r="125" spans="1:25" ht="19.5" customHeight="1" x14ac:dyDescent="0.3">
      <c r="A125" s="3"/>
      <c r="B125" s="3"/>
      <c r="C125" s="22"/>
      <c r="D125" s="3"/>
      <c r="E125" s="3"/>
      <c r="F125" s="3"/>
      <c r="G125" s="31"/>
      <c r="H125" s="10"/>
      <c r="I125" s="3"/>
      <c r="J125" s="3"/>
      <c r="K125" s="3"/>
      <c r="L125" s="3"/>
      <c r="M125" s="35"/>
      <c r="N125" s="35"/>
      <c r="O125" s="22"/>
      <c r="P125" s="35"/>
      <c r="Q125" s="22"/>
      <c r="R125" s="35"/>
      <c r="S125" s="35"/>
      <c r="T125" s="35"/>
      <c r="U125" s="35"/>
      <c r="V125" s="22"/>
      <c r="W125" s="35"/>
      <c r="X125" s="35"/>
      <c r="Y125" s="3"/>
    </row>
    <row r="126" spans="1:25" ht="19.5" customHeight="1" x14ac:dyDescent="0.3">
      <c r="A126" s="3"/>
      <c r="B126" s="3"/>
      <c r="C126" s="22"/>
      <c r="D126" s="3"/>
      <c r="E126" s="3"/>
      <c r="F126" s="3"/>
      <c r="G126" s="31"/>
      <c r="H126" s="10"/>
      <c r="I126" s="3"/>
      <c r="J126" s="3"/>
      <c r="K126" s="3"/>
      <c r="L126" s="3"/>
      <c r="M126" s="35"/>
      <c r="N126" s="35"/>
      <c r="O126" s="22"/>
      <c r="P126" s="35"/>
      <c r="Q126" s="22"/>
      <c r="R126" s="35"/>
      <c r="S126" s="35"/>
      <c r="T126" s="35"/>
      <c r="U126" s="35"/>
      <c r="V126" s="22"/>
      <c r="W126" s="35"/>
      <c r="X126" s="35"/>
      <c r="Y126" s="3"/>
    </row>
    <row r="127" spans="1:25" ht="19.5" customHeight="1" x14ac:dyDescent="0.3">
      <c r="A127" s="3"/>
      <c r="B127" s="3"/>
      <c r="C127" s="22"/>
      <c r="D127" s="3"/>
      <c r="E127" s="3"/>
      <c r="F127" s="3"/>
      <c r="G127" s="31"/>
      <c r="H127" s="10"/>
      <c r="I127" s="3"/>
      <c r="J127" s="3"/>
      <c r="K127" s="3"/>
      <c r="L127" s="3"/>
      <c r="M127" s="35"/>
      <c r="N127" s="35"/>
      <c r="O127" s="22"/>
      <c r="P127" s="35"/>
      <c r="Q127" s="22"/>
      <c r="R127" s="35"/>
      <c r="S127" s="35"/>
      <c r="T127" s="35"/>
      <c r="U127" s="35"/>
      <c r="V127" s="22"/>
      <c r="W127" s="35"/>
      <c r="X127" s="35"/>
      <c r="Y127" s="3"/>
    </row>
    <row r="128" spans="1:25" ht="19.5" customHeight="1" x14ac:dyDescent="0.3">
      <c r="A128" s="3"/>
      <c r="B128" s="3"/>
      <c r="C128" s="22"/>
      <c r="D128" s="3"/>
      <c r="E128" s="3"/>
      <c r="F128" s="3"/>
      <c r="G128" s="31"/>
      <c r="H128" s="3"/>
      <c r="I128" s="3"/>
      <c r="J128" s="3"/>
      <c r="K128" s="3"/>
      <c r="L128" s="3"/>
      <c r="M128" s="35"/>
      <c r="N128" s="35"/>
      <c r="O128" s="22"/>
      <c r="P128" s="35"/>
      <c r="Q128" s="22"/>
      <c r="R128" s="35"/>
      <c r="S128" s="35"/>
      <c r="T128" s="35"/>
      <c r="U128" s="35"/>
      <c r="V128" s="22"/>
      <c r="W128" s="35"/>
      <c r="X128" s="35"/>
      <c r="Y128" s="3"/>
    </row>
    <row r="129" spans="1:25" ht="19.5" customHeight="1" x14ac:dyDescent="0.3">
      <c r="A129" s="3"/>
      <c r="B129" s="3"/>
      <c r="C129" s="22"/>
      <c r="D129" s="3"/>
      <c r="E129" s="3"/>
      <c r="F129" s="3"/>
      <c r="G129" s="31"/>
      <c r="H129" s="10"/>
      <c r="I129" s="3"/>
      <c r="J129" s="3"/>
      <c r="K129" s="3"/>
      <c r="L129" s="3"/>
      <c r="M129" s="35"/>
      <c r="N129" s="35"/>
      <c r="O129" s="22"/>
      <c r="P129" s="35"/>
      <c r="Q129" s="22"/>
      <c r="R129" s="35"/>
      <c r="S129" s="35"/>
      <c r="T129" s="35"/>
      <c r="U129" s="35"/>
      <c r="V129" s="22"/>
      <c r="W129" s="35"/>
      <c r="X129" s="35"/>
      <c r="Y129" s="3"/>
    </row>
    <row r="130" spans="1:25" ht="19.5" customHeight="1" x14ac:dyDescent="0.3">
      <c r="A130" s="3"/>
      <c r="B130" s="3"/>
      <c r="C130" s="22"/>
      <c r="D130" s="3"/>
      <c r="E130" s="3"/>
      <c r="F130" s="3"/>
      <c r="G130" s="31"/>
      <c r="H130" s="10"/>
      <c r="I130" s="3"/>
      <c r="J130" s="3"/>
      <c r="K130" s="3"/>
      <c r="L130" s="3"/>
      <c r="M130" s="35"/>
      <c r="N130" s="35"/>
      <c r="O130" s="22"/>
      <c r="P130" s="35"/>
      <c r="Q130" s="22"/>
      <c r="R130" s="35"/>
      <c r="S130" s="35"/>
      <c r="T130" s="35"/>
      <c r="U130" s="35"/>
      <c r="V130" s="22"/>
      <c r="W130" s="35"/>
      <c r="X130" s="35"/>
      <c r="Y130" s="3"/>
    </row>
    <row r="131" spans="1:25" ht="19.5" customHeight="1" x14ac:dyDescent="0.3">
      <c r="A131" s="3"/>
      <c r="B131" s="3"/>
      <c r="C131" s="22"/>
      <c r="D131" s="3"/>
      <c r="E131" s="3"/>
      <c r="F131" s="3"/>
      <c r="G131" s="31"/>
      <c r="H131" s="10"/>
      <c r="I131" s="3"/>
      <c r="J131" s="3"/>
      <c r="K131" s="3"/>
      <c r="L131" s="3"/>
      <c r="M131" s="35"/>
      <c r="N131" s="35"/>
      <c r="O131" s="22"/>
      <c r="P131" s="35"/>
      <c r="Q131" s="22"/>
      <c r="R131" s="35"/>
      <c r="S131" s="35"/>
      <c r="T131" s="35"/>
      <c r="U131" s="35"/>
      <c r="V131" s="22"/>
      <c r="W131" s="35"/>
      <c r="X131" s="35"/>
      <c r="Y131" s="3"/>
    </row>
    <row r="132" spans="1:25" ht="19.5" customHeight="1" x14ac:dyDescent="0.3">
      <c r="A132" s="3"/>
      <c r="B132" s="3"/>
      <c r="C132" s="22"/>
      <c r="D132" s="3"/>
      <c r="E132" s="3"/>
      <c r="F132" s="3"/>
      <c r="G132" s="31"/>
      <c r="H132" s="10"/>
      <c r="I132" s="3"/>
      <c r="J132" s="3"/>
      <c r="K132" s="3"/>
      <c r="L132" s="3"/>
      <c r="M132" s="35"/>
      <c r="N132" s="35"/>
      <c r="O132" s="22"/>
      <c r="P132" s="35"/>
      <c r="Q132" s="22"/>
      <c r="R132" s="35"/>
      <c r="S132" s="35"/>
      <c r="T132" s="35"/>
      <c r="U132" s="35"/>
      <c r="V132" s="22"/>
      <c r="W132" s="35"/>
      <c r="X132" s="35"/>
      <c r="Y132" s="3"/>
    </row>
    <row r="133" spans="1:25" ht="19.5" customHeight="1" x14ac:dyDescent="0.3">
      <c r="A133" s="3"/>
      <c r="B133" s="3"/>
      <c r="C133" s="22"/>
      <c r="D133" s="3"/>
      <c r="E133" s="3"/>
      <c r="F133" s="3"/>
      <c r="G133" s="31"/>
      <c r="H133" s="10"/>
      <c r="I133" s="3"/>
      <c r="J133" s="3"/>
      <c r="K133" s="3"/>
      <c r="L133" s="3"/>
      <c r="M133" s="35"/>
      <c r="N133" s="35"/>
      <c r="O133" s="22"/>
      <c r="P133" s="35"/>
      <c r="Q133" s="22"/>
      <c r="R133" s="35"/>
      <c r="S133" s="35"/>
      <c r="T133" s="35"/>
      <c r="U133" s="35"/>
      <c r="V133" s="22"/>
      <c r="W133" s="35"/>
      <c r="X133" s="35"/>
      <c r="Y133" s="3"/>
    </row>
    <row r="134" spans="1:25" ht="19.5" customHeight="1" x14ac:dyDescent="0.3">
      <c r="A134" s="3"/>
      <c r="B134" s="3"/>
      <c r="C134" s="22"/>
      <c r="D134" s="3"/>
      <c r="E134" s="3"/>
      <c r="F134" s="3"/>
      <c r="G134" s="31"/>
      <c r="H134" s="10"/>
      <c r="I134" s="3"/>
      <c r="J134" s="3"/>
      <c r="K134" s="3"/>
      <c r="L134" s="3"/>
      <c r="M134" s="35"/>
      <c r="N134" s="35"/>
      <c r="O134" s="22"/>
      <c r="P134" s="35"/>
      <c r="Q134" s="22"/>
      <c r="R134" s="35"/>
      <c r="S134" s="35"/>
      <c r="T134" s="35"/>
      <c r="U134" s="35"/>
      <c r="V134" s="22"/>
      <c r="W134" s="35"/>
      <c r="X134" s="35"/>
      <c r="Y134" s="3"/>
    </row>
    <row r="135" spans="1:25" ht="19.5" customHeight="1" x14ac:dyDescent="0.3">
      <c r="A135" s="3"/>
      <c r="B135" s="3"/>
      <c r="C135" s="22"/>
      <c r="D135" s="3"/>
      <c r="E135" s="3"/>
      <c r="F135" s="3"/>
      <c r="G135" s="31"/>
      <c r="H135" s="10"/>
      <c r="I135" s="3"/>
      <c r="J135" s="3"/>
      <c r="K135" s="3"/>
      <c r="L135" s="3"/>
      <c r="M135" s="35"/>
      <c r="N135" s="35"/>
      <c r="O135" s="22"/>
      <c r="P135" s="35"/>
      <c r="Q135" s="22"/>
      <c r="R135" s="35"/>
      <c r="S135" s="35"/>
      <c r="T135" s="35"/>
      <c r="U135" s="35"/>
      <c r="V135" s="22"/>
      <c r="W135" s="35"/>
      <c r="X135" s="35"/>
      <c r="Y135" s="3"/>
    </row>
    <row r="136" spans="1:25" ht="19.5" customHeight="1" x14ac:dyDescent="0.3">
      <c r="A136" s="3"/>
      <c r="B136" s="3"/>
      <c r="C136" s="22"/>
      <c r="D136" s="3"/>
      <c r="E136" s="3"/>
      <c r="F136" s="3"/>
      <c r="G136" s="31"/>
      <c r="H136" s="10"/>
      <c r="I136" s="3"/>
      <c r="J136" s="3"/>
      <c r="K136" s="3"/>
      <c r="L136" s="3"/>
      <c r="M136" s="35"/>
      <c r="N136" s="35"/>
      <c r="O136" s="22"/>
      <c r="P136" s="35"/>
      <c r="Q136" s="22"/>
      <c r="R136" s="35"/>
      <c r="S136" s="35"/>
      <c r="T136" s="35"/>
      <c r="U136" s="35"/>
      <c r="V136" s="22"/>
      <c r="W136" s="35"/>
      <c r="X136" s="35"/>
      <c r="Y136" s="3"/>
    </row>
    <row r="137" spans="1:25" ht="19.5" customHeight="1" x14ac:dyDescent="0.3">
      <c r="A137" s="3"/>
      <c r="B137" s="3"/>
      <c r="C137" s="22"/>
      <c r="D137" s="3"/>
      <c r="E137" s="3"/>
      <c r="F137" s="3"/>
      <c r="G137" s="31"/>
      <c r="H137" s="10"/>
      <c r="I137" s="3"/>
      <c r="J137" s="3"/>
      <c r="K137" s="3"/>
      <c r="L137" s="3"/>
      <c r="M137" s="35"/>
      <c r="N137" s="35"/>
      <c r="O137" s="22"/>
      <c r="P137" s="35"/>
      <c r="Q137" s="22"/>
      <c r="R137" s="35"/>
      <c r="S137" s="35"/>
      <c r="T137" s="35"/>
      <c r="U137" s="35"/>
      <c r="V137" s="22"/>
      <c r="W137" s="35"/>
      <c r="X137" s="35"/>
      <c r="Y137" s="3"/>
    </row>
    <row r="138" spans="1:25" ht="19.5" customHeight="1" x14ac:dyDescent="0.3">
      <c r="A138" s="3"/>
      <c r="B138" s="3"/>
      <c r="C138" s="22"/>
      <c r="D138" s="3"/>
      <c r="E138" s="3"/>
      <c r="F138" s="3"/>
      <c r="G138" s="31"/>
      <c r="H138" s="10"/>
      <c r="I138" s="3"/>
      <c r="J138" s="3"/>
      <c r="K138" s="3"/>
      <c r="L138" s="3"/>
      <c r="M138" s="35"/>
      <c r="N138" s="35"/>
      <c r="O138" s="22"/>
      <c r="P138" s="35"/>
      <c r="Q138" s="22"/>
      <c r="R138" s="35"/>
      <c r="S138" s="35"/>
      <c r="T138" s="35"/>
      <c r="U138" s="35"/>
      <c r="V138" s="22"/>
      <c r="W138" s="35"/>
      <c r="X138" s="35"/>
      <c r="Y138" s="3"/>
    </row>
    <row r="139" spans="1:25" ht="19.5" customHeight="1" x14ac:dyDescent="0.3">
      <c r="A139" s="3"/>
      <c r="B139" s="3"/>
      <c r="C139" s="22"/>
      <c r="D139" s="3"/>
      <c r="E139" s="3"/>
      <c r="F139" s="3"/>
      <c r="G139" s="31"/>
      <c r="H139" s="10"/>
      <c r="I139" s="3"/>
      <c r="J139" s="3"/>
      <c r="K139" s="3"/>
      <c r="L139" s="3"/>
      <c r="M139" s="35"/>
      <c r="N139" s="35"/>
      <c r="O139" s="22"/>
      <c r="P139" s="35"/>
      <c r="Q139" s="22"/>
      <c r="R139" s="35"/>
      <c r="S139" s="35"/>
      <c r="T139" s="35"/>
      <c r="U139" s="35"/>
      <c r="V139" s="22"/>
      <c r="W139" s="35"/>
      <c r="X139" s="35"/>
      <c r="Y139" s="3"/>
    </row>
    <row r="140" spans="1:25" ht="19.5" customHeight="1" x14ac:dyDescent="0.3">
      <c r="A140" s="3"/>
      <c r="B140" s="3"/>
      <c r="C140" s="22"/>
      <c r="D140" s="3"/>
      <c r="E140" s="3"/>
      <c r="F140" s="3"/>
      <c r="G140" s="31"/>
      <c r="H140" s="10"/>
      <c r="I140" s="3"/>
      <c r="J140" s="3"/>
      <c r="K140" s="3"/>
      <c r="L140" s="3"/>
      <c r="M140" s="35"/>
      <c r="N140" s="35"/>
      <c r="O140" s="22"/>
      <c r="P140" s="35"/>
      <c r="Q140" s="22"/>
      <c r="R140" s="35"/>
      <c r="S140" s="35"/>
      <c r="T140" s="35"/>
      <c r="U140" s="35"/>
      <c r="V140" s="22"/>
      <c r="W140" s="35"/>
      <c r="X140" s="35"/>
      <c r="Y140" s="3"/>
    </row>
    <row r="141" spans="1:25" ht="19.5" customHeight="1" x14ac:dyDescent="0.3">
      <c r="A141" s="3"/>
      <c r="B141" s="3"/>
      <c r="C141" s="22"/>
      <c r="D141" s="3"/>
      <c r="E141" s="3"/>
      <c r="F141" s="3"/>
      <c r="G141" s="31"/>
      <c r="H141" s="10"/>
      <c r="I141" s="3"/>
      <c r="J141" s="3"/>
      <c r="K141" s="3"/>
      <c r="L141" s="3"/>
      <c r="M141" s="35"/>
      <c r="N141" s="35"/>
      <c r="O141" s="22"/>
      <c r="P141" s="35"/>
      <c r="Q141" s="22"/>
      <c r="R141" s="35"/>
      <c r="S141" s="35"/>
      <c r="T141" s="35"/>
      <c r="U141" s="35"/>
      <c r="V141" s="22"/>
      <c r="W141" s="35"/>
      <c r="X141" s="35"/>
      <c r="Y141" s="3"/>
    </row>
    <row r="142" spans="1:25" ht="19.5" customHeight="1" x14ac:dyDescent="0.3">
      <c r="A142" s="3"/>
      <c r="B142" s="3"/>
      <c r="C142" s="22"/>
      <c r="D142" s="3"/>
      <c r="E142" s="3"/>
      <c r="F142" s="3"/>
      <c r="G142" s="31"/>
      <c r="H142" s="10"/>
      <c r="I142" s="3"/>
      <c r="J142" s="3"/>
      <c r="K142" s="3"/>
      <c r="L142" s="3"/>
      <c r="M142" s="35"/>
      <c r="N142" s="35"/>
      <c r="O142" s="22"/>
      <c r="P142" s="35"/>
      <c r="Q142" s="22"/>
      <c r="R142" s="35"/>
      <c r="S142" s="35"/>
      <c r="T142" s="35"/>
      <c r="U142" s="35"/>
      <c r="V142" s="22"/>
      <c r="W142" s="35"/>
      <c r="X142" s="35"/>
      <c r="Y142" s="3"/>
    </row>
    <row r="143" spans="1:25" ht="19.5" customHeight="1" x14ac:dyDescent="0.3">
      <c r="A143" s="3"/>
      <c r="B143" s="3"/>
      <c r="C143" s="22"/>
      <c r="D143" s="3"/>
      <c r="E143" s="3"/>
      <c r="F143" s="3"/>
      <c r="G143" s="31"/>
      <c r="H143" s="10"/>
      <c r="I143" s="3"/>
      <c r="J143" s="3"/>
      <c r="K143" s="3"/>
      <c r="L143" s="3"/>
      <c r="M143" s="35"/>
      <c r="N143" s="35"/>
      <c r="O143" s="22"/>
      <c r="P143" s="35"/>
      <c r="Q143" s="22"/>
      <c r="R143" s="35"/>
      <c r="S143" s="35"/>
      <c r="T143" s="35"/>
      <c r="U143" s="35"/>
      <c r="V143" s="22"/>
      <c r="W143" s="35"/>
      <c r="X143" s="35"/>
      <c r="Y143" s="3"/>
    </row>
    <row r="144" spans="1:25" ht="19.5" customHeight="1" x14ac:dyDescent="0.3">
      <c r="A144" s="3"/>
      <c r="B144" s="3"/>
      <c r="C144" s="22"/>
      <c r="D144" s="3"/>
      <c r="E144" s="3"/>
      <c r="F144" s="3"/>
      <c r="G144" s="31"/>
      <c r="H144" s="10"/>
      <c r="I144" s="3"/>
      <c r="J144" s="3"/>
      <c r="K144" s="3"/>
      <c r="L144" s="3"/>
      <c r="M144" s="35"/>
      <c r="N144" s="35"/>
      <c r="O144" s="22"/>
      <c r="P144" s="35"/>
      <c r="Q144" s="22"/>
      <c r="R144" s="35"/>
      <c r="S144" s="35"/>
      <c r="T144" s="35"/>
      <c r="U144" s="35"/>
      <c r="V144" s="22"/>
      <c r="W144" s="35"/>
      <c r="X144" s="35"/>
      <c r="Y144" s="3"/>
    </row>
    <row r="145" spans="1:25" ht="19.5" customHeight="1" x14ac:dyDescent="0.3">
      <c r="A145" s="3"/>
      <c r="B145" s="3"/>
      <c r="C145" s="22"/>
      <c r="D145" s="3"/>
      <c r="E145" s="3"/>
      <c r="F145" s="3"/>
      <c r="G145" s="31"/>
      <c r="H145" s="10"/>
      <c r="I145" s="3"/>
      <c r="J145" s="3"/>
      <c r="K145" s="3"/>
      <c r="L145" s="3"/>
      <c r="M145" s="35"/>
      <c r="N145" s="35"/>
      <c r="O145" s="22"/>
      <c r="P145" s="35"/>
      <c r="Q145" s="22"/>
      <c r="R145" s="35"/>
      <c r="S145" s="35"/>
      <c r="T145" s="35"/>
      <c r="U145" s="35"/>
      <c r="V145" s="22"/>
      <c r="W145" s="35"/>
      <c r="X145" s="35"/>
      <c r="Y145" s="3"/>
    </row>
    <row r="146" spans="1:25" ht="19.5" customHeight="1" x14ac:dyDescent="0.3">
      <c r="A146" s="3"/>
      <c r="B146" s="3"/>
      <c r="C146" s="22"/>
      <c r="D146" s="3"/>
      <c r="E146" s="3"/>
      <c r="F146" s="3"/>
      <c r="G146" s="31"/>
      <c r="H146" s="10"/>
      <c r="I146" s="3"/>
      <c r="J146" s="3"/>
      <c r="K146" s="3"/>
      <c r="L146" s="3"/>
      <c r="M146" s="35"/>
      <c r="N146" s="35"/>
      <c r="O146" s="22"/>
      <c r="P146" s="35"/>
      <c r="Q146" s="22"/>
      <c r="R146" s="35"/>
      <c r="S146" s="35"/>
      <c r="T146" s="35"/>
      <c r="U146" s="35"/>
      <c r="V146" s="22"/>
      <c r="W146" s="35"/>
      <c r="X146" s="35"/>
      <c r="Y14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AL16"/>
  <sheetViews>
    <sheetView workbookViewId="0"/>
  </sheetViews>
  <sheetFormatPr baseColWidth="10" defaultColWidth="8.88671875" defaultRowHeight="14.4" x14ac:dyDescent="0.3"/>
  <cols>
    <col min="1" max="4" width="14.109375" style="17" bestFit="1" customWidth="1"/>
    <col min="5" max="5" width="11.44140625" style="18" bestFit="1" customWidth="1"/>
    <col min="6" max="6" width="14.109375" style="18" bestFit="1" customWidth="1"/>
    <col min="7" max="38" width="14.109375" style="17" bestFit="1" customWidth="1"/>
  </cols>
  <sheetData>
    <row r="1" spans="1:38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6" t="s">
        <v>36</v>
      </c>
      <c r="AL1" s="7" t="s">
        <v>37</v>
      </c>
    </row>
    <row r="2" spans="1:38" ht="19.5" customHeight="1" x14ac:dyDescent="0.3">
      <c r="A2" s="3" t="s">
        <v>38</v>
      </c>
      <c r="B2" s="3" t="s">
        <v>39</v>
      </c>
      <c r="C2" s="3" t="s">
        <v>40</v>
      </c>
      <c r="D2" s="3" t="s">
        <v>41</v>
      </c>
      <c r="E2" s="8"/>
      <c r="F2" s="9">
        <v>2020</v>
      </c>
      <c r="G2" s="3" t="s">
        <v>42</v>
      </c>
      <c r="H2" s="10">
        <f>SUMIFS(Data!$S:$S,Data!$Q:$Q,"&gt;="&amp;DATE(OI[[#This Row], [YEAR]],H$1,1),Data!$Q:$Q,"&lt;="&amp;EOMONTH(DATE(OI[[#This Row], [YEAR]],H$1,1),0),Data!$G:$G,"&lt;&gt;"&amp;"*HYDRO*")</f>
        <v>0</v>
      </c>
      <c r="I2" s="10">
        <f>SUMIFS(Data!$S:$S,Data!$Q:$Q,"&gt;="&amp;DATE(OI[[#This Row], [YEAR]],I$1,1),Data!$Q:$Q,"&lt;="&amp;EOMONTH(DATE(OI[[#This Row], [YEAR]],I$1,1),0),Data!$G:$G,"&lt;&gt;"&amp;"*HYDRO*")</f>
        <v>0</v>
      </c>
      <c r="J2" s="10">
        <f>SUMIFS(Data!$S:$S,Data!$Q:$Q,"&gt;="&amp;DATE(OI[[#This Row], [YEAR]],J$1,1),Data!$Q:$Q,"&lt;="&amp;EOMONTH(DATE(OI[[#This Row], [YEAR]],J$1,1),0),Data!$G:$G,"&lt;&gt;"&amp;"*HYDRO*")</f>
        <v>0</v>
      </c>
      <c r="K2" s="10">
        <f>SUMIFS(Data!$S:$S,Data!$Q:$Q,"&gt;="&amp;DATE(OI[[#This Row], [YEAR]],K$1,1),Data!$Q:$Q,"&lt;="&amp;EOMONTH(DATE(OI[[#This Row], [YEAR]],K$1,1),0),Data!$G:$G,"&lt;&gt;"&amp;"*HYDRO*")</f>
        <v>0</v>
      </c>
      <c r="L2" s="10">
        <f>SUMIFS(Data!$S:$S,Data!$Q:$Q,"&gt;="&amp;DATE(OI[[#This Row], [YEAR]],L$1,1),Data!$Q:$Q,"&lt;="&amp;EOMONTH(DATE(OI[[#This Row], [YEAR]],L$1,1),0),Data!$G:$G,"&lt;&gt;"&amp;"*HYDRO*")</f>
        <v>0</v>
      </c>
      <c r="M2" s="10">
        <f>SUMIFS(Data!$S:$S,Data!$Q:$Q,"&gt;="&amp;DATE(OI[[#This Row], [YEAR]],M$1,1),Data!$Q:$Q,"&lt;="&amp;EOMONTH(DATE(OI[[#This Row], [YEAR]],M$1,1),0),Data!$G:$G,"&lt;&gt;"&amp;"*HYDRO*")</f>
        <v>0</v>
      </c>
      <c r="N2" s="10">
        <f>SUMIFS(Data!$S:$S,Data!$Q:$Q,"&gt;="&amp;DATE(OI[[#This Row], [YEAR]],N$1,1),Data!$Q:$Q,"&lt;="&amp;EOMONTH(DATE(OI[[#This Row], [YEAR]],N$1,1),0),Data!$G:$G,"&lt;&gt;"&amp;"*HYDRO*")</f>
        <v>0</v>
      </c>
      <c r="O2" s="10">
        <f>SUMIFS(Data!$S:$S,Data!$Q:$Q,"&gt;="&amp;DATE(OI[[#This Row], [YEAR]],O$1,1),Data!$Q:$Q,"&lt;="&amp;EOMONTH(DATE(OI[[#This Row], [YEAR]],O$1,1),0),Data!$G:$G,"&lt;&gt;"&amp;"*HYDRO*")</f>
        <v>0</v>
      </c>
      <c r="P2" s="10">
        <f>SUMIFS(Data!$S:$S,Data!$Q:$Q,"&gt;="&amp;DATE(OI[[#This Row], [YEAR]],P$1,1),Data!$Q:$Q,"&lt;="&amp;EOMONTH(DATE(OI[[#This Row], [YEAR]],P$1,1),0),Data!$G:$G,"&lt;&gt;"&amp;"*HYDRO*")</f>
        <v>0</v>
      </c>
      <c r="Q2" s="10">
        <f>SUMIFS(Data!$S:$S,Data!$Q:$Q,"&gt;="&amp;DATE(OI[[#This Row], [YEAR]],Q$1,1),Data!$Q:$Q,"&lt;="&amp;EOMONTH(DATE(OI[[#This Row], [YEAR]],Q$1,1),0),Data!$G:$G,"&lt;&gt;"&amp;"*HYDRO*")</f>
        <v>0</v>
      </c>
      <c r="R2" s="10">
        <f>SUMIFS(Data!$S:$S,Data!$Q:$Q,"&gt;="&amp;DATE(OI[[#This Row], [YEAR]],R$1,1),Data!$Q:$Q,"&lt;="&amp;EOMONTH(DATE(OI[[#This Row], [YEAR]],R$1,1),0),Data!$G:$G,"&lt;&gt;"&amp;"*HYDRO*")</f>
        <v>0</v>
      </c>
      <c r="S2" s="10">
        <f>SUMIFS(Data!$S:$S,Data!$Q:$Q,"&gt;="&amp;DATE(OI[[#This Row], [YEAR]],S$1,1),Data!$Q:$Q,"&lt;="&amp;EOMONTH(DATE(OI[[#This Row], [YEAR]],S$1,1),0),Data!$G:$G,"&lt;&gt;"&amp;"*HYDRO*")</f>
        <v>0</v>
      </c>
      <c r="T2" s="11">
        <f>SUM(OI[[#This Row], [1]])</f>
        <v>0</v>
      </c>
      <c r="U2" s="11">
        <f>SUM(OI[[#This Row], [1]],OI[[#This Row], [2]])</f>
        <v>0</v>
      </c>
      <c r="V2" s="11">
        <f>SUM(OI[[#This Row], [1]],OI[[#This Row], [2]],OI[[#This Row], [3]])</f>
        <v>0</v>
      </c>
      <c r="W2" s="11">
        <f>SUM(OI[[#This Row], [1]],OI[[#This Row], [2]],OI[[#This Row], [3]],OI[[#This Row], [4]])</f>
        <v>0</v>
      </c>
      <c r="X2" s="11">
        <f>SUM(OI[[#This Row], [1]],OI[[#This Row], [2]],OI[[#This Row], [3]],OI[[#This Row], [4]],OI[[#This Row], [5]])</f>
        <v>0</v>
      </c>
      <c r="Y2" s="11">
        <f>SUM(OI[[#This Row], [1]],OI[[#This Row], [2]],OI[[#This Row], [3]],OI[[#This Row], [4]],OI[[#This Row], [5]],OI[[#This Row], [6]])</f>
        <v>0</v>
      </c>
      <c r="Z2" s="11">
        <f>SUM(OI[[#This Row], [1]],OI[[#This Row], [2]],OI[[#This Row], [3]],OI[[#This Row], [4]],OI[[#This Row], [5]],OI[[#This Row], [6]],OI[[#This Row], [7]])</f>
        <v>0</v>
      </c>
      <c r="AA2" s="11">
        <f>SUM(OI[[#This Row], [1]],OI[[#This Row], [2]],OI[[#This Row], [3]],OI[[#This Row], [4]],OI[[#This Row], [5]],OI[[#This Row], [6]],OI[[#This Row], [7]],OI[[#This Row], [8]])</f>
        <v>0</v>
      </c>
      <c r="AB2" s="11">
        <f>SUM(OI[[#This Row], [1]],OI[[#This Row], [2]],OI[[#This Row], [3]],OI[[#This Row], [4]],OI[[#This Row], [5]],OI[[#This Row], [6]],OI[[#This Row], [7]],OI[[#This Row], [8]],OI[[#This Row], [9]])</f>
        <v>0</v>
      </c>
      <c r="AC2" s="11">
        <f>SUM(OI[[#This Row], [1]],OI[[#This Row], [2]],OI[[#This Row], [3]],OI[[#This Row], [4]],OI[[#This Row], [5]],OI[[#This Row], [6]],OI[[#This Row], [7]],OI[[#This Row], [8]],OI[[#This Row], [9]],OI[[#This Row], [10]])</f>
        <v>0</v>
      </c>
      <c r="AD2" s="11">
        <f>SUM(OI[[#This Row], [1]],OI[[#This Row], [2]],OI[[#This Row], [3]],OI[[#This Row], [4]],OI[[#This Row], [5]],OI[[#This Row], [6]],OI[[#This Row], [7]],OI[[#This Row], [8]],OI[[#This Row], [9]],OI[[#This Row], [10]],OI[[#This Row], [11]])</f>
        <v>0</v>
      </c>
      <c r="AE2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0</v>
      </c>
      <c r="AF2" s="11">
        <f>SUM(OI[[#This Row], [1]],OI[[#This Row], [2]],OI[[#This Row], [3]])</f>
        <v>0</v>
      </c>
      <c r="AG2" s="11">
        <f>SUM(OI[[#This Row], [4]],OI[[#This Row], [5]],OI[[#This Row], [6]])</f>
        <v>0</v>
      </c>
      <c r="AH2" s="11">
        <f>SUM(OI[[#This Row], [7]],OI[[#This Row], [8]],OI[[#This Row], [9]])</f>
        <v>0</v>
      </c>
      <c r="AI2" s="11">
        <f>SUM(OI[[#This Row], [10]],OI[[#This Row], [11]],OI[[#This Row], [12]])</f>
        <v>0</v>
      </c>
      <c r="AJ2" s="11">
        <f>SUM(OI[[#This Row], [1]],OI[[#This Row], [2]],OI[[#This Row], [3]],OI[[#This Row], [4]],OI[[#This Row], [5]],OI[[#This Row], [6]])</f>
        <v>0</v>
      </c>
      <c r="AK2" s="12">
        <f>SUM(OI[[#This Row], [7]],OI[[#This Row], [8]],OI[[#This Row], [9]],OI[[#This Row], [10]],OI[[#This Row], [11]],OI[[#This Row], [12]])</f>
        <v>0</v>
      </c>
      <c r="AL2" s="13" t="str">
        <f t="shared" ref="AL2:AL12" si="0">"HYFR"</f>
        <v>HYFR</v>
      </c>
    </row>
    <row r="3" spans="1:38" ht="19.5" customHeight="1" x14ac:dyDescent="0.3">
      <c r="A3" s="3" t="s">
        <v>38</v>
      </c>
      <c r="B3" s="3" t="s">
        <v>39</v>
      </c>
      <c r="C3" s="3" t="s">
        <v>40</v>
      </c>
      <c r="D3" s="3" t="s">
        <v>41</v>
      </c>
      <c r="E3" s="9">
        <v>1</v>
      </c>
      <c r="F3" s="9">
        <v>2020</v>
      </c>
      <c r="G3" s="3" t="s">
        <v>42</v>
      </c>
      <c r="H3" s="10">
        <f>SUMIFS(Data!$S:$S,Data!$Q:$Q,"&gt;="&amp;DATE(OI[[#This Row], [YEAR]],H$1,1),Data!$Q:$Q,"&lt;="&amp;EOMONTH(DATE(OI[[#This Row], [YEAR]],H$1,1),0),Data!$G:$G,"*HYDRO*")</f>
        <v>0</v>
      </c>
      <c r="I3" s="10">
        <f>SUMIFS(Data!$S:$S,Data!$Q:$Q,"&gt;="&amp;DATE(OI[[#This Row], [YEAR]],I$1,1),Data!$Q:$Q,"&lt;="&amp;EOMONTH(DATE(OI[[#This Row], [YEAR]],I$1,1),0),Data!$G:$G,"*HYDRO*")</f>
        <v>0</v>
      </c>
      <c r="J3" s="10">
        <f>SUMIFS(Data!$S:$S,Data!$Q:$Q,"&gt;="&amp;DATE(OI[[#This Row], [YEAR]],J$1,1),Data!$Q:$Q,"&lt;="&amp;EOMONTH(DATE(OI[[#This Row], [YEAR]],J$1,1),0),Data!$G:$G,"*HYDRO*")</f>
        <v>0</v>
      </c>
      <c r="K3" s="10">
        <f>SUMIFS(Data!$S:$S,Data!$Q:$Q,"&gt;="&amp;DATE(OI[[#This Row], [YEAR]],K$1,1),Data!$Q:$Q,"&lt;="&amp;EOMONTH(DATE(OI[[#This Row], [YEAR]],K$1,1),0),Data!$G:$G,"*HYDRO*")</f>
        <v>0</v>
      </c>
      <c r="L3" s="10">
        <f>SUMIFS(Data!$S:$S,Data!$Q:$Q,"&gt;="&amp;DATE(OI[[#This Row], [YEAR]],L$1,1),Data!$Q:$Q,"&lt;="&amp;EOMONTH(DATE(OI[[#This Row], [YEAR]],L$1,1),0),Data!$G:$G,"*HYDRO*")</f>
        <v>0</v>
      </c>
      <c r="M3" s="10">
        <f>SUMIFS(Data!$S:$S,Data!$Q:$Q,"&gt;="&amp;DATE(OI[[#This Row], [YEAR]],M$1,1),Data!$Q:$Q,"&lt;="&amp;EOMONTH(DATE(OI[[#This Row], [YEAR]],M$1,1),0),Data!$G:$G,"*HYDRO*")</f>
        <v>0</v>
      </c>
      <c r="N3" s="10">
        <f>SUMIFS(Data!$S:$S,Data!$Q:$Q,"&gt;="&amp;DATE(OI[[#This Row], [YEAR]],N$1,1),Data!$Q:$Q,"&lt;="&amp;EOMONTH(DATE(OI[[#This Row], [YEAR]],N$1,1),0),Data!$G:$G,"*HYDRO*")</f>
        <v>0</v>
      </c>
      <c r="O3" s="10">
        <f>SUMIFS(Data!$S:$S,Data!$Q:$Q,"&gt;="&amp;DATE(OI[[#This Row], [YEAR]],O$1,1),Data!$Q:$Q,"&lt;="&amp;EOMONTH(DATE(OI[[#This Row], [YEAR]],O$1,1),0),Data!$G:$G,"*HYDRO*")</f>
        <v>0</v>
      </c>
      <c r="P3" s="10">
        <f>SUMIFS(Data!$S:$S,Data!$Q:$Q,"&gt;="&amp;DATE(OI[[#This Row], [YEAR]],P$1,1),Data!$Q:$Q,"&lt;="&amp;EOMONTH(DATE(OI[[#This Row], [YEAR]],P$1,1),0),Data!$G:$G,"*HYDRO*")</f>
        <v>0</v>
      </c>
      <c r="Q3" s="10">
        <f>SUMIFS(Data!$S:$S,Data!$Q:$Q,"&gt;="&amp;DATE(OI[[#This Row], [YEAR]],Q$1,1),Data!$Q:$Q,"&lt;="&amp;EOMONTH(DATE(OI[[#This Row], [YEAR]],Q$1,1),0),Data!$G:$G,"*HYDRO*")</f>
        <v>0</v>
      </c>
      <c r="R3" s="10">
        <f>SUMIFS(Data!$S:$S,Data!$Q:$Q,"&gt;="&amp;DATE(OI[[#This Row], [YEAR]],R$1,1),Data!$Q:$Q,"&lt;="&amp;EOMONTH(DATE(OI[[#This Row], [YEAR]],R$1,1),0),Data!$G:$G,"*HYDRO*")</f>
        <v>0</v>
      </c>
      <c r="S3" s="10">
        <f>SUMIFS(Data!$S:$S,Data!$Q:$Q,"&gt;="&amp;DATE(OI[[#This Row], [YEAR]],S$1,1),Data!$Q:$Q,"&lt;="&amp;EOMONTH(DATE(OI[[#This Row], [YEAR]],S$1,1),0),Data!$G:$G,"*HYDRO*")</f>
        <v>0</v>
      </c>
      <c r="T3" s="14">
        <f>SUM(OI[[#This Row], [1]])</f>
        <v>0</v>
      </c>
      <c r="U3" s="14">
        <f>SUM(OI[[#This Row], [1]],OI[[#This Row], [2]])</f>
        <v>0</v>
      </c>
      <c r="V3" s="14">
        <f>SUM(OI[[#This Row], [1]],OI[[#This Row], [2]],OI[[#This Row], [3]])</f>
        <v>0</v>
      </c>
      <c r="W3" s="14">
        <f>SUM(OI[[#This Row], [1]],OI[[#This Row], [2]],OI[[#This Row], [3]],OI[[#This Row], [4]])</f>
        <v>0</v>
      </c>
      <c r="X3" s="14">
        <f>SUM(OI[[#This Row], [1]],OI[[#This Row], [2]],OI[[#This Row], [3]],OI[[#This Row], [4]],OI[[#This Row], [5]])</f>
        <v>0</v>
      </c>
      <c r="Y3" s="14">
        <f>SUM(OI[[#This Row], [1]],OI[[#This Row], [2]],OI[[#This Row], [3]],OI[[#This Row], [4]],OI[[#This Row], [5]],OI[[#This Row], [6]])</f>
        <v>0</v>
      </c>
      <c r="Z3" s="14">
        <f>SUM(OI[[#This Row], [1]],OI[[#This Row], [2]],OI[[#This Row], [3]],OI[[#This Row], [4]],OI[[#This Row], [5]],OI[[#This Row], [6]],OI[[#This Row], [7]])</f>
        <v>0</v>
      </c>
      <c r="AA3" s="14">
        <f>SUM(OI[[#This Row], [1]],OI[[#This Row], [2]],OI[[#This Row], [3]],OI[[#This Row], [4]],OI[[#This Row], [5]],OI[[#This Row], [6]],OI[[#This Row], [7]],OI[[#This Row], [8]])</f>
        <v>0</v>
      </c>
      <c r="AB3" s="14">
        <f>SUM(OI[[#This Row], [1]],OI[[#This Row], [2]],OI[[#This Row], [3]],OI[[#This Row], [4]],OI[[#This Row], [5]],OI[[#This Row], [6]],OI[[#This Row], [7]],OI[[#This Row], [8]],OI[[#This Row], [9]])</f>
        <v>0</v>
      </c>
      <c r="AC3" s="14">
        <f>SUM(OI[[#This Row], [1]],OI[[#This Row], [2]],OI[[#This Row], [3]],OI[[#This Row], [4]],OI[[#This Row], [5]],OI[[#This Row], [6]],OI[[#This Row], [7]],OI[[#This Row], [8]],OI[[#This Row], [9]],OI[[#This Row], [10]])</f>
        <v>0</v>
      </c>
      <c r="AD3" s="14">
        <f>SUM(OI[[#This Row], [1]],OI[[#This Row], [2]],OI[[#This Row], [3]],OI[[#This Row], [4]],OI[[#This Row], [5]],OI[[#This Row], [6]],OI[[#This Row], [7]],OI[[#This Row], [8]],OI[[#This Row], [9]],OI[[#This Row], [10]],OI[[#This Row], [11]])</f>
        <v>0</v>
      </c>
      <c r="AE3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0</v>
      </c>
      <c r="AF3" s="14">
        <f>SUM(OI[[#This Row], [1]],OI[[#This Row], [2]],OI[[#This Row], [3]])</f>
        <v>0</v>
      </c>
      <c r="AG3" s="14">
        <f>SUM(OI[[#This Row], [4]],OI[[#This Row], [5]],OI[[#This Row], [6]])</f>
        <v>0</v>
      </c>
      <c r="AH3" s="14">
        <f>SUM(OI[[#This Row], [7]],OI[[#This Row], [8]],OI[[#This Row], [9]])</f>
        <v>0</v>
      </c>
      <c r="AI3" s="14">
        <f>SUM(OI[[#This Row], [10]],OI[[#This Row], [11]],OI[[#This Row], [12]])</f>
        <v>0</v>
      </c>
      <c r="AJ3" s="14">
        <f>SUM(OI[[#This Row], [1]],OI[[#This Row], [2]],OI[[#This Row], [3]],OI[[#This Row], [4]],OI[[#This Row], [5]],OI[[#This Row], [6]])</f>
        <v>0</v>
      </c>
      <c r="AK3" s="15">
        <f>SUM(OI[[#This Row], [7]],OI[[#This Row], [8]],OI[[#This Row], [9]],OI[[#This Row], [10]],OI[[#This Row], [11]],OI[[#This Row], [12]])</f>
        <v>0</v>
      </c>
      <c r="AL3" s="11" t="str">
        <f t="shared" si="0"/>
        <v>HYFR</v>
      </c>
    </row>
    <row r="4" spans="1:38" ht="19.5" customHeight="1" x14ac:dyDescent="0.3">
      <c r="A4" s="3" t="s">
        <v>38</v>
      </c>
      <c r="B4" s="3" t="s">
        <v>39</v>
      </c>
      <c r="C4" s="3" t="s">
        <v>40</v>
      </c>
      <c r="D4" s="3" t="s">
        <v>41</v>
      </c>
      <c r="E4" s="8"/>
      <c r="F4" s="9">
        <v>2020</v>
      </c>
      <c r="G4" s="3" t="s">
        <v>43</v>
      </c>
      <c r="H4" s="10">
        <f>AIA!C4</f>
        <v>70615</v>
      </c>
      <c r="I4" s="10">
        <f>AIA!D4</f>
        <v>70615</v>
      </c>
      <c r="J4" s="10">
        <f>AIA!E4</f>
        <v>70615</v>
      </c>
      <c r="K4" s="10">
        <f>AIA!F4</f>
        <v>70615</v>
      </c>
      <c r="L4" s="10">
        <f>AIA!G4</f>
        <v>70615</v>
      </c>
      <c r="M4" s="10">
        <f>AIA!H4</f>
        <v>70615</v>
      </c>
      <c r="N4" s="10">
        <f>AIA!I4</f>
        <v>70615</v>
      </c>
      <c r="O4" s="10">
        <f>AIA!J4</f>
        <v>70615</v>
      </c>
      <c r="P4" s="10">
        <f>AIA!K4</f>
        <v>70615</v>
      </c>
      <c r="Q4" s="10">
        <f>AIA!L4</f>
        <v>70615</v>
      </c>
      <c r="R4" s="10">
        <f>AIA!M4</f>
        <v>70615</v>
      </c>
      <c r="S4" s="10">
        <f>AIA!N4</f>
        <v>67435</v>
      </c>
      <c r="T4" s="14">
        <f>SUM(OI[[#This Row], [1]])</f>
        <v>70615</v>
      </c>
      <c r="U4" s="14">
        <f>SUM(OI[[#This Row], [1]],OI[[#This Row], [2]])</f>
        <v>141230</v>
      </c>
      <c r="V4" s="14">
        <f>SUM(OI[[#This Row], [1]],OI[[#This Row], [2]],OI[[#This Row], [3]])</f>
        <v>211845</v>
      </c>
      <c r="W4" s="14">
        <f>SUM(OI[[#This Row], [1]],OI[[#This Row], [2]],OI[[#This Row], [3]],OI[[#This Row], [4]])</f>
        <v>282460</v>
      </c>
      <c r="X4" s="14">
        <f>SUM(OI[[#This Row], [1]],OI[[#This Row], [2]],OI[[#This Row], [3]],OI[[#This Row], [4]],OI[[#This Row], [5]])</f>
        <v>353075</v>
      </c>
      <c r="Y4" s="14">
        <f>SUM(OI[[#This Row], [1]],OI[[#This Row], [2]],OI[[#This Row], [3]],OI[[#This Row], [4]],OI[[#This Row], [5]],OI[[#This Row], [6]])</f>
        <v>423690</v>
      </c>
      <c r="Z4" s="14">
        <f>SUM(OI[[#This Row], [1]],OI[[#This Row], [2]],OI[[#This Row], [3]],OI[[#This Row], [4]],OI[[#This Row], [5]],OI[[#This Row], [6]],OI[[#This Row], [7]])</f>
        <v>494305</v>
      </c>
      <c r="AA4" s="14">
        <f>SUM(OI[[#This Row], [1]],OI[[#This Row], [2]],OI[[#This Row], [3]],OI[[#This Row], [4]],OI[[#This Row], [5]],OI[[#This Row], [6]],OI[[#This Row], [7]],OI[[#This Row], [8]])</f>
        <v>564920</v>
      </c>
      <c r="AB4" s="14">
        <f>SUM(OI[[#This Row], [1]],OI[[#This Row], [2]],OI[[#This Row], [3]],OI[[#This Row], [4]],OI[[#This Row], [5]],OI[[#This Row], [6]],OI[[#This Row], [7]],OI[[#This Row], [8]],OI[[#This Row], [9]])</f>
        <v>635535</v>
      </c>
      <c r="AC4" s="14">
        <f>SUM(OI[[#This Row], [1]],OI[[#This Row], [2]],OI[[#This Row], [3]],OI[[#This Row], [4]],OI[[#This Row], [5]],OI[[#This Row], [6]],OI[[#This Row], [7]],OI[[#This Row], [8]],OI[[#This Row], [9]],OI[[#This Row], [10]])</f>
        <v>706150</v>
      </c>
      <c r="AD4" s="14">
        <f>SUM(OI[[#This Row], [1]],OI[[#This Row], [2]],OI[[#This Row], [3]],OI[[#This Row], [4]],OI[[#This Row], [5]],OI[[#This Row], [6]],OI[[#This Row], [7]],OI[[#This Row], [8]],OI[[#This Row], [9]],OI[[#This Row], [10]],OI[[#This Row], [11]])</f>
        <v>776765</v>
      </c>
      <c r="AE4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844200</v>
      </c>
      <c r="AF4" s="14">
        <f>SUM(OI[[#This Row], [1]],OI[[#This Row], [2]],OI[[#This Row], [3]])</f>
        <v>211845</v>
      </c>
      <c r="AG4" s="14">
        <f>SUM(OI[[#This Row], [4]],OI[[#This Row], [5]],OI[[#This Row], [6]])</f>
        <v>211845</v>
      </c>
      <c r="AH4" s="14">
        <f>SUM(OI[[#This Row], [7]],OI[[#This Row], [8]],OI[[#This Row], [9]])</f>
        <v>211845</v>
      </c>
      <c r="AI4" s="14">
        <f>SUM(OI[[#This Row], [10]],OI[[#This Row], [11]],OI[[#This Row], [12]])</f>
        <v>208665</v>
      </c>
      <c r="AJ4" s="14">
        <f>SUM(OI[[#This Row], [1]],OI[[#This Row], [2]],OI[[#This Row], [3]],OI[[#This Row], [4]],OI[[#This Row], [5]],OI[[#This Row], [6]])</f>
        <v>423690</v>
      </c>
      <c r="AK4" s="15">
        <f>SUM(OI[[#This Row], [7]],OI[[#This Row], [8]],OI[[#This Row], [9]],OI[[#This Row], [10]],OI[[#This Row], [11]],OI[[#This Row], [12]])</f>
        <v>420510</v>
      </c>
      <c r="AL4" s="11" t="str">
        <f t="shared" si="0"/>
        <v>HYFR</v>
      </c>
    </row>
    <row r="5" spans="1:38" ht="19.5" customHeight="1" x14ac:dyDescent="0.3">
      <c r="A5" s="3" t="s">
        <v>38</v>
      </c>
      <c r="B5" s="3" t="s">
        <v>39</v>
      </c>
      <c r="C5" s="3" t="s">
        <v>40</v>
      </c>
      <c r="D5" s="3" t="s">
        <v>41</v>
      </c>
      <c r="E5" s="8"/>
      <c r="F5" s="9">
        <v>2020</v>
      </c>
      <c r="G5" s="3" t="s">
        <v>44</v>
      </c>
      <c r="H5" s="10">
        <f>AIA!C5</f>
        <v>0</v>
      </c>
      <c r="I5" s="10">
        <f>AIA!D5</f>
        <v>0</v>
      </c>
      <c r="J5" s="10">
        <f>AIA!E5</f>
        <v>0</v>
      </c>
      <c r="K5" s="10">
        <f>AIA!F5</f>
        <v>0</v>
      </c>
      <c r="L5" s="10">
        <f>AIA!G5</f>
        <v>0</v>
      </c>
      <c r="M5" s="10">
        <f>AIA!H5</f>
        <v>0</v>
      </c>
      <c r="N5" s="10">
        <f>AIA!I5</f>
        <v>0</v>
      </c>
      <c r="O5" s="10">
        <f>AIA!J5</f>
        <v>0</v>
      </c>
      <c r="P5" s="10">
        <f>AIA!K5</f>
        <v>0</v>
      </c>
      <c r="Q5" s="10">
        <f>AIA!L5</f>
        <v>0</v>
      </c>
      <c r="R5" s="10">
        <f>AIA!M5</f>
        <v>0</v>
      </c>
      <c r="S5" s="10">
        <f>AIA!N5</f>
        <v>0</v>
      </c>
      <c r="T5" s="14">
        <f>SUM(OI[[#This Row], [1]])</f>
        <v>0</v>
      </c>
      <c r="U5" s="14">
        <f>SUM(OI[[#This Row], [1]],OI[[#This Row], [2]])</f>
        <v>0</v>
      </c>
      <c r="V5" s="14">
        <f>SUM(OI[[#This Row], [1]],OI[[#This Row], [2]],OI[[#This Row], [3]])</f>
        <v>0</v>
      </c>
      <c r="W5" s="14">
        <f>SUM(OI[[#This Row], [1]],OI[[#This Row], [2]],OI[[#This Row], [3]],OI[[#This Row], [4]])</f>
        <v>0</v>
      </c>
      <c r="X5" s="14">
        <f>SUM(OI[[#This Row], [1]],OI[[#This Row], [2]],OI[[#This Row], [3]],OI[[#This Row], [4]],OI[[#This Row], [5]])</f>
        <v>0</v>
      </c>
      <c r="Y5" s="14">
        <f>SUM(OI[[#This Row], [1]],OI[[#This Row], [2]],OI[[#This Row], [3]],OI[[#This Row], [4]],OI[[#This Row], [5]],OI[[#This Row], [6]])</f>
        <v>0</v>
      </c>
      <c r="Z5" s="14">
        <f>SUM(OI[[#This Row], [1]],OI[[#This Row], [2]],OI[[#This Row], [3]],OI[[#This Row], [4]],OI[[#This Row], [5]],OI[[#This Row], [6]],OI[[#This Row], [7]])</f>
        <v>0</v>
      </c>
      <c r="AA5" s="14">
        <f>SUM(OI[[#This Row], [1]],OI[[#This Row], [2]],OI[[#This Row], [3]],OI[[#This Row], [4]],OI[[#This Row], [5]],OI[[#This Row], [6]],OI[[#This Row], [7]],OI[[#This Row], [8]])</f>
        <v>0</v>
      </c>
      <c r="AB5" s="14">
        <f>SUM(OI[[#This Row], [1]],OI[[#This Row], [2]],OI[[#This Row], [3]],OI[[#This Row], [4]],OI[[#This Row], [5]],OI[[#This Row], [6]],OI[[#This Row], [7]],OI[[#This Row], [8]],OI[[#This Row], [9]])</f>
        <v>0</v>
      </c>
      <c r="AC5" s="14">
        <f>SUM(OI[[#This Row], [1]],OI[[#This Row], [2]],OI[[#This Row], [3]],OI[[#This Row], [4]],OI[[#This Row], [5]],OI[[#This Row], [6]],OI[[#This Row], [7]],OI[[#This Row], [8]],OI[[#This Row], [9]],OI[[#This Row], [10]])</f>
        <v>0</v>
      </c>
      <c r="AD5" s="14">
        <f>SUM(OI[[#This Row], [1]],OI[[#This Row], [2]],OI[[#This Row], [3]],OI[[#This Row], [4]],OI[[#This Row], [5]],OI[[#This Row], [6]],OI[[#This Row], [7]],OI[[#This Row], [8]],OI[[#This Row], [9]],OI[[#This Row], [10]],OI[[#This Row], [11]])</f>
        <v>0</v>
      </c>
      <c r="AE5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0</v>
      </c>
      <c r="AF5" s="14">
        <f>SUM(OI[[#This Row], [1]],OI[[#This Row], [2]],OI[[#This Row], [3]])</f>
        <v>0</v>
      </c>
      <c r="AG5" s="14">
        <f>SUM(OI[[#This Row], [4]],OI[[#This Row], [5]],OI[[#This Row], [6]])</f>
        <v>0</v>
      </c>
      <c r="AH5" s="14">
        <f>SUM(OI[[#This Row], [7]],OI[[#This Row], [8]],OI[[#This Row], [9]])</f>
        <v>0</v>
      </c>
      <c r="AI5" s="14">
        <f>SUM(OI[[#This Row], [10]],OI[[#This Row], [11]],OI[[#This Row], [12]])</f>
        <v>0</v>
      </c>
      <c r="AJ5" s="14">
        <f>SUM(OI[[#This Row], [1]],OI[[#This Row], [2]],OI[[#This Row], [3]],OI[[#This Row], [4]],OI[[#This Row], [5]],OI[[#This Row], [6]])</f>
        <v>0</v>
      </c>
      <c r="AK5" s="15">
        <f>SUM(OI[[#This Row], [7]],OI[[#This Row], [8]],OI[[#This Row], [9]],OI[[#This Row], [10]],OI[[#This Row], [11]],OI[[#This Row], [12]])</f>
        <v>0</v>
      </c>
      <c r="AL5" s="11" t="str">
        <f t="shared" si="0"/>
        <v>HYFR</v>
      </c>
    </row>
    <row r="6" spans="1:38" ht="19.5" customHeight="1" x14ac:dyDescent="0.3">
      <c r="A6" s="3" t="s">
        <v>38</v>
      </c>
      <c r="B6" s="3" t="s">
        <v>39</v>
      </c>
      <c r="C6" s="3" t="s">
        <v>40</v>
      </c>
      <c r="D6" s="3" t="s">
        <v>45</v>
      </c>
      <c r="E6" s="8"/>
      <c r="F6" s="9">
        <v>2020</v>
      </c>
      <c r="G6" s="3" t="s">
        <v>42</v>
      </c>
      <c r="H6" s="10">
        <f>SUMIFS(Data!$AD:$AD,Data!$AC:$AC,"&gt;="&amp;DATE(OI[[#This Row], [YEAR]],H$1,1),Data!$AC:$AC,"&lt;="&amp;EOMONTH(DATE(OI[[#This Row], [YEAR]],H$1,1),0))</f>
        <v>0</v>
      </c>
      <c r="I6" s="10">
        <f>SUMIFS(Data!$AD:$AD,Data!$AC:$AC,"&gt;="&amp;DATE(OI[[#This Row], [YEAR]],I$1,1),Data!$AC:$AC,"&lt;="&amp;EOMONTH(DATE(OI[[#This Row], [YEAR]],I$1,1),0))</f>
        <v>0</v>
      </c>
      <c r="J6" s="10">
        <f>SUMIFS(Data!$AD:$AD,Data!$AC:$AC,"&gt;="&amp;DATE(OI[[#This Row], [YEAR]],J$1,1),Data!$AC:$AC,"&lt;="&amp;EOMONTH(DATE(OI[[#This Row], [YEAR]],J$1,1),0))</f>
        <v>0</v>
      </c>
      <c r="K6" s="10">
        <f>SUMIFS(Data!$AD:$AD,Data!$AC:$AC,"&gt;="&amp;DATE(OI[[#This Row], [YEAR]],K$1,1),Data!$AC:$AC,"&lt;="&amp;EOMONTH(DATE(OI[[#This Row], [YEAR]],K$1,1),0))</f>
        <v>0</v>
      </c>
      <c r="L6" s="10">
        <f>SUMIFS(Data!$AD:$AD,Data!$AC:$AC,"&gt;="&amp;DATE(OI[[#This Row], [YEAR]],L$1,1),Data!$AC:$AC,"&lt;="&amp;EOMONTH(DATE(OI[[#This Row], [YEAR]],L$1,1),0))</f>
        <v>0</v>
      </c>
      <c r="M6" s="10">
        <f>SUMIFS(Data!$AD:$AD,Data!$AC:$AC,"&gt;="&amp;DATE(OI[[#This Row], [YEAR]],M$1,1),Data!$AC:$AC,"&lt;="&amp;EOMONTH(DATE(OI[[#This Row], [YEAR]],M$1,1),0))</f>
        <v>0</v>
      </c>
      <c r="N6" s="10">
        <f>SUMIFS(Data!$AD:$AD,Data!$AC:$AC,"&gt;="&amp;DATE(OI[[#This Row], [YEAR]],N$1,1),Data!$AC:$AC,"&lt;="&amp;EOMONTH(DATE(OI[[#This Row], [YEAR]],N$1,1),0))</f>
        <v>0</v>
      </c>
      <c r="O6" s="10">
        <f>SUMIFS(Data!$AD:$AD,Data!$AC:$AC,"&gt;="&amp;DATE(OI[[#This Row], [YEAR]],O$1,1),Data!$AC:$AC,"&lt;="&amp;EOMONTH(DATE(OI[[#This Row], [YEAR]],O$1,1),0))</f>
        <v>0</v>
      </c>
      <c r="P6" s="10">
        <f>SUMIFS(Data!$AD:$AD,Data!$AC:$AC,"&gt;="&amp;DATE(OI[[#This Row], [YEAR]],P$1,1),Data!$AC:$AC,"&lt;="&amp;EOMONTH(DATE(OI[[#This Row], [YEAR]],P$1,1),0))</f>
        <v>0</v>
      </c>
      <c r="Q6" s="10">
        <f>SUMIFS(Data!$AD:$AD,Data!$AC:$AC,"&gt;="&amp;DATE(OI[[#This Row], [YEAR]],Q$1,1),Data!$AC:$AC,"&lt;="&amp;EOMONTH(DATE(OI[[#This Row], [YEAR]],Q$1,1),0))</f>
        <v>0</v>
      </c>
      <c r="R6" s="10">
        <f>SUMIFS(Data!$AD:$AD,Data!$AC:$AC,"&gt;="&amp;DATE(OI[[#This Row], [YEAR]],R$1,1),Data!$AC:$AC,"&lt;="&amp;EOMONTH(DATE(OI[[#This Row], [YEAR]],R$1,1),0))</f>
        <v>0</v>
      </c>
      <c r="S6" s="10">
        <f>SUMIFS(Data!$AD:$AD,Data!$AC:$AC,"&gt;="&amp;DATE(OI[[#This Row], [YEAR]],S$1,1),Data!$AC:$AC,"&lt;="&amp;EOMONTH(DATE(OI[[#This Row], [YEAR]],S$1,1),0))</f>
        <v>0</v>
      </c>
      <c r="T6" s="11">
        <f>SUM(OI[[#This Row], [1]])</f>
        <v>0</v>
      </c>
      <c r="U6" s="11">
        <f>SUM(OI[[#This Row], [1]],OI[[#This Row], [2]])</f>
        <v>0</v>
      </c>
      <c r="V6" s="11">
        <f>SUM(OI[[#This Row], [1]],OI[[#This Row], [2]],OI[[#This Row], [3]])</f>
        <v>0</v>
      </c>
      <c r="W6" s="11">
        <f>SUM(OI[[#This Row], [1]],OI[[#This Row], [2]],OI[[#This Row], [3]],OI[[#This Row], [4]])</f>
        <v>0</v>
      </c>
      <c r="X6" s="11">
        <f>SUM(OI[[#This Row], [1]],OI[[#This Row], [2]],OI[[#This Row], [3]],OI[[#This Row], [4]],OI[[#This Row], [5]])</f>
        <v>0</v>
      </c>
      <c r="Y6" s="11">
        <f>SUM(OI[[#This Row], [1]],OI[[#This Row], [2]],OI[[#This Row], [3]],OI[[#This Row], [4]],OI[[#This Row], [5]],OI[[#This Row], [6]])</f>
        <v>0</v>
      </c>
      <c r="Z6" s="11">
        <f>SUM(OI[[#This Row], [1]],OI[[#This Row], [2]],OI[[#This Row], [3]],OI[[#This Row], [4]],OI[[#This Row], [5]],OI[[#This Row], [6]],OI[[#This Row], [7]])</f>
        <v>0</v>
      </c>
      <c r="AA6" s="11">
        <f>SUM(OI[[#This Row], [1]],OI[[#This Row], [2]],OI[[#This Row], [3]],OI[[#This Row], [4]],OI[[#This Row], [5]],OI[[#This Row], [6]],OI[[#This Row], [7]],OI[[#This Row], [8]])</f>
        <v>0</v>
      </c>
      <c r="AB6" s="11">
        <f>SUM(OI[[#This Row], [1]],OI[[#This Row], [2]],OI[[#This Row], [3]],OI[[#This Row], [4]],OI[[#This Row], [5]],OI[[#This Row], [6]],OI[[#This Row], [7]],OI[[#This Row], [8]],OI[[#This Row], [9]])</f>
        <v>0</v>
      </c>
      <c r="AC6" s="11">
        <f>SUM(OI[[#This Row], [1]],OI[[#This Row], [2]],OI[[#This Row], [3]],OI[[#This Row], [4]],OI[[#This Row], [5]],OI[[#This Row], [6]],OI[[#This Row], [7]],OI[[#This Row], [8]],OI[[#This Row], [9]],OI[[#This Row], [10]])</f>
        <v>0</v>
      </c>
      <c r="AD6" s="11">
        <f>SUM(OI[[#This Row], [1]],OI[[#This Row], [2]],OI[[#This Row], [3]],OI[[#This Row], [4]],OI[[#This Row], [5]],OI[[#This Row], [6]],OI[[#This Row], [7]],OI[[#This Row], [8]],OI[[#This Row], [9]],OI[[#This Row], [10]],OI[[#This Row], [11]])</f>
        <v>0</v>
      </c>
      <c r="AE6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0</v>
      </c>
      <c r="AF6" s="11">
        <f>SUM(OI[[#This Row], [1]],OI[[#This Row], [2]],OI[[#This Row], [3]])</f>
        <v>0</v>
      </c>
      <c r="AG6" s="11">
        <f>SUM(OI[[#This Row], [4]],OI[[#This Row], [5]],OI[[#This Row], [6]])</f>
        <v>0</v>
      </c>
      <c r="AH6" s="11">
        <f>SUM(OI[[#This Row], [7]],OI[[#This Row], [8]],OI[[#This Row], [9]])</f>
        <v>0</v>
      </c>
      <c r="AI6" s="11">
        <f>SUM(OI[[#This Row], [10]],OI[[#This Row], [11]],OI[[#This Row], [12]])</f>
        <v>0</v>
      </c>
      <c r="AJ6" s="11">
        <f>SUM(OI[[#This Row], [1]],OI[[#This Row], [2]],OI[[#This Row], [3]],OI[[#This Row], [4]],OI[[#This Row], [5]],OI[[#This Row], [6]])</f>
        <v>0</v>
      </c>
      <c r="AK6" s="12">
        <f>SUM(OI[[#This Row], [7]],OI[[#This Row], [8]],OI[[#This Row], [9]],OI[[#This Row], [10]],OI[[#This Row], [11]],OI[[#This Row], [12]])</f>
        <v>0</v>
      </c>
      <c r="AL6" s="11" t="str">
        <f t="shared" si="0"/>
        <v>HYFR</v>
      </c>
    </row>
    <row r="7" spans="1:38" ht="19.5" customHeight="1" x14ac:dyDescent="0.3">
      <c r="A7" s="3" t="s">
        <v>38</v>
      </c>
      <c r="B7" s="3" t="s">
        <v>39</v>
      </c>
      <c r="C7" s="3" t="s">
        <v>40</v>
      </c>
      <c r="D7" s="3" t="s">
        <v>45</v>
      </c>
      <c r="E7" s="8"/>
      <c r="F7" s="9">
        <v>2020</v>
      </c>
      <c r="G7" s="3" t="s">
        <v>42</v>
      </c>
      <c r="H7" s="10">
        <f>SUMIFS(Data!$AD:$AD,Data!$AC:$AC,"&gt;="&amp;DATE(OI[[#This Row], [YEAR]],H$1,1),Data!$AC:$AC,"&lt;="&amp;EOMONTH(DATE(OI[[#This Row], [YEAR]],H$1,1),0),Data!$G:$G,"*HYDRO*")</f>
        <v>0</v>
      </c>
      <c r="I7" s="10">
        <f>SUMIFS(Data!$AD:$AD,Data!$AC:$AC,"&gt;="&amp;DATE(OI[[#This Row], [PG]],I$1,1),Data!$AC:$AC,"&lt;="&amp;EOMONTH(DATE(OI[[#This Row], [PG]],I$1,1),0),Data!$G:$G,"*HYDRO*")</f>
        <v>0</v>
      </c>
      <c r="J7" s="10">
        <f>SUMIFS(Data!$AD:$AD,Data!$AC:$AC,"&gt;="&amp;DATE(OI[[#This Row], [1]],J$1,1),Data!$AC:$AC,"&lt;="&amp;EOMONTH(DATE(OI[[#This Row], [1]],J$1,1),0),Data!$G:$G,"*HYDRO*")</f>
        <v>0</v>
      </c>
      <c r="K7" s="10">
        <f>SUMIFS(Data!$AD:$AD,Data!$AC:$AC,"&gt;="&amp;DATE(OI[[#This Row], [2]],K$1,1),Data!$AC:$AC,"&lt;="&amp;EOMONTH(DATE(OI[[#This Row], [2]],K$1,1),0),Data!$G:$G,"*HYDRO*")</f>
        <v>0</v>
      </c>
      <c r="L7" s="10">
        <f>SUMIFS(Data!$AD:$AD,Data!$AC:$AC,"&gt;="&amp;DATE(OI[[#This Row], [3]],L$1,1),Data!$AC:$AC,"&lt;="&amp;EOMONTH(DATE(OI[[#This Row], [3]],L$1,1),0),Data!$G:$G,"*HYDRO*")</f>
        <v>0</v>
      </c>
      <c r="M7" s="10">
        <f>SUMIFS(Data!$AD:$AD,Data!$AC:$AC,"&gt;="&amp;DATE(OI[[#This Row], [4]],M$1,1),Data!$AC:$AC,"&lt;="&amp;EOMONTH(DATE(OI[[#This Row], [4]],M$1,1),0),Data!$G:$G,"*HYDRO*")</f>
        <v>0</v>
      </c>
      <c r="N7" s="10">
        <f>SUMIFS(Data!$AD:$AD,Data!$AC:$AC,"&gt;="&amp;DATE(OI[[#This Row], [5]],N$1,1),Data!$AC:$AC,"&lt;="&amp;EOMONTH(DATE(OI[[#This Row], [5]],N$1,1),0),Data!$G:$G,"*HYDRO*")</f>
        <v>0</v>
      </c>
      <c r="O7" s="10">
        <f>SUMIFS(Data!$AD:$AD,Data!$AC:$AC,"&gt;="&amp;DATE(OI[[#This Row], [6]],O$1,1),Data!$AC:$AC,"&lt;="&amp;EOMONTH(DATE(OI[[#This Row], [6]],O$1,1),0),Data!$G:$G,"*HYDRO*")</f>
        <v>0</v>
      </c>
      <c r="P7" s="10">
        <f>SUMIFS(Data!$AD:$AD,Data!$AC:$AC,"&gt;="&amp;DATE(OI[[#This Row], [7]],P$1,1),Data!$AC:$AC,"&lt;="&amp;EOMONTH(DATE(OI[[#This Row], [7]],P$1,1),0),Data!$G:$G,"*HYDRO*")</f>
        <v>0</v>
      </c>
      <c r="Q7" s="10">
        <f>SUMIFS(Data!$AD:$AD,Data!$AC:$AC,"&gt;="&amp;DATE(OI[[#This Row], [8]],Q$1,1),Data!$AC:$AC,"&lt;="&amp;EOMONTH(DATE(OI[[#This Row], [8]],Q$1,1),0),Data!$G:$G,"*HYDRO*")</f>
        <v>0</v>
      </c>
      <c r="R7" s="10">
        <f>SUMIFS(Data!$AD:$AD,Data!$AC:$AC,"&gt;="&amp;DATE(OI[[#This Row], [9]],R$1,1),Data!$AC:$AC,"&lt;="&amp;EOMONTH(DATE(OI[[#This Row], [9]],R$1,1),0),Data!$G:$G,"*HYDRO*")</f>
        <v>0</v>
      </c>
      <c r="S7" s="10">
        <f>SUMIFS(Data!$AD:$AD,Data!$AC:$AC,"&gt;="&amp;DATE(OI[[#This Row], [10]],S$1,1),Data!$AC:$AC,"&lt;="&amp;EOMONTH(DATE(OI[[#This Row], [10]],S$1,1),0),Data!$G:$G,"*HYDRO*")</f>
        <v>0</v>
      </c>
      <c r="T7" s="11">
        <f>SUM(OI[[#This Row], [1]])</f>
        <v>0</v>
      </c>
      <c r="U7" s="11">
        <f>SUM(OI[[#This Row], [1]],OI[[#This Row], [2]])</f>
        <v>0</v>
      </c>
      <c r="V7" s="11">
        <f>SUM(OI[[#This Row], [1]],OI[[#This Row], [2]],OI[[#This Row], [3]])</f>
        <v>0</v>
      </c>
      <c r="W7" s="11">
        <f>SUM(OI[[#This Row], [1]],OI[[#This Row], [2]],OI[[#This Row], [3]],OI[[#This Row], [4]])</f>
        <v>0</v>
      </c>
      <c r="X7" s="11">
        <f>SUM(OI[[#This Row], [1]],OI[[#This Row], [2]],OI[[#This Row], [3]],OI[[#This Row], [4]],OI[[#This Row], [5]])</f>
        <v>0</v>
      </c>
      <c r="Y7" s="11">
        <f>SUM(OI[[#This Row], [1]],OI[[#This Row], [2]],OI[[#This Row], [3]],OI[[#This Row], [4]],OI[[#This Row], [5]],OI[[#This Row], [6]])</f>
        <v>0</v>
      </c>
      <c r="Z7" s="11">
        <f>SUM(OI[[#This Row], [1]],OI[[#This Row], [2]],OI[[#This Row], [3]],OI[[#This Row], [4]],OI[[#This Row], [5]],OI[[#This Row], [6]],OI[[#This Row], [7]])</f>
        <v>0</v>
      </c>
      <c r="AA7" s="11">
        <f>SUM(OI[[#This Row], [1]],OI[[#This Row], [2]],OI[[#This Row], [3]],OI[[#This Row], [4]],OI[[#This Row], [5]],OI[[#This Row], [6]],OI[[#This Row], [7]],OI[[#This Row], [8]])</f>
        <v>0</v>
      </c>
      <c r="AB7" s="11">
        <f>SUM(OI[[#This Row], [1]],OI[[#This Row], [2]],OI[[#This Row], [3]],OI[[#This Row], [4]],OI[[#This Row], [5]],OI[[#This Row], [6]],OI[[#This Row], [7]],OI[[#This Row], [8]],OI[[#This Row], [9]])</f>
        <v>0</v>
      </c>
      <c r="AC7" s="11">
        <f>SUM(OI[[#This Row], [1]],OI[[#This Row], [2]],OI[[#This Row], [3]],OI[[#This Row], [4]],OI[[#This Row], [5]],OI[[#This Row], [6]],OI[[#This Row], [7]],OI[[#This Row], [8]],OI[[#This Row], [9]],OI[[#This Row], [10]])</f>
        <v>0</v>
      </c>
      <c r="AD7" s="11">
        <f>SUM(OI[[#This Row], [1]],OI[[#This Row], [2]],OI[[#This Row], [3]],OI[[#This Row], [4]],OI[[#This Row], [5]],OI[[#This Row], [6]],OI[[#This Row], [7]],OI[[#This Row], [8]],OI[[#This Row], [9]],OI[[#This Row], [10]],OI[[#This Row], [11]])</f>
        <v>0</v>
      </c>
      <c r="AE7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0</v>
      </c>
      <c r="AF7" s="11">
        <f>SUM(OI[[#This Row], [1]],OI[[#This Row], [2]],OI[[#This Row], [3]])</f>
        <v>0</v>
      </c>
      <c r="AG7" s="11">
        <f>SUM(OI[[#This Row], [4]],OI[[#This Row], [5]],OI[[#This Row], [6]])</f>
        <v>0</v>
      </c>
      <c r="AH7" s="11">
        <f>SUM(OI[[#This Row], [7]],OI[[#This Row], [8]],OI[[#This Row], [9]])</f>
        <v>0</v>
      </c>
      <c r="AI7" s="11">
        <f>SUM(OI[[#This Row], [10]],OI[[#This Row], [11]],OI[[#This Row], [12]])</f>
        <v>0</v>
      </c>
      <c r="AJ7" s="11">
        <f>SUM(OI[[#This Row], [1]],OI[[#This Row], [2]],OI[[#This Row], [3]],OI[[#This Row], [4]],OI[[#This Row], [5]],OI[[#This Row], [6]])</f>
        <v>0</v>
      </c>
      <c r="AK7" s="12">
        <f>SUM(OI[[#This Row], [7]],OI[[#This Row], [8]],OI[[#This Row], [9]],OI[[#This Row], [10]],OI[[#This Row], [11]],OI[[#This Row], [12]])</f>
        <v>0</v>
      </c>
      <c r="AL7" s="11" t="str">
        <f t="shared" si="0"/>
        <v>HYFR</v>
      </c>
    </row>
    <row r="8" spans="1:38" ht="19.5" customHeight="1" x14ac:dyDescent="0.3">
      <c r="A8" s="3" t="s">
        <v>38</v>
      </c>
      <c r="B8" s="3" t="s">
        <v>39</v>
      </c>
      <c r="C8" s="3" t="s">
        <v>40</v>
      </c>
      <c r="D8" s="3" t="s">
        <v>45</v>
      </c>
      <c r="E8" s="8"/>
      <c r="F8" s="9">
        <v>2020</v>
      </c>
      <c r="G8" s="3" t="s">
        <v>43</v>
      </c>
      <c r="H8" s="10">
        <f>AIA!C6</f>
        <v>46405</v>
      </c>
      <c r="I8" s="10">
        <f>AIA!D6</f>
        <v>46405</v>
      </c>
      <c r="J8" s="10">
        <f>AIA!E6</f>
        <v>46405</v>
      </c>
      <c r="K8" s="10">
        <f>AIA!F6</f>
        <v>46405</v>
      </c>
      <c r="L8" s="10">
        <f>AIA!G6</f>
        <v>46405</v>
      </c>
      <c r="M8" s="10">
        <f>AIA!H6</f>
        <v>46405</v>
      </c>
      <c r="N8" s="10">
        <f>AIA!I6</f>
        <v>46405</v>
      </c>
      <c r="O8" s="10">
        <f>AIA!J6</f>
        <v>46405</v>
      </c>
      <c r="P8" s="10">
        <f>AIA!K6</f>
        <v>46405</v>
      </c>
      <c r="Q8" s="10">
        <f>AIA!L6</f>
        <v>46405</v>
      </c>
      <c r="R8" s="10">
        <f>AIA!M6</f>
        <v>46405</v>
      </c>
      <c r="S8" s="10">
        <f>AIA!N6</f>
        <v>46405</v>
      </c>
      <c r="T8" s="11">
        <f>SUM(OI[[#This Row], [1]])</f>
        <v>46405</v>
      </c>
      <c r="U8" s="11">
        <f>SUM(OI[[#This Row], [1]],OI[[#This Row], [2]])</f>
        <v>92810</v>
      </c>
      <c r="V8" s="11">
        <f>SUM(OI[[#This Row], [1]],OI[[#This Row], [2]],OI[[#This Row], [3]])</f>
        <v>139215</v>
      </c>
      <c r="W8" s="11">
        <f>SUM(OI[[#This Row], [1]],OI[[#This Row], [2]],OI[[#This Row], [3]],OI[[#This Row], [4]])</f>
        <v>185620</v>
      </c>
      <c r="X8" s="11">
        <f>SUM(OI[[#This Row], [1]],OI[[#This Row], [2]],OI[[#This Row], [3]],OI[[#This Row], [4]],OI[[#This Row], [5]])</f>
        <v>232025</v>
      </c>
      <c r="Y8" s="11">
        <f>SUM(OI[[#This Row], [1]],OI[[#This Row], [2]],OI[[#This Row], [3]],OI[[#This Row], [4]],OI[[#This Row], [5]],OI[[#This Row], [6]])</f>
        <v>278430</v>
      </c>
      <c r="Z8" s="11">
        <f>SUM(OI[[#This Row], [1]],OI[[#This Row], [2]],OI[[#This Row], [3]],OI[[#This Row], [4]],OI[[#This Row], [5]],OI[[#This Row], [6]],OI[[#This Row], [7]])</f>
        <v>324835</v>
      </c>
      <c r="AA8" s="11">
        <f>SUM(OI[[#This Row], [1]],OI[[#This Row], [2]],OI[[#This Row], [3]],OI[[#This Row], [4]],OI[[#This Row], [5]],OI[[#This Row], [6]],OI[[#This Row], [7]],OI[[#This Row], [8]])</f>
        <v>371240</v>
      </c>
      <c r="AB8" s="11">
        <f>SUM(OI[[#This Row], [1]],OI[[#This Row], [2]],OI[[#This Row], [3]],OI[[#This Row], [4]],OI[[#This Row], [5]],OI[[#This Row], [6]],OI[[#This Row], [7]],OI[[#This Row], [8]],OI[[#This Row], [9]])</f>
        <v>417645</v>
      </c>
      <c r="AC8" s="11">
        <f>SUM(OI[[#This Row], [1]],OI[[#This Row], [2]],OI[[#This Row], [3]],OI[[#This Row], [4]],OI[[#This Row], [5]],OI[[#This Row], [6]],OI[[#This Row], [7]],OI[[#This Row], [8]],OI[[#This Row], [9]],OI[[#This Row], [10]])</f>
        <v>464050</v>
      </c>
      <c r="AD8" s="11">
        <f>SUM(OI[[#This Row], [1]],OI[[#This Row], [2]],OI[[#This Row], [3]],OI[[#This Row], [4]],OI[[#This Row], [5]],OI[[#This Row], [6]],OI[[#This Row], [7]],OI[[#This Row], [8]],OI[[#This Row], [9]],OI[[#This Row], [10]],OI[[#This Row], [11]])</f>
        <v>510455</v>
      </c>
      <c r="AE8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556860</v>
      </c>
      <c r="AF8" s="11">
        <f>SUM(OI[[#This Row], [1]],OI[[#This Row], [2]],OI[[#This Row], [3]])</f>
        <v>139215</v>
      </c>
      <c r="AG8" s="11">
        <f>SUM(OI[[#This Row], [4]],OI[[#This Row], [5]],OI[[#This Row], [6]])</f>
        <v>139215</v>
      </c>
      <c r="AH8" s="11">
        <f>SUM(OI[[#This Row], [7]],OI[[#This Row], [8]],OI[[#This Row], [9]])</f>
        <v>139215</v>
      </c>
      <c r="AI8" s="11">
        <f>SUM(OI[[#This Row], [10]],OI[[#This Row], [11]],OI[[#This Row], [12]])</f>
        <v>139215</v>
      </c>
      <c r="AJ8" s="11">
        <f>SUM(OI[[#This Row], [1]],OI[[#This Row], [2]],OI[[#This Row], [3]],OI[[#This Row], [4]],OI[[#This Row], [5]],OI[[#This Row], [6]])</f>
        <v>278430</v>
      </c>
      <c r="AK8" s="12">
        <f>SUM(OI[[#This Row], [7]],OI[[#This Row], [8]],OI[[#This Row], [9]],OI[[#This Row], [10]],OI[[#This Row], [11]],OI[[#This Row], [12]])</f>
        <v>278430</v>
      </c>
      <c r="AL8" s="11" t="str">
        <f t="shared" si="0"/>
        <v>HYFR</v>
      </c>
    </row>
    <row r="9" spans="1:38" ht="19.5" customHeight="1" x14ac:dyDescent="0.3">
      <c r="A9" s="3" t="s">
        <v>38</v>
      </c>
      <c r="B9" s="3" t="s">
        <v>39</v>
      </c>
      <c r="C9" s="3" t="s">
        <v>40</v>
      </c>
      <c r="D9" s="3" t="s">
        <v>45</v>
      </c>
      <c r="E9" s="8"/>
      <c r="F9" s="9">
        <v>2020</v>
      </c>
      <c r="G9" s="3" t="s">
        <v>44</v>
      </c>
      <c r="H9" s="10">
        <f>AIA!C7</f>
        <v>0</v>
      </c>
      <c r="I9" s="10">
        <f>AIA!D7</f>
        <v>0</v>
      </c>
      <c r="J9" s="10">
        <f>AIA!E7</f>
        <v>0</v>
      </c>
      <c r="K9" s="10">
        <f>AIA!F7</f>
        <v>0</v>
      </c>
      <c r="L9" s="10">
        <f>AIA!G7</f>
        <v>0</v>
      </c>
      <c r="M9" s="10">
        <f>AIA!H7</f>
        <v>0</v>
      </c>
      <c r="N9" s="10">
        <f>AIA!I7</f>
        <v>0</v>
      </c>
      <c r="O9" s="10">
        <f>AIA!J7</f>
        <v>0</v>
      </c>
      <c r="P9" s="10">
        <f>AIA!K7</f>
        <v>46405</v>
      </c>
      <c r="Q9" s="10">
        <f>AIA!L7</f>
        <v>0</v>
      </c>
      <c r="R9" s="10">
        <f>AIA!M7</f>
        <v>0</v>
      </c>
      <c r="S9" s="10">
        <f>AIA!N7</f>
        <v>0</v>
      </c>
      <c r="T9" s="14">
        <f>SUM(OI[[#This Row], [1]])</f>
        <v>0</v>
      </c>
      <c r="U9" s="14">
        <f>SUM(OI[[#This Row], [1]],OI[[#This Row], [2]])</f>
        <v>0</v>
      </c>
      <c r="V9" s="14">
        <f>SUM(OI[[#This Row], [1]],OI[[#This Row], [2]],OI[[#This Row], [3]])</f>
        <v>0</v>
      </c>
      <c r="W9" s="14">
        <f>SUM(OI[[#This Row], [1]],OI[[#This Row], [2]],OI[[#This Row], [3]],OI[[#This Row], [4]])</f>
        <v>0</v>
      </c>
      <c r="X9" s="14">
        <f>SUM(OI[[#This Row], [1]],OI[[#This Row], [2]],OI[[#This Row], [3]],OI[[#This Row], [4]],OI[[#This Row], [5]])</f>
        <v>0</v>
      </c>
      <c r="Y9" s="14">
        <f>SUM(OI[[#This Row], [1]],OI[[#This Row], [2]],OI[[#This Row], [3]],OI[[#This Row], [4]],OI[[#This Row], [5]],OI[[#This Row], [6]])</f>
        <v>0</v>
      </c>
      <c r="Z9" s="14">
        <f>SUM(OI[[#This Row], [1]],OI[[#This Row], [2]],OI[[#This Row], [3]],OI[[#This Row], [4]],OI[[#This Row], [5]],OI[[#This Row], [6]],OI[[#This Row], [7]])</f>
        <v>0</v>
      </c>
      <c r="AA9" s="14">
        <f>SUM(OI[[#This Row], [1]],OI[[#This Row], [2]],OI[[#This Row], [3]],OI[[#This Row], [4]],OI[[#This Row], [5]],OI[[#This Row], [6]],OI[[#This Row], [7]],OI[[#This Row], [8]])</f>
        <v>0</v>
      </c>
      <c r="AB9" s="14">
        <f>SUM(OI[[#This Row], [1]],OI[[#This Row], [2]],OI[[#This Row], [3]],OI[[#This Row], [4]],OI[[#This Row], [5]],OI[[#This Row], [6]],OI[[#This Row], [7]],OI[[#This Row], [8]],OI[[#This Row], [9]])</f>
        <v>46405</v>
      </c>
      <c r="AC9" s="14">
        <f>SUM(OI[[#This Row], [1]],OI[[#This Row], [2]],OI[[#This Row], [3]],OI[[#This Row], [4]],OI[[#This Row], [5]],OI[[#This Row], [6]],OI[[#This Row], [7]],OI[[#This Row], [8]],OI[[#This Row], [9]],OI[[#This Row], [10]])</f>
        <v>46405</v>
      </c>
      <c r="AD9" s="14">
        <f>SUM(OI[[#This Row], [1]],OI[[#This Row], [2]],OI[[#This Row], [3]],OI[[#This Row], [4]],OI[[#This Row], [5]],OI[[#This Row], [6]],OI[[#This Row], [7]],OI[[#This Row], [8]],OI[[#This Row], [9]],OI[[#This Row], [10]],OI[[#This Row], [11]])</f>
        <v>46405</v>
      </c>
      <c r="AE9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46405</v>
      </c>
      <c r="AF9" s="14">
        <f>SUM(OI[[#This Row], [1]],OI[[#This Row], [2]],OI[[#This Row], [3]])</f>
        <v>0</v>
      </c>
      <c r="AG9" s="14">
        <f>SUM(OI[[#This Row], [4]],OI[[#This Row], [5]],OI[[#This Row], [6]])</f>
        <v>0</v>
      </c>
      <c r="AH9" s="14">
        <f>SUM(OI[[#This Row], [7]],OI[[#This Row], [8]],OI[[#This Row], [9]])</f>
        <v>46405</v>
      </c>
      <c r="AI9" s="14">
        <f>SUM(OI[[#This Row], [10]],OI[[#This Row], [11]],OI[[#This Row], [12]])</f>
        <v>0</v>
      </c>
      <c r="AJ9" s="14">
        <f>SUM(OI[[#This Row], [1]],OI[[#This Row], [2]],OI[[#This Row], [3]],OI[[#This Row], [4]],OI[[#This Row], [5]],OI[[#This Row], [6]])</f>
        <v>0</v>
      </c>
      <c r="AK9" s="15">
        <f>SUM(OI[[#This Row], [7]],OI[[#This Row], [8]],OI[[#This Row], [9]],OI[[#This Row], [10]],OI[[#This Row], [11]],OI[[#This Row], [12]])</f>
        <v>46405</v>
      </c>
      <c r="AL9" s="11" t="str">
        <f t="shared" si="0"/>
        <v>HYFR</v>
      </c>
    </row>
    <row r="10" spans="1:38" ht="19.5" customHeight="1" x14ac:dyDescent="0.3">
      <c r="A10" s="3" t="s">
        <v>38</v>
      </c>
      <c r="B10" s="3" t="s">
        <v>39</v>
      </c>
      <c r="C10" s="3" t="s">
        <v>40</v>
      </c>
      <c r="D10" s="3" t="s">
        <v>46</v>
      </c>
      <c r="E10" s="8"/>
      <c r="F10" s="8">
        <f>RIGHT(AIA!B1,4)*1</f>
        <v>2020</v>
      </c>
      <c r="G10" s="3" t="s">
        <v>42</v>
      </c>
      <c r="H10" s="10">
        <f>IF(OI[[#This Row], [YEAR]]&lt;&gt;2020,"",SUMIFS(Data!$S:$S,Data!$Q:$Q,"&lt;"&amp;DATE(OI[[#This Row], [YEAR]],1,1))+H2-H6)</f>
        <v>238581</v>
      </c>
      <c r="I10" s="10" t="str">
        <f>IF(OI[[#This Row], [PG]]&lt;&gt;2020,"",SUMIFS(Data!$S:$S,Data!$Q:$Q,"&lt;"&amp;DATE(OI[[#This Row], [PG]],1,1))+I2-I6)</f>
        <v/>
      </c>
      <c r="J10" s="10" t="str">
        <f>IF(OI[[#This Row], [1]]&lt;&gt;2020,"",SUMIFS(Data!$S:$S,Data!$Q:$Q,"&lt;"&amp;DATE(OI[[#This Row], [1]],1,1))+J2-J6)</f>
        <v/>
      </c>
      <c r="K10" s="10" t="str">
        <f>IF(OI[[#This Row], [2]]&lt;&gt;2020,"",SUMIFS(Data!$S:$S,Data!$Q:$Q,"&lt;"&amp;DATE(OI[[#This Row], [2]],1,1))+K2-K6)</f>
        <v/>
      </c>
      <c r="L10" s="10" t="str">
        <f>IF(OI[[#This Row], [3]]&lt;&gt;2020,"",SUMIFS(Data!$S:$S,Data!$Q:$Q,"&lt;"&amp;DATE(OI[[#This Row], [3]],1,1))+L2-L6)</f>
        <v/>
      </c>
      <c r="M10" s="10" t="str">
        <f>IF(OI[[#This Row], [4]]&lt;&gt;2020,"",SUMIFS(Data!$S:$S,Data!$Q:$Q,"&lt;"&amp;DATE(OI[[#This Row], [4]],1,1))+M2-M6)</f>
        <v/>
      </c>
      <c r="N10" s="10" t="str">
        <f>IF(OI[[#This Row], [5]]&lt;&gt;2020,"",SUMIFS(Data!$S:$S,Data!$Q:$Q,"&lt;"&amp;DATE(OI[[#This Row], [5]],1,1))+N2-N6)</f>
        <v/>
      </c>
      <c r="O10" s="10" t="str">
        <f>IF(OI[[#This Row], [6]]&lt;&gt;2020,"",SUMIFS(Data!$S:$S,Data!$Q:$Q,"&lt;"&amp;DATE(OI[[#This Row], [6]],1,1))+O2-O6)</f>
        <v/>
      </c>
      <c r="P10" s="10" t="str">
        <f>IF(OI[[#This Row], [7]]&lt;&gt;2020,"",SUMIFS(Data!$S:$S,Data!$Q:$Q,"&lt;"&amp;DATE(OI[[#This Row], [7]],1,1))+P2-P6)</f>
        <v/>
      </c>
      <c r="Q10" s="10" t="str">
        <f>IF(OI[[#This Row], [8]]&lt;&gt;2020,"",SUMIFS(Data!$S:$S,Data!$Q:$Q,"&lt;"&amp;DATE(OI[[#This Row], [8]],1,1))+Q2-Q6)</f>
        <v/>
      </c>
      <c r="R10" s="10" t="str">
        <f>IF(OI[[#This Row], [9]]&lt;&gt;2020,"",SUMIFS(Data!$S:$S,Data!$Q:$Q,"&lt;"&amp;DATE(OI[[#This Row], [9]],1,1))+R2-R6)</f>
        <v/>
      </c>
      <c r="S10" s="10" t="str">
        <f>IF(OI[[#This Row], [10]]&lt;&gt;2020,"",SUMIFS(Data!$S:$S,Data!$Q:$Q,"&lt;"&amp;DATE(OI[[#This Row], [10]],1,1))+S2-S6)</f>
        <v/>
      </c>
      <c r="T10" s="11">
        <f>SUM(OI[[#This Row], [1]])</f>
        <v>238581</v>
      </c>
      <c r="U10" s="11">
        <f>SUM(OI[[#This Row], [1]],OI[[#This Row], [2]])</f>
        <v>238581</v>
      </c>
      <c r="V10" s="11">
        <f>SUM(OI[[#This Row], [1]],OI[[#This Row], [2]],OI[[#This Row], [3]])</f>
        <v>238581</v>
      </c>
      <c r="W10" s="11">
        <f>SUM(OI[[#This Row], [1]],OI[[#This Row], [2]],OI[[#This Row], [3]],OI[[#This Row], [4]])</f>
        <v>238581</v>
      </c>
      <c r="X10" s="11">
        <f>SUM(OI[[#This Row], [1]],OI[[#This Row], [2]],OI[[#This Row], [3]],OI[[#This Row], [4]],OI[[#This Row], [5]])</f>
        <v>238581</v>
      </c>
      <c r="Y10" s="11">
        <f>SUM(OI[[#This Row], [1]],OI[[#This Row], [2]],OI[[#This Row], [3]],OI[[#This Row], [4]],OI[[#This Row], [5]],OI[[#This Row], [6]])</f>
        <v>238581</v>
      </c>
      <c r="Z10" s="11">
        <f>SUM(OI[[#This Row], [1]],OI[[#This Row], [2]],OI[[#This Row], [3]],OI[[#This Row], [4]],OI[[#This Row], [5]],OI[[#This Row], [6]],OI[[#This Row], [7]])</f>
        <v>238581</v>
      </c>
      <c r="AA10" s="11">
        <f>SUM(OI[[#This Row], [1]],OI[[#This Row], [2]],OI[[#This Row], [3]],OI[[#This Row], [4]],OI[[#This Row], [5]],OI[[#This Row], [6]],OI[[#This Row], [7]],OI[[#This Row], [8]])</f>
        <v>238581</v>
      </c>
      <c r="AB10" s="11">
        <f>SUM(OI[[#This Row], [1]],OI[[#This Row], [2]],OI[[#This Row], [3]],OI[[#This Row], [4]],OI[[#This Row], [5]],OI[[#This Row], [6]],OI[[#This Row], [7]],OI[[#This Row], [8]],OI[[#This Row], [9]])</f>
        <v>238581</v>
      </c>
      <c r="AC10" s="11">
        <f>SUM(OI[[#This Row], [1]],OI[[#This Row], [2]],OI[[#This Row], [3]],OI[[#This Row], [4]],OI[[#This Row], [5]],OI[[#This Row], [6]],OI[[#This Row], [7]],OI[[#This Row], [8]],OI[[#This Row], [9]],OI[[#This Row], [10]])</f>
        <v>238581</v>
      </c>
      <c r="AD10" s="11">
        <f>SUM(OI[[#This Row], [1]],OI[[#This Row], [2]],OI[[#This Row], [3]],OI[[#This Row], [4]],OI[[#This Row], [5]],OI[[#This Row], [6]],OI[[#This Row], [7]],OI[[#This Row], [8]],OI[[#This Row], [9]],OI[[#This Row], [10]],OI[[#This Row], [11]])</f>
        <v>238581</v>
      </c>
      <c r="AE10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238581</v>
      </c>
      <c r="AF10" s="11">
        <f>SUM(OI[[#This Row], [1]],OI[[#This Row], [2]],OI[[#This Row], [3]])</f>
        <v>238581</v>
      </c>
      <c r="AG10" s="11">
        <f>SUM(OI[[#This Row], [4]],OI[[#This Row], [5]],OI[[#This Row], [6]])</f>
        <v>0</v>
      </c>
      <c r="AH10" s="11">
        <f>SUM(OI[[#This Row], [7]],OI[[#This Row], [8]],OI[[#This Row], [9]])</f>
        <v>0</v>
      </c>
      <c r="AI10" s="11">
        <f>SUM(OI[[#This Row], [10]],OI[[#This Row], [11]],OI[[#This Row], [12]])</f>
        <v>0</v>
      </c>
      <c r="AJ10" s="11">
        <f>SUM(OI[[#This Row], [1]],OI[[#This Row], [2]],OI[[#This Row], [3]],OI[[#This Row], [4]],OI[[#This Row], [5]],OI[[#This Row], [6]])</f>
        <v>238581</v>
      </c>
      <c r="AK10" s="12">
        <f>SUM(OI[[#This Row], [7]],OI[[#This Row], [8]],OI[[#This Row], [9]],OI[[#This Row], [10]],OI[[#This Row], [11]],OI[[#This Row], [12]])</f>
        <v>0</v>
      </c>
      <c r="AL10" s="11" t="str">
        <f t="shared" si="0"/>
        <v>HYFR</v>
      </c>
    </row>
    <row r="11" spans="1:38" ht="19.5" customHeight="1" x14ac:dyDescent="0.3">
      <c r="A11" s="3" t="s">
        <v>38</v>
      </c>
      <c r="B11" s="3" t="s">
        <v>39</v>
      </c>
      <c r="C11" s="3" t="s">
        <v>40</v>
      </c>
      <c r="D11" s="3" t="s">
        <v>46</v>
      </c>
      <c r="E11" s="8"/>
      <c r="F11" s="8">
        <f>RIGHT(AIA!B1,4)*1</f>
        <v>2020</v>
      </c>
      <c r="G11" s="3" t="s">
        <v>43</v>
      </c>
      <c r="H11" s="10">
        <f>IF(OI[[#This Row], [YEAR]]&lt;&gt;2020,"",AIA!$B$4+H4-H8)</f>
        <v>25800</v>
      </c>
      <c r="I11" s="10" t="str">
        <f>IF(OI[[#This Row], [PG]]&lt;&gt;2020,"",AIA!$B$4+I4-I8)</f>
        <v/>
      </c>
      <c r="J11" s="10" t="str">
        <f>IF(OI[[#This Row], [1]]&lt;&gt;2020,"",AIA!$B$4+J4-J8)</f>
        <v/>
      </c>
      <c r="K11" s="10" t="str">
        <f>IF(OI[[#This Row], [2]]&lt;&gt;2020,"",AIA!$B$4+K4-K8)</f>
        <v/>
      </c>
      <c r="L11" s="10" t="str">
        <f>IF(OI[[#This Row], [3]]&lt;&gt;2020,"",AIA!$B$4+L4-L8)</f>
        <v/>
      </c>
      <c r="M11" s="10" t="str">
        <f>IF(OI[[#This Row], [4]]&lt;&gt;2020,"",AIA!$B$4+M4-M8)</f>
        <v/>
      </c>
      <c r="N11" s="10" t="str">
        <f>IF(OI[[#This Row], [5]]&lt;&gt;2020,"",AIA!$B$4+N4-N8)</f>
        <v/>
      </c>
      <c r="O11" s="10" t="str">
        <f>IF(OI[[#This Row], [6]]&lt;&gt;2020,"",AIA!$B$4+O4-O8)</f>
        <v/>
      </c>
      <c r="P11" s="10" t="str">
        <f>IF(OI[[#This Row], [7]]&lt;&gt;2020,"",AIA!$B$4+P4-P8)</f>
        <v/>
      </c>
      <c r="Q11" s="10" t="str">
        <f>IF(OI[[#This Row], [8]]&lt;&gt;2020,"",AIA!$B$4+Q4-Q8)</f>
        <v/>
      </c>
      <c r="R11" s="10" t="str">
        <f>IF(OI[[#This Row], [9]]&lt;&gt;2020,"",AIA!$B$4+R4-R8)</f>
        <v/>
      </c>
      <c r="S11" s="10" t="str">
        <f>IF(OI[[#This Row], [10]]&lt;&gt;2020,"",AIA!$B$4+S4-S8)</f>
        <v/>
      </c>
      <c r="T11" s="11">
        <f>SUM(OI[[#This Row], [1]])</f>
        <v>25800</v>
      </c>
      <c r="U11" s="11">
        <f>SUM(OI[[#This Row], [1]],OI[[#This Row], [2]])</f>
        <v>25800</v>
      </c>
      <c r="V11" s="11">
        <f>SUM(OI[[#This Row], [1]],OI[[#This Row], [2]],OI[[#This Row], [3]])</f>
        <v>25800</v>
      </c>
      <c r="W11" s="11">
        <f>SUM(OI[[#This Row], [1]],OI[[#This Row], [2]],OI[[#This Row], [3]],OI[[#This Row], [4]])</f>
        <v>25800</v>
      </c>
      <c r="X11" s="11">
        <f>SUM(OI[[#This Row], [1]],OI[[#This Row], [2]],OI[[#This Row], [3]],OI[[#This Row], [4]],OI[[#This Row], [5]])</f>
        <v>25800</v>
      </c>
      <c r="Y11" s="11">
        <f>SUM(OI[[#This Row], [1]],OI[[#This Row], [2]],OI[[#This Row], [3]],OI[[#This Row], [4]],OI[[#This Row], [5]],OI[[#This Row], [6]])</f>
        <v>25800</v>
      </c>
      <c r="Z11" s="11">
        <f>SUM(OI[[#This Row], [1]],OI[[#This Row], [2]],OI[[#This Row], [3]],OI[[#This Row], [4]],OI[[#This Row], [5]],OI[[#This Row], [6]],OI[[#This Row], [7]])</f>
        <v>25800</v>
      </c>
      <c r="AA11" s="11">
        <f>SUM(OI[[#This Row], [1]],OI[[#This Row], [2]],OI[[#This Row], [3]],OI[[#This Row], [4]],OI[[#This Row], [5]],OI[[#This Row], [6]],OI[[#This Row], [7]],OI[[#This Row], [8]])</f>
        <v>25800</v>
      </c>
      <c r="AB11" s="11">
        <f>SUM(OI[[#This Row], [1]],OI[[#This Row], [2]],OI[[#This Row], [3]],OI[[#This Row], [4]],OI[[#This Row], [5]],OI[[#This Row], [6]],OI[[#This Row], [7]],OI[[#This Row], [8]],OI[[#This Row], [9]])</f>
        <v>25800</v>
      </c>
      <c r="AC11" s="11">
        <f>SUM(OI[[#This Row], [1]],OI[[#This Row], [2]],OI[[#This Row], [3]],OI[[#This Row], [4]],OI[[#This Row], [5]],OI[[#This Row], [6]],OI[[#This Row], [7]],OI[[#This Row], [8]],OI[[#This Row], [9]],OI[[#This Row], [10]])</f>
        <v>25800</v>
      </c>
      <c r="AD11" s="11">
        <f>SUM(OI[[#This Row], [1]],OI[[#This Row], [2]],OI[[#This Row], [3]],OI[[#This Row], [4]],OI[[#This Row], [5]],OI[[#This Row], [6]],OI[[#This Row], [7]],OI[[#This Row], [8]],OI[[#This Row], [9]],OI[[#This Row], [10]],OI[[#This Row], [11]])</f>
        <v>25800</v>
      </c>
      <c r="AE11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25800</v>
      </c>
      <c r="AF11" s="11">
        <f>SUM(OI[[#This Row], [1]],OI[[#This Row], [2]],OI[[#This Row], [3]])</f>
        <v>25800</v>
      </c>
      <c r="AG11" s="11">
        <f>SUM(OI[[#This Row], [4]],OI[[#This Row], [5]],OI[[#This Row], [6]])</f>
        <v>0</v>
      </c>
      <c r="AH11" s="11">
        <f>SUM(OI[[#This Row], [7]],OI[[#This Row], [8]],OI[[#This Row], [9]])</f>
        <v>0</v>
      </c>
      <c r="AI11" s="11">
        <f>SUM(OI[[#This Row], [10]],OI[[#This Row], [11]],OI[[#This Row], [12]])</f>
        <v>0</v>
      </c>
      <c r="AJ11" s="11">
        <f>SUM(OI[[#This Row], [1]],OI[[#This Row], [2]],OI[[#This Row], [3]],OI[[#This Row], [4]],OI[[#This Row], [5]],OI[[#This Row], [6]])</f>
        <v>25800</v>
      </c>
      <c r="AK11" s="12">
        <f>SUM(OI[[#This Row], [7]],OI[[#This Row], [8]],OI[[#This Row], [9]],OI[[#This Row], [10]],OI[[#This Row], [11]],OI[[#This Row], [12]])</f>
        <v>0</v>
      </c>
      <c r="AL11" s="11" t="str">
        <f t="shared" si="0"/>
        <v>HYFR</v>
      </c>
    </row>
    <row r="12" spans="1:38" ht="19.5" customHeight="1" x14ac:dyDescent="0.3">
      <c r="A12" s="3" t="s">
        <v>38</v>
      </c>
      <c r="B12" s="3" t="s">
        <v>39</v>
      </c>
      <c r="C12" s="3" t="s">
        <v>40</v>
      </c>
      <c r="D12" s="3" t="s">
        <v>46</v>
      </c>
      <c r="E12" s="8"/>
      <c r="F12" s="8">
        <f>RIGHT(AIA!B1,4)*1</f>
        <v>2020</v>
      </c>
      <c r="G12" s="3" t="s">
        <v>44</v>
      </c>
      <c r="H12" s="10">
        <f>IF(OI[[#This Row], [YEAR]]&lt;&gt;2020,"",AIA!$B$5+H5-H9)</f>
        <v>266850</v>
      </c>
      <c r="I12" s="10" t="str">
        <f>IF(OI[[#This Row], [PG]]&lt;&gt;2020,"",AIA!$B$5+I5-I9)</f>
        <v/>
      </c>
      <c r="J12" s="10" t="str">
        <f>IF(OI[[#This Row], [1]]&lt;&gt;2020,"",AIA!$B$5+J5-J9)</f>
        <v/>
      </c>
      <c r="K12" s="10" t="str">
        <f>IF(OI[[#This Row], [2]]&lt;&gt;2020,"",AIA!$B$5+K5-K9)</f>
        <v/>
      </c>
      <c r="L12" s="10" t="str">
        <f>IF(OI[[#This Row], [3]]&lt;&gt;2020,"",AIA!$B$5+L5-L9)</f>
        <v/>
      </c>
      <c r="M12" s="10" t="str">
        <f>IF(OI[[#This Row], [4]]&lt;&gt;2020,"",AIA!$B$5+M5-M9)</f>
        <v/>
      </c>
      <c r="N12" s="10" t="str">
        <f>IF(OI[[#This Row], [5]]&lt;&gt;2020,"",AIA!$B$5+N5-N9)</f>
        <v/>
      </c>
      <c r="O12" s="10" t="str">
        <f>IF(OI[[#This Row], [6]]&lt;&gt;2020,"",AIA!$B$5+O5-O9)</f>
        <v/>
      </c>
      <c r="P12" s="10" t="str">
        <f>IF(OI[[#This Row], [7]]&lt;&gt;2020,"",AIA!$B$5+P5-P9)</f>
        <v/>
      </c>
      <c r="Q12" s="10" t="str">
        <f>IF(OI[[#This Row], [8]]&lt;&gt;2020,"",AIA!$B$5+Q5-Q9)</f>
        <v/>
      </c>
      <c r="R12" s="10" t="str">
        <f>IF(OI[[#This Row], [9]]&lt;&gt;2020,"",AIA!$B$5+R5-R9)</f>
        <v/>
      </c>
      <c r="S12" s="10" t="str">
        <f>IF(OI[[#This Row], [10]]&lt;&gt;2020,"",AIA!$B$5+S5-S9)</f>
        <v/>
      </c>
      <c r="T12" s="14">
        <f>SUM(OI[[#This Row], [1]])</f>
        <v>266850</v>
      </c>
      <c r="U12" s="14">
        <f>SUM(OI[[#This Row], [1]],OI[[#This Row], [2]])</f>
        <v>266850</v>
      </c>
      <c r="V12" s="14">
        <f>SUM(OI[[#This Row], [1]],OI[[#This Row], [2]],OI[[#This Row], [3]])</f>
        <v>266850</v>
      </c>
      <c r="W12" s="14">
        <f>SUM(OI[[#This Row], [1]],OI[[#This Row], [2]],OI[[#This Row], [3]],OI[[#This Row], [4]])</f>
        <v>266850</v>
      </c>
      <c r="X12" s="14">
        <f>SUM(OI[[#This Row], [1]],OI[[#This Row], [2]],OI[[#This Row], [3]],OI[[#This Row], [4]],OI[[#This Row], [5]])</f>
        <v>266850</v>
      </c>
      <c r="Y12" s="14">
        <f>SUM(OI[[#This Row], [1]],OI[[#This Row], [2]],OI[[#This Row], [3]],OI[[#This Row], [4]],OI[[#This Row], [5]],OI[[#This Row], [6]])</f>
        <v>266850</v>
      </c>
      <c r="Z12" s="14">
        <f>SUM(OI[[#This Row], [1]],OI[[#This Row], [2]],OI[[#This Row], [3]],OI[[#This Row], [4]],OI[[#This Row], [5]],OI[[#This Row], [6]],OI[[#This Row], [7]])</f>
        <v>266850</v>
      </c>
      <c r="AA12" s="14">
        <f>SUM(OI[[#This Row], [1]],OI[[#This Row], [2]],OI[[#This Row], [3]],OI[[#This Row], [4]],OI[[#This Row], [5]],OI[[#This Row], [6]],OI[[#This Row], [7]],OI[[#This Row], [8]])</f>
        <v>266850</v>
      </c>
      <c r="AB12" s="14">
        <f>SUM(OI[[#This Row], [1]],OI[[#This Row], [2]],OI[[#This Row], [3]],OI[[#This Row], [4]],OI[[#This Row], [5]],OI[[#This Row], [6]],OI[[#This Row], [7]],OI[[#This Row], [8]],OI[[#This Row], [9]])</f>
        <v>266850</v>
      </c>
      <c r="AC12" s="14">
        <f>SUM(OI[[#This Row], [1]],OI[[#This Row], [2]],OI[[#This Row], [3]],OI[[#This Row], [4]],OI[[#This Row], [5]],OI[[#This Row], [6]],OI[[#This Row], [7]],OI[[#This Row], [8]],OI[[#This Row], [9]],OI[[#This Row], [10]])</f>
        <v>266850</v>
      </c>
      <c r="AD12" s="14">
        <f>SUM(OI[[#This Row], [1]],OI[[#This Row], [2]],OI[[#This Row], [3]],OI[[#This Row], [4]],OI[[#This Row], [5]],OI[[#This Row], [6]],OI[[#This Row], [7]],OI[[#This Row], [8]],OI[[#This Row], [9]],OI[[#This Row], [10]],OI[[#This Row], [11]])</f>
        <v>266850</v>
      </c>
      <c r="AE12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  <v>266850</v>
      </c>
      <c r="AF12" s="14">
        <f>SUM(OI[[#This Row], [1]],OI[[#This Row], [2]],OI[[#This Row], [3]])</f>
        <v>266850</v>
      </c>
      <c r="AG12" s="14">
        <f>SUM(OI[[#This Row], [4]],OI[[#This Row], [5]],OI[[#This Row], [6]])</f>
        <v>0</v>
      </c>
      <c r="AH12" s="14">
        <f>SUM(OI[[#This Row], [7]],OI[[#This Row], [8]],OI[[#This Row], [9]])</f>
        <v>0</v>
      </c>
      <c r="AI12" s="14">
        <f>SUM(OI[[#This Row], [10]],OI[[#This Row], [11]],OI[[#This Row], [12]])</f>
        <v>0</v>
      </c>
      <c r="AJ12" s="14">
        <f>SUM(OI[[#This Row], [1]],OI[[#This Row], [2]],OI[[#This Row], [3]],OI[[#This Row], [4]],OI[[#This Row], [5]],OI[[#This Row], [6]])</f>
        <v>266850</v>
      </c>
      <c r="AK12" s="15">
        <f>SUM(OI[[#This Row], [7]],OI[[#This Row], [8]],OI[[#This Row], [9]],OI[[#This Row], [10]],OI[[#This Row], [11]],OI[[#This Row], [12]])</f>
        <v>0</v>
      </c>
      <c r="AL12" s="14" t="str">
        <f t="shared" si="0"/>
        <v>HYFR</v>
      </c>
    </row>
    <row r="13" spans="1:38" ht="19.5" customHeight="1" x14ac:dyDescent="0.3">
      <c r="A13" s="3"/>
      <c r="B13" s="3"/>
      <c r="C13" s="3"/>
      <c r="D13" s="3"/>
      <c r="E13" s="8"/>
      <c r="F13" s="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5" customHeight="1" x14ac:dyDescent="0.3">
      <c r="A14" s="3"/>
      <c r="B14" s="3"/>
      <c r="C14" s="3"/>
      <c r="D14" s="3"/>
      <c r="E14" s="8"/>
      <c r="F14" s="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9.5" customHeight="1" x14ac:dyDescent="0.3">
      <c r="A15" s="3"/>
      <c r="B15" s="3"/>
      <c r="C15" s="3" t="s">
        <v>47</v>
      </c>
      <c r="D15" s="16" t="s">
        <v>48</v>
      </c>
      <c r="E15" s="8"/>
      <c r="F15" s="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9.5" customHeight="1" x14ac:dyDescent="0.3">
      <c r="A16" s="3"/>
      <c r="B16" s="3"/>
      <c r="C16" s="3"/>
      <c r="D16" s="3" t="s">
        <v>49</v>
      </c>
      <c r="E16" s="8"/>
      <c r="F16" s="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A434"/>
  <sheetViews>
    <sheetView tabSelected="1" topLeftCell="A132" workbookViewId="0">
      <selection activeCell="K154" sqref="K154"/>
    </sheetView>
  </sheetViews>
  <sheetFormatPr baseColWidth="10" defaultColWidth="8.88671875" defaultRowHeight="14.4" x14ac:dyDescent="0.3"/>
  <cols>
    <col min="1" max="1" width="10.88671875" style="482" bestFit="1" customWidth="1"/>
    <col min="2" max="2" width="4.5546875" style="17" bestFit="1" customWidth="1"/>
    <col min="3" max="3" width="10.109375" style="17" bestFit="1" customWidth="1"/>
    <col min="4" max="4" width="12.33203125" style="482" bestFit="1" customWidth="1"/>
    <col min="5" max="5" width="10.5546875" style="18" bestFit="1" customWidth="1"/>
    <col min="6" max="6" width="8.109375" style="17" bestFit="1" customWidth="1"/>
    <col min="7" max="7" width="16.44140625" style="17" bestFit="1" customWidth="1"/>
    <col min="8" max="8" width="5.88671875" style="17" bestFit="1" customWidth="1"/>
    <col min="9" max="9" width="17.109375" style="18" bestFit="1" customWidth="1"/>
    <col min="10" max="10" width="13.88671875" style="17" bestFit="1" customWidth="1"/>
    <col min="11" max="11" width="26.88671875" style="17" bestFit="1" customWidth="1"/>
    <col min="12" max="12" width="12.109375" style="17" bestFit="1" customWidth="1"/>
    <col min="13" max="13" width="3.88671875" style="17" bestFit="1" customWidth="1"/>
    <col min="14" max="14" width="12.5546875" style="17" bestFit="1" customWidth="1"/>
    <col min="15" max="16" width="14.109375" style="17" hidden="1" bestFit="1" customWidth="1"/>
    <col min="17" max="17" width="15.88671875" style="642" bestFit="1" customWidth="1"/>
    <col min="18" max="18" width="10.88671875" style="17" bestFit="1" customWidth="1"/>
    <col min="19" max="19" width="17.88671875" style="18" bestFit="1" customWidth="1"/>
    <col min="20" max="20" width="19.88671875" style="17" bestFit="1" customWidth="1"/>
    <col min="21" max="21" width="16.44140625" style="17" bestFit="1" customWidth="1"/>
    <col min="22" max="22" width="9.33203125" style="17" bestFit="1" customWidth="1"/>
    <col min="23" max="23" width="29.5546875" style="642" bestFit="1" customWidth="1"/>
    <col min="24" max="24" width="9.6640625" style="17" bestFit="1" customWidth="1"/>
    <col min="25" max="26" width="14.109375" style="17" hidden="1" bestFit="1" customWidth="1"/>
    <col min="27" max="27" width="16.5546875" style="642" bestFit="1" customWidth="1"/>
    <col min="28" max="28" width="12.109375" style="18" bestFit="1" customWidth="1"/>
    <col min="29" max="29" width="14.109375" style="642" bestFit="1" customWidth="1"/>
    <col min="30" max="30" width="15.109375" style="18" bestFit="1" customWidth="1"/>
    <col min="31" max="31" width="17.44140625" style="642" bestFit="1" customWidth="1"/>
    <col min="32" max="32" width="9.33203125" style="17" bestFit="1" customWidth="1"/>
    <col min="33" max="33" width="9.88671875" style="17" bestFit="1" customWidth="1"/>
    <col min="34" max="34" width="2.33203125" style="17" bestFit="1" customWidth="1"/>
    <col min="35" max="35" width="9" style="18" bestFit="1" customWidth="1"/>
    <col min="36" max="36" width="43.44140625" style="17" bestFit="1" customWidth="1"/>
    <col min="37" max="37" width="1.5546875" style="17" bestFit="1" customWidth="1"/>
    <col min="38" max="38" width="110.5546875" style="17" bestFit="1" customWidth="1"/>
    <col min="39" max="39" width="9.33203125" style="17" bestFit="1" customWidth="1"/>
    <col min="40" max="40" width="34.88671875" style="17" bestFit="1" customWidth="1"/>
    <col min="41" max="41" width="10.44140625" style="17" bestFit="1" customWidth="1"/>
    <col min="42" max="42" width="61.88671875" style="17" bestFit="1" customWidth="1"/>
    <col min="43" max="43" width="10.44140625" style="17" bestFit="1" customWidth="1"/>
    <col min="44" max="44" width="32.88671875" style="17" bestFit="1" customWidth="1"/>
    <col min="45" max="45" width="10.44140625" style="17" bestFit="1" customWidth="1"/>
    <col min="46" max="46" width="16.88671875" style="46" bestFit="1" customWidth="1"/>
    <col min="47" max="47" width="14" style="46" bestFit="1" customWidth="1"/>
    <col min="48" max="49" width="13.109375" style="46" bestFit="1" customWidth="1"/>
    <col min="50" max="50" width="11.44140625" style="18" bestFit="1" customWidth="1"/>
    <col min="51" max="52" width="14.109375" style="17" bestFit="1" customWidth="1"/>
    <col min="53" max="53" width="14.109375" style="18" bestFit="1" customWidth="1"/>
  </cols>
  <sheetData>
    <row r="1" spans="1:53" ht="19.5" customHeight="1" x14ac:dyDescent="0.3">
      <c r="A1" s="65" t="s">
        <v>601</v>
      </c>
      <c r="B1" s="3"/>
      <c r="C1" s="659" t="s">
        <v>602</v>
      </c>
      <c r="D1" s="660"/>
      <c r="E1" s="661"/>
      <c r="F1" s="662"/>
      <c r="G1" s="662"/>
      <c r="H1" s="662"/>
      <c r="I1" s="661"/>
      <c r="J1" s="662"/>
      <c r="K1" s="662"/>
      <c r="L1" s="662"/>
      <c r="M1" s="3"/>
      <c r="N1" s="663" t="s">
        <v>71</v>
      </c>
      <c r="O1" s="662"/>
      <c r="P1" s="662"/>
      <c r="Q1" s="664"/>
      <c r="R1" s="662"/>
      <c r="S1" s="661"/>
      <c r="T1" s="662"/>
      <c r="U1" s="662"/>
      <c r="V1" s="3"/>
      <c r="W1" s="523"/>
      <c r="X1" s="665" t="s">
        <v>603</v>
      </c>
      <c r="Y1" s="662"/>
      <c r="Z1" s="662"/>
      <c r="AA1" s="664"/>
      <c r="AB1" s="661"/>
      <c r="AC1" s="664"/>
      <c r="AD1" s="661"/>
      <c r="AE1" s="664"/>
      <c r="AF1" s="3"/>
      <c r="AG1" s="524" t="s">
        <v>604</v>
      </c>
      <c r="AH1" s="3"/>
      <c r="AI1" s="525" t="s">
        <v>73</v>
      </c>
      <c r="AJ1" s="526"/>
      <c r="AK1" s="3"/>
      <c r="AL1" s="527"/>
      <c r="AM1" s="3"/>
      <c r="AN1" s="528" t="s">
        <v>605</v>
      </c>
      <c r="AO1" s="3"/>
      <c r="AP1" s="529"/>
      <c r="AQ1" s="3"/>
      <c r="AR1" s="530"/>
      <c r="AS1" s="3"/>
      <c r="AT1" s="531"/>
      <c r="AU1" s="531"/>
      <c r="AV1" s="531"/>
      <c r="AW1" s="531"/>
      <c r="AX1" s="8"/>
      <c r="AY1" s="3"/>
      <c r="AZ1" s="3"/>
      <c r="BA1" s="8"/>
    </row>
    <row r="2" spans="1:53" ht="28.8" customHeight="1" x14ac:dyDescent="0.3">
      <c r="A2" s="532" t="s">
        <v>59</v>
      </c>
      <c r="B2" s="533" t="s">
        <v>606</v>
      </c>
      <c r="C2" s="534" t="s">
        <v>76</v>
      </c>
      <c r="D2" s="535" t="s">
        <v>161</v>
      </c>
      <c r="E2" s="536" t="s">
        <v>162</v>
      </c>
      <c r="F2" s="537" t="s">
        <v>607</v>
      </c>
      <c r="G2" s="537" t="s">
        <v>74</v>
      </c>
      <c r="H2" s="538" t="s">
        <v>608</v>
      </c>
      <c r="I2" s="539" t="s">
        <v>163</v>
      </c>
      <c r="J2" s="538" t="s">
        <v>609</v>
      </c>
      <c r="K2" s="537" t="s">
        <v>610</v>
      </c>
      <c r="L2" s="537" t="s">
        <v>75</v>
      </c>
      <c r="M2" s="540" t="s">
        <v>611</v>
      </c>
      <c r="N2" s="541" t="s">
        <v>612</v>
      </c>
      <c r="O2" s="541" t="s">
        <v>613</v>
      </c>
      <c r="P2" s="541" t="s">
        <v>614</v>
      </c>
      <c r="Q2" s="542" t="s">
        <v>77</v>
      </c>
      <c r="R2" s="541" t="s">
        <v>78</v>
      </c>
      <c r="S2" s="543" t="s">
        <v>79</v>
      </c>
      <c r="T2" s="541" t="s">
        <v>615</v>
      </c>
      <c r="U2" s="541" t="s">
        <v>616</v>
      </c>
      <c r="V2" s="533" t="s">
        <v>617</v>
      </c>
      <c r="W2" s="544" t="s">
        <v>618</v>
      </c>
      <c r="X2" s="545" t="s">
        <v>619</v>
      </c>
      <c r="Y2" s="545" t="s">
        <v>620</v>
      </c>
      <c r="Z2" s="545" t="s">
        <v>621</v>
      </c>
      <c r="AA2" s="544" t="s">
        <v>81</v>
      </c>
      <c r="AB2" s="546" t="s">
        <v>622</v>
      </c>
      <c r="AC2" s="547" t="s">
        <v>623</v>
      </c>
      <c r="AD2" s="546" t="s">
        <v>624</v>
      </c>
      <c r="AE2" s="544" t="s">
        <v>82</v>
      </c>
      <c r="AF2" s="548" t="s">
        <v>625</v>
      </c>
      <c r="AG2" s="549" t="s">
        <v>626</v>
      </c>
      <c r="AH2" s="533" t="s">
        <v>627</v>
      </c>
      <c r="AI2" s="550" t="s">
        <v>83</v>
      </c>
      <c r="AJ2" s="534" t="s">
        <v>84</v>
      </c>
      <c r="AK2" s="533" t="s">
        <v>628</v>
      </c>
      <c r="AL2" s="551" t="s">
        <v>629</v>
      </c>
      <c r="AM2" s="533" t="s">
        <v>630</v>
      </c>
      <c r="AN2" s="552" t="s">
        <v>631</v>
      </c>
      <c r="AO2" s="533" t="s">
        <v>632</v>
      </c>
      <c r="AP2" s="553" t="s">
        <v>633</v>
      </c>
      <c r="AQ2" s="533" t="s">
        <v>634</v>
      </c>
      <c r="AR2" s="554" t="s">
        <v>635</v>
      </c>
      <c r="AS2" s="533" t="s">
        <v>636</v>
      </c>
      <c r="AT2" s="555" t="s">
        <v>637</v>
      </c>
      <c r="AU2" s="555" t="s">
        <v>638</v>
      </c>
      <c r="AV2" s="556" t="s">
        <v>639</v>
      </c>
      <c r="AW2" s="556" t="s">
        <v>640</v>
      </c>
      <c r="AX2" s="8"/>
      <c r="AY2" s="3"/>
      <c r="AZ2" s="3"/>
      <c r="BA2" s="8"/>
    </row>
    <row r="3" spans="1:53" ht="15" customHeight="1" x14ac:dyDescent="0.3">
      <c r="A3" s="557"/>
      <c r="B3" s="558" t="str">
        <f>IFERROR(INDEX(Tabelle2[BU],MATCH(tbl_DCFC[[#This Row], [Categorie]],CAT,0)),"")</f>
        <v>TOO</v>
      </c>
      <c r="C3" s="559"/>
      <c r="D3" s="560">
        <v>25569.042178414351</v>
      </c>
      <c r="E3" s="561">
        <v>4524</v>
      </c>
      <c r="F3" s="559" t="s">
        <v>641</v>
      </c>
      <c r="G3" s="559" t="s">
        <v>336</v>
      </c>
      <c r="H3" s="559"/>
      <c r="I3" s="561">
        <v>2980</v>
      </c>
      <c r="J3" s="559" t="s">
        <v>281</v>
      </c>
      <c r="K3" s="559" t="s">
        <v>551</v>
      </c>
      <c r="L3" s="559" t="s">
        <v>642</v>
      </c>
      <c r="M3" s="562"/>
      <c r="N3" s="563" t="str">
        <f>IF(Q3&lt;&gt;"","S"&amp;TEXT(WEEKNUM(Q3,21),"00"),"")</f>
        <v/>
      </c>
      <c r="O3" s="564">
        <f>IF(Data!$Q4="","",YEAR(Data!$Q4))</f>
        <v>1970</v>
      </c>
      <c r="P3" s="564">
        <f>IF(Data!$Q4="","",MONTH(Data!$Q4))</f>
        <v>1</v>
      </c>
      <c r="Q3" s="565"/>
      <c r="R3" s="566"/>
      <c r="S3" s="567"/>
      <c r="T3" s="568"/>
      <c r="U3" s="569"/>
      <c r="V3" s="562"/>
      <c r="W3" s="570"/>
      <c r="X3" s="563" t="str">
        <f t="shared" ref="X3:X34" si="0">IF(AC3&lt;&gt;"","S"&amp;TEXT(WEEKNUM(AC3,21),"00"),"")</f>
        <v/>
      </c>
      <c r="Y3" s="563">
        <f>IF(Data!$AC4="","",YEAR(Data!$AC4))</f>
        <v>1970</v>
      </c>
      <c r="Z3" s="563">
        <f>IF(Data!$AC4="","",MONTH(Data!$AC4))</f>
        <v>1</v>
      </c>
      <c r="AA3" s="570"/>
      <c r="AB3" s="571"/>
      <c r="AC3" s="570"/>
      <c r="AD3" s="235"/>
      <c r="AE3" s="565"/>
      <c r="AF3" s="562"/>
      <c r="AG3" s="3"/>
      <c r="AH3" s="562"/>
      <c r="AI3" s="235">
        <v>2</v>
      </c>
      <c r="AJ3" s="572" t="s">
        <v>643</v>
      </c>
      <c r="AK3" s="562"/>
      <c r="AL3" s="235"/>
      <c r="AM3" s="562"/>
      <c r="AN3" s="573"/>
      <c r="AO3" s="562"/>
      <c r="AP3" s="572" t="s">
        <v>644</v>
      </c>
      <c r="AQ3" s="562"/>
      <c r="AR3" s="574"/>
      <c r="AS3" s="562"/>
      <c r="AT3" s="575"/>
      <c r="AU3" s="575"/>
      <c r="AV3" s="576" t="str">
        <f t="shared" ref="AV3:AV34" si="1">IF(AT3="","",S3-AT3-AU3)</f>
        <v/>
      </c>
      <c r="AW3" s="577" t="str">
        <f>IFERROR(IF(tbl_DCFC[[#This Row], [F Montant HT]]="","",tbl_DCFC[[#This Row], [Marge]]/tbl_DCFC[[#This Row], [F Montant HT]]),"")</f>
        <v/>
      </c>
      <c r="AX3" s="8"/>
      <c r="AY3" s="3"/>
      <c r="AZ3" s="3"/>
      <c r="BA3" s="8"/>
    </row>
    <row r="4" spans="1:53" ht="15" customHeight="1" x14ac:dyDescent="0.3">
      <c r="A4" s="557"/>
      <c r="B4" s="558" t="str">
        <f>IFERROR(INDEX(Tabelle2[BU],MATCH(tbl_DCFC[[#This Row], [Categorie]],CAT,0)),"")</f>
        <v>SER</v>
      </c>
      <c r="C4" s="559"/>
      <c r="D4" s="560">
        <v>25569.042178587963</v>
      </c>
      <c r="E4" s="578">
        <v>4532</v>
      </c>
      <c r="F4" s="559" t="s">
        <v>641</v>
      </c>
      <c r="G4" s="559" t="s">
        <v>645</v>
      </c>
      <c r="H4" s="559"/>
      <c r="I4" s="561">
        <v>6900</v>
      </c>
      <c r="J4" s="559" t="s">
        <v>280</v>
      </c>
      <c r="K4" s="559" t="s">
        <v>548</v>
      </c>
      <c r="L4" s="559" t="s">
        <v>646</v>
      </c>
      <c r="M4" s="579"/>
      <c r="N4" s="559"/>
      <c r="O4" s="580" t="str">
        <f>IF(Data!$Q5="","",YEAR(Data!$Q5))</f>
        <v/>
      </c>
      <c r="P4" s="580" t="str">
        <f>IF(Data!$Q5="","",MONTH(Data!$Q5))</f>
        <v/>
      </c>
      <c r="Q4" s="581">
        <v>25569.042178599539</v>
      </c>
      <c r="R4" s="582" t="s">
        <v>647</v>
      </c>
      <c r="S4" s="561">
        <v>6900</v>
      </c>
      <c r="T4" s="583"/>
      <c r="U4" s="584"/>
      <c r="V4" s="579"/>
      <c r="W4" s="585"/>
      <c r="X4" s="564" t="str">
        <f t="shared" si="0"/>
        <v>S01</v>
      </c>
      <c r="Y4" s="564" t="str">
        <f>IF(Data!$AC5="","",YEAR(Data!$AC5))</f>
        <v/>
      </c>
      <c r="Z4" s="564" t="str">
        <f>IF(Data!$AC5="","",MONTH(Data!$AC5))</f>
        <v/>
      </c>
      <c r="AA4" s="586">
        <v>25569.04218241898</v>
      </c>
      <c r="AB4" s="587">
        <v>5196</v>
      </c>
      <c r="AC4" s="586">
        <v>25569.042182881945</v>
      </c>
      <c r="AD4" s="588">
        <v>6900</v>
      </c>
      <c r="AE4" s="586">
        <v>25569.04218241898</v>
      </c>
      <c r="AF4" s="562"/>
      <c r="AG4" s="3"/>
      <c r="AH4" s="579"/>
      <c r="AI4" s="589">
        <v>1</v>
      </c>
      <c r="AJ4" s="590" t="s">
        <v>648</v>
      </c>
      <c r="AK4" s="579"/>
      <c r="AL4" s="590"/>
      <c r="AM4" s="579"/>
      <c r="AN4" s="591"/>
      <c r="AO4" s="579"/>
      <c r="AP4" s="590"/>
      <c r="AQ4" s="579"/>
      <c r="AR4" s="592"/>
      <c r="AS4" s="579"/>
      <c r="AT4" s="593">
        <v>1415.21</v>
      </c>
      <c r="AU4" s="593">
        <v>4700</v>
      </c>
      <c r="AV4" s="576">
        <f t="shared" si="1"/>
        <v>784.79</v>
      </c>
      <c r="AW4" s="577">
        <f>IFERROR(IF(tbl_DCFC[[#This Row], [F Montant HT]]="","",tbl_DCFC[[#This Row], [Marge]]/tbl_DCFC[[#This Row], [F Montant HT]]),"")</f>
        <v>0.11373768115942029</v>
      </c>
      <c r="AX4" s="8"/>
      <c r="AY4" s="3"/>
      <c r="AZ4" s="3"/>
      <c r="BA4" s="8"/>
    </row>
    <row r="5" spans="1:53" ht="15" customHeight="1" x14ac:dyDescent="0.3">
      <c r="A5" s="557"/>
      <c r="B5" s="558" t="str">
        <f>IFERROR(INDEX(Tabelle2[BU],MATCH(tbl_DCFC[[#This Row], [Categorie]],CAT,0)),"")</f>
        <v>SER</v>
      </c>
      <c r="C5" s="559"/>
      <c r="D5" s="560">
        <v>25569.042178657408</v>
      </c>
      <c r="E5" s="561">
        <v>4537</v>
      </c>
      <c r="F5" s="559" t="s">
        <v>641</v>
      </c>
      <c r="G5" s="559" t="s">
        <v>649</v>
      </c>
      <c r="H5" s="559"/>
      <c r="I5" s="561"/>
      <c r="J5" s="559" t="s">
        <v>281</v>
      </c>
      <c r="K5" s="559" t="s">
        <v>548</v>
      </c>
      <c r="L5" s="559" t="s">
        <v>650</v>
      </c>
      <c r="M5" s="579"/>
      <c r="N5" s="564" t="str">
        <f>IF(Q5&lt;&gt;"","S"&amp;TEXT(WEEKNUM(Q5,21),"00"),"")</f>
        <v/>
      </c>
      <c r="O5" s="564">
        <f>IF(Data!$Q6="","",YEAR(Data!$Q6))</f>
        <v>1970</v>
      </c>
      <c r="P5" s="564">
        <f>IF(Data!$Q6="","",MONTH(Data!$Q6))</f>
        <v>1</v>
      </c>
      <c r="Q5" s="585"/>
      <c r="R5" s="594"/>
      <c r="S5" s="588"/>
      <c r="T5" s="595"/>
      <c r="U5" s="596"/>
      <c r="V5" s="579"/>
      <c r="W5" s="585"/>
      <c r="X5" s="564" t="str">
        <f t="shared" si="0"/>
        <v/>
      </c>
      <c r="Y5" s="564" t="str">
        <f>IF(Data!$AC6="","",YEAR(Data!$AC6))</f>
        <v/>
      </c>
      <c r="Z5" s="564" t="str">
        <f>IF(Data!$AC6="","",MONTH(Data!$AC6))</f>
        <v/>
      </c>
      <c r="AA5" s="585"/>
      <c r="AB5" s="597"/>
      <c r="AC5" s="585"/>
      <c r="AD5" s="588"/>
      <c r="AE5" s="585"/>
      <c r="AF5" s="562"/>
      <c r="AG5" s="3"/>
      <c r="AH5" s="579"/>
      <c r="AI5" s="598">
        <v>1</v>
      </c>
      <c r="AJ5" s="599" t="s">
        <v>651</v>
      </c>
      <c r="AK5" s="579"/>
      <c r="AL5" s="599" t="s">
        <v>652</v>
      </c>
      <c r="AM5" s="579"/>
      <c r="AN5" s="591"/>
      <c r="AO5" s="579"/>
      <c r="AP5" s="599" t="s">
        <v>653</v>
      </c>
      <c r="AQ5" s="579"/>
      <c r="AR5" s="600"/>
      <c r="AS5" s="579"/>
      <c r="AT5" s="601"/>
      <c r="AU5" s="601"/>
      <c r="AV5" s="576" t="str">
        <f t="shared" si="1"/>
        <v/>
      </c>
      <c r="AW5" s="577" t="str">
        <f>IFERROR(IF(tbl_DCFC[[#This Row], [F Montant HT]]="","",tbl_DCFC[[#This Row], [Marge]]/tbl_DCFC[[#This Row], [F Montant HT]]),"")</f>
        <v/>
      </c>
      <c r="AX5" s="8"/>
      <c r="AY5" s="3"/>
      <c r="AZ5" s="3"/>
      <c r="BA5" s="8"/>
    </row>
    <row r="6" spans="1:53" ht="15" customHeight="1" x14ac:dyDescent="0.3">
      <c r="A6" s="557"/>
      <c r="B6" s="558" t="str">
        <f>IFERROR(INDEX(Tabelle2[BU],MATCH(tbl_DCFC[[#This Row], [Categorie]],CAT,0)),"")</f>
        <v>SER</v>
      </c>
      <c r="C6" s="559"/>
      <c r="D6" s="560">
        <v>25569.042178935186</v>
      </c>
      <c r="E6" s="561">
        <v>4553</v>
      </c>
      <c r="F6" s="559" t="s">
        <v>641</v>
      </c>
      <c r="G6" s="559" t="s">
        <v>654</v>
      </c>
      <c r="H6" s="559"/>
      <c r="I6" s="561">
        <v>1035.6500000000001</v>
      </c>
      <c r="J6" s="559" t="s">
        <v>281</v>
      </c>
      <c r="K6" s="559" t="s">
        <v>548</v>
      </c>
      <c r="L6" s="559" t="s">
        <v>650</v>
      </c>
      <c r="M6" s="579"/>
      <c r="N6" s="559"/>
      <c r="O6" s="580" t="str">
        <f>IF(Data!$Q7="","",YEAR(Data!$Q7))</f>
        <v/>
      </c>
      <c r="P6" s="580" t="str">
        <f>IF(Data!$Q7="","",MONTH(Data!$Q7))</f>
        <v/>
      </c>
      <c r="Q6" s="581">
        <v>25569.042179016204</v>
      </c>
      <c r="R6" s="582"/>
      <c r="S6" s="561"/>
      <c r="T6" s="583"/>
      <c r="U6" s="584"/>
      <c r="V6" s="579"/>
      <c r="W6" s="585"/>
      <c r="X6" s="564" t="str">
        <f t="shared" si="0"/>
        <v/>
      </c>
      <c r="Y6" s="564" t="str">
        <f>IF(Data!$AC7="","",YEAR(Data!$AC7))</f>
        <v/>
      </c>
      <c r="Z6" s="564" t="str">
        <f>IF(Data!$AC7="","",MONTH(Data!$AC7))</f>
        <v/>
      </c>
      <c r="AA6" s="585"/>
      <c r="AB6" s="597"/>
      <c r="AC6" s="585"/>
      <c r="AD6" s="588"/>
      <c r="AE6" s="586">
        <v>25569.042186643517</v>
      </c>
      <c r="AF6" s="562"/>
      <c r="AG6" s="3"/>
      <c r="AH6" s="579"/>
      <c r="AI6" s="589">
        <v>1</v>
      </c>
      <c r="AJ6" s="590" t="s">
        <v>655</v>
      </c>
      <c r="AK6" s="579"/>
      <c r="AL6" s="590" t="s">
        <v>656</v>
      </c>
      <c r="AM6" s="579"/>
      <c r="AN6" s="591"/>
      <c r="AO6" s="579"/>
      <c r="AP6" s="602"/>
      <c r="AQ6" s="579"/>
      <c r="AR6" s="592"/>
      <c r="AS6" s="579"/>
      <c r="AT6" s="593"/>
      <c r="AU6" s="593"/>
      <c r="AV6" s="576" t="str">
        <f t="shared" si="1"/>
        <v/>
      </c>
      <c r="AW6" s="577" t="str">
        <f>IFERROR(IF(tbl_DCFC[[#This Row], [F Montant HT]]="","",tbl_DCFC[[#This Row], [Marge]]/tbl_DCFC[[#This Row], [F Montant HT]]),"")</f>
        <v/>
      </c>
      <c r="AX6" s="8"/>
      <c r="AY6" s="3"/>
      <c r="AZ6" s="3"/>
      <c r="BA6" s="8"/>
    </row>
    <row r="7" spans="1:53" ht="15" customHeight="1" x14ac:dyDescent="0.3">
      <c r="A7" s="557"/>
      <c r="B7" s="558" t="str">
        <f>IFERROR(INDEX(Tabelle2[BU],MATCH(tbl_DCFC[[#This Row], [Categorie]],CAT,0)),"")</f>
        <v>TOO</v>
      </c>
      <c r="C7" s="559"/>
      <c r="D7" s="560">
        <v>25569.042179016204</v>
      </c>
      <c r="E7" s="561">
        <v>4555</v>
      </c>
      <c r="F7" s="559" t="s">
        <v>641</v>
      </c>
      <c r="G7" s="559" t="s">
        <v>645</v>
      </c>
      <c r="H7" s="559" t="s">
        <v>336</v>
      </c>
      <c r="I7" s="561"/>
      <c r="J7" s="559" t="s">
        <v>281</v>
      </c>
      <c r="K7" s="559" t="s">
        <v>550</v>
      </c>
      <c r="L7" s="559" t="s">
        <v>657</v>
      </c>
      <c r="M7" s="579"/>
      <c r="N7" s="564" t="str">
        <f>IF(Q7&lt;&gt;"","S"&amp;TEXT(WEEKNUM(Q7,21),"00"),"")</f>
        <v/>
      </c>
      <c r="O7" s="564" t="str">
        <f>IF(Data!$Q8="","",YEAR(Data!$Q8))</f>
        <v/>
      </c>
      <c r="P7" s="564" t="str">
        <f>IF(Data!$Q8="","",MONTH(Data!$Q8))</f>
        <v/>
      </c>
      <c r="Q7" s="585"/>
      <c r="R7" s="594"/>
      <c r="S7" s="588"/>
      <c r="T7" s="595"/>
      <c r="U7" s="596"/>
      <c r="V7" s="579"/>
      <c r="W7" s="585"/>
      <c r="X7" s="564" t="str">
        <f t="shared" si="0"/>
        <v/>
      </c>
      <c r="Y7" s="564" t="str">
        <f>IF(Data!$AC8="","",YEAR(Data!$AC8))</f>
        <v/>
      </c>
      <c r="Z7" s="564" t="str">
        <f>IF(Data!$AC8="","",MONTH(Data!$AC8))</f>
        <v/>
      </c>
      <c r="AA7" s="585"/>
      <c r="AB7" s="597"/>
      <c r="AC7" s="585"/>
      <c r="AD7" s="588"/>
      <c r="AE7" s="585"/>
      <c r="AF7" s="562"/>
      <c r="AG7" s="3"/>
      <c r="AH7" s="579"/>
      <c r="AI7" s="589">
        <v>1</v>
      </c>
      <c r="AJ7" s="590" t="s">
        <v>658</v>
      </c>
      <c r="AK7" s="579"/>
      <c r="AL7" s="590" t="s">
        <v>659</v>
      </c>
      <c r="AM7" s="579"/>
      <c r="AN7" s="591"/>
      <c r="AO7" s="579"/>
      <c r="AP7" s="590" t="s">
        <v>660</v>
      </c>
      <c r="AQ7" s="579"/>
      <c r="AR7" s="592"/>
      <c r="AS7" s="579"/>
      <c r="AT7" s="593"/>
      <c r="AU7" s="593"/>
      <c r="AV7" s="576" t="str">
        <f t="shared" si="1"/>
        <v/>
      </c>
      <c r="AW7" s="577" t="str">
        <f>IFERROR(IF(tbl_DCFC[[#This Row], [F Montant HT]]="","",tbl_DCFC[[#This Row], [Marge]]/tbl_DCFC[[#This Row], [F Montant HT]]),"")</f>
        <v/>
      </c>
      <c r="AX7" s="8"/>
      <c r="AY7" s="3"/>
      <c r="AZ7" s="3"/>
      <c r="BA7" s="8"/>
    </row>
    <row r="8" spans="1:53" ht="15" customHeight="1" x14ac:dyDescent="0.3">
      <c r="A8" s="557"/>
      <c r="B8" s="558" t="str">
        <f>IFERROR(INDEX(Tabelle2[BU],MATCH(tbl_DCFC[[#This Row], [Categorie]],CAT,0)),"")</f>
        <v>SER</v>
      </c>
      <c r="C8" s="559"/>
      <c r="D8" s="560">
        <v>25569.042179305554</v>
      </c>
      <c r="E8" s="578">
        <v>4561</v>
      </c>
      <c r="F8" s="559" t="s">
        <v>641</v>
      </c>
      <c r="G8" s="559" t="s">
        <v>336</v>
      </c>
      <c r="H8" s="559"/>
      <c r="I8" s="561"/>
      <c r="J8" s="559" t="s">
        <v>281</v>
      </c>
      <c r="K8" s="559" t="s">
        <v>544</v>
      </c>
      <c r="L8" s="559" t="s">
        <v>650</v>
      </c>
      <c r="M8" s="579"/>
      <c r="N8" s="564" t="str">
        <f>IF(Q8&lt;&gt;"","S"&amp;TEXT(WEEKNUM(Q8,21),"00"),"")</f>
        <v/>
      </c>
      <c r="O8" s="564">
        <f>IF(Data!$Q9="","",YEAR(Data!$Q9))</f>
        <v>1970</v>
      </c>
      <c r="P8" s="564">
        <f>IF(Data!$Q9="","",MONTH(Data!$Q9))</f>
        <v>1</v>
      </c>
      <c r="Q8" s="585"/>
      <c r="R8" s="594"/>
      <c r="S8" s="588"/>
      <c r="T8" s="595"/>
      <c r="U8" s="596"/>
      <c r="V8" s="579"/>
      <c r="W8" s="585"/>
      <c r="X8" s="564" t="str">
        <f t="shared" si="0"/>
        <v/>
      </c>
      <c r="Y8" s="564">
        <f>IF(Data!$AC9="","",YEAR(Data!$AC9))</f>
        <v>1970</v>
      </c>
      <c r="Z8" s="564">
        <f>IF(Data!$AC9="","",MONTH(Data!$AC9))</f>
        <v>1</v>
      </c>
      <c r="AA8" s="585"/>
      <c r="AB8" s="597"/>
      <c r="AC8" s="585"/>
      <c r="AD8" s="588"/>
      <c r="AE8" s="585"/>
      <c r="AF8" s="562"/>
      <c r="AG8" s="3"/>
      <c r="AH8" s="579"/>
      <c r="AI8" s="589">
        <v>1</v>
      </c>
      <c r="AJ8" s="590" t="s">
        <v>661</v>
      </c>
      <c r="AK8" s="579"/>
      <c r="AL8" s="590" t="s">
        <v>662</v>
      </c>
      <c r="AM8" s="579"/>
      <c r="AN8" s="591"/>
      <c r="AO8" s="579"/>
      <c r="AP8" s="590" t="s">
        <v>663</v>
      </c>
      <c r="AQ8" s="579"/>
      <c r="AR8" s="592"/>
      <c r="AS8" s="579"/>
      <c r="AT8" s="593"/>
      <c r="AU8" s="593"/>
      <c r="AV8" s="576" t="str">
        <f t="shared" si="1"/>
        <v/>
      </c>
      <c r="AW8" s="577" t="str">
        <f>IFERROR(IF(tbl_DCFC[[#This Row], [F Montant HT]]="","",tbl_DCFC[[#This Row], [Marge]]/tbl_DCFC[[#This Row], [F Montant HT]]),"")</f>
        <v/>
      </c>
      <c r="AX8" s="8"/>
      <c r="AY8" s="3"/>
      <c r="AZ8" s="3"/>
      <c r="BA8" s="8"/>
    </row>
    <row r="9" spans="1:53" ht="15" customHeight="1" x14ac:dyDescent="0.3">
      <c r="A9" s="557"/>
      <c r="B9" s="558" t="str">
        <f>IFERROR(INDEX(Tabelle2[BU],MATCH(tbl_DCFC[[#This Row], [Categorie]],CAT,0)),"")</f>
        <v>TOO</v>
      </c>
      <c r="C9" s="559"/>
      <c r="D9" s="560">
        <v>25569.042179374999</v>
      </c>
      <c r="E9" s="578">
        <v>4569</v>
      </c>
      <c r="F9" s="559" t="s">
        <v>641</v>
      </c>
      <c r="G9" s="559" t="s">
        <v>664</v>
      </c>
      <c r="H9" s="559"/>
      <c r="I9" s="561">
        <v>3236</v>
      </c>
      <c r="J9" s="559" t="s">
        <v>281</v>
      </c>
      <c r="K9" s="559" t="s">
        <v>550</v>
      </c>
      <c r="L9" s="559" t="s">
        <v>646</v>
      </c>
      <c r="M9" s="579"/>
      <c r="N9" s="559"/>
      <c r="O9" s="580">
        <f>IF(Data!$Q10="","",YEAR(Data!$Q10))</f>
        <v>1970</v>
      </c>
      <c r="P9" s="580">
        <f>IF(Data!$Q10="","",MONTH(Data!$Q10))</f>
        <v>1</v>
      </c>
      <c r="Q9" s="581">
        <v>25569.042181168981</v>
      </c>
      <c r="R9" s="582" t="s">
        <v>665</v>
      </c>
      <c r="S9" s="561">
        <v>3236</v>
      </c>
      <c r="T9" s="583"/>
      <c r="U9" s="584"/>
      <c r="V9" s="579"/>
      <c r="W9" s="585"/>
      <c r="X9" s="564" t="str">
        <f t="shared" si="0"/>
        <v>S01</v>
      </c>
      <c r="Y9" s="564">
        <f>IF(Data!$AC10="","",YEAR(Data!$AC10))</f>
        <v>1970</v>
      </c>
      <c r="Z9" s="564">
        <f>IF(Data!$AC10="","",MONTH(Data!$AC10))</f>
        <v>1</v>
      </c>
      <c r="AA9" s="586">
        <v>25569.04218310185</v>
      </c>
      <c r="AB9" s="587">
        <v>5208</v>
      </c>
      <c r="AC9" s="586">
        <v>25569.04218310185</v>
      </c>
      <c r="AD9" s="588">
        <v>3236</v>
      </c>
      <c r="AE9" s="586">
        <v>25569.042182777779</v>
      </c>
      <c r="AF9" s="562"/>
      <c r="AG9" s="3"/>
      <c r="AH9" s="579"/>
      <c r="AI9" s="589">
        <v>1</v>
      </c>
      <c r="AJ9" s="590" t="s">
        <v>666</v>
      </c>
      <c r="AK9" s="579"/>
      <c r="AL9" s="590"/>
      <c r="AM9" s="579"/>
      <c r="AN9" s="591"/>
      <c r="AO9" s="579"/>
      <c r="AP9" s="590" t="s">
        <v>667</v>
      </c>
      <c r="AQ9" s="579"/>
      <c r="AR9" s="592"/>
      <c r="AS9" s="579"/>
      <c r="AT9" s="593">
        <v>911</v>
      </c>
      <c r="AU9" s="593"/>
      <c r="AV9" s="576">
        <f t="shared" si="1"/>
        <v>2325</v>
      </c>
      <c r="AW9" s="577">
        <f>IFERROR(IF(tbl_DCFC[[#This Row], [F Montant HT]]="","",tbl_DCFC[[#This Row], [Marge]]/tbl_DCFC[[#This Row], [F Montant HT]]),"")</f>
        <v>0.71847960444993819</v>
      </c>
      <c r="AX9" s="8"/>
      <c r="AY9" s="3"/>
      <c r="AZ9" s="3"/>
      <c r="BA9" s="8"/>
    </row>
    <row r="10" spans="1:53" ht="15" customHeight="1" x14ac:dyDescent="0.3">
      <c r="A10" s="557"/>
      <c r="B10" s="558" t="str">
        <f>IFERROR(INDEX(Tabelle2[BU],MATCH(tbl_DCFC[[#This Row], [Categorie]],CAT,0)),"")</f>
        <v>SER</v>
      </c>
      <c r="C10" s="559"/>
      <c r="D10" s="560">
        <v>25569.042179398148</v>
      </c>
      <c r="E10" s="578">
        <v>4571</v>
      </c>
      <c r="F10" s="559" t="s">
        <v>641</v>
      </c>
      <c r="G10" s="559" t="s">
        <v>645</v>
      </c>
      <c r="H10" s="559"/>
      <c r="I10" s="561">
        <v>1200</v>
      </c>
      <c r="J10" s="559" t="s">
        <v>280</v>
      </c>
      <c r="K10" s="559" t="s">
        <v>548</v>
      </c>
      <c r="L10" s="559" t="s">
        <v>646</v>
      </c>
      <c r="M10" s="579"/>
      <c r="N10" s="559"/>
      <c r="O10" s="580">
        <f>IF(Data!$Q11="","",YEAR(Data!$Q11))</f>
        <v>1970</v>
      </c>
      <c r="P10" s="580">
        <f>IF(Data!$Q11="","",MONTH(Data!$Q11))</f>
        <v>1</v>
      </c>
      <c r="Q10" s="581">
        <v>25569.042179398148</v>
      </c>
      <c r="R10" s="582" t="s">
        <v>668</v>
      </c>
      <c r="S10" s="561">
        <v>1200</v>
      </c>
      <c r="T10" s="583"/>
      <c r="U10" s="584"/>
      <c r="V10" s="579"/>
      <c r="W10" s="585"/>
      <c r="X10" s="564" t="str">
        <f t="shared" si="0"/>
        <v>S01</v>
      </c>
      <c r="Y10" s="564">
        <f>IF(Data!$AC11="","",YEAR(Data!$AC11))</f>
        <v>1970</v>
      </c>
      <c r="Z10" s="564">
        <f>IF(Data!$AC11="","",MONTH(Data!$AC11))</f>
        <v>1</v>
      </c>
      <c r="AA10" s="586">
        <v>25569.042179618056</v>
      </c>
      <c r="AB10" s="587">
        <v>5212</v>
      </c>
      <c r="AC10" s="586">
        <v>25569.04218320602</v>
      </c>
      <c r="AD10" s="588">
        <v>1200</v>
      </c>
      <c r="AE10" s="585"/>
      <c r="AF10" s="562"/>
      <c r="AG10" s="3"/>
      <c r="AH10" s="579"/>
      <c r="AI10" s="589">
        <v>1</v>
      </c>
      <c r="AJ10" s="590" t="s">
        <v>669</v>
      </c>
      <c r="AK10" s="579"/>
      <c r="AL10" s="590"/>
      <c r="AM10" s="579"/>
      <c r="AN10" s="591"/>
      <c r="AO10" s="579"/>
      <c r="AP10" s="590" t="s">
        <v>670</v>
      </c>
      <c r="AQ10" s="579"/>
      <c r="AR10" s="592"/>
      <c r="AS10" s="579"/>
      <c r="AT10" s="593">
        <v>660</v>
      </c>
      <c r="AU10" s="593">
        <v>362.5</v>
      </c>
      <c r="AV10" s="576">
        <f t="shared" si="1"/>
        <v>177.5</v>
      </c>
      <c r="AW10" s="577">
        <f>IFERROR(IF(tbl_DCFC[[#This Row], [F Montant HT]]="","",tbl_DCFC[[#This Row], [Marge]]/tbl_DCFC[[#This Row], [F Montant HT]]),"")</f>
        <v>0.14791666666666667</v>
      </c>
      <c r="AX10" s="8"/>
      <c r="AY10" s="3"/>
      <c r="AZ10" s="3"/>
      <c r="BA10" s="8"/>
    </row>
    <row r="11" spans="1:53" ht="15" customHeight="1" x14ac:dyDescent="0.3">
      <c r="A11" s="557"/>
      <c r="B11" s="558" t="str">
        <f>IFERROR(INDEX(Tabelle2[BU],MATCH(tbl_DCFC[[#This Row], [Categorie]],CAT,0)),"")</f>
        <v>SER</v>
      </c>
      <c r="C11" s="559"/>
      <c r="D11" s="560">
        <v>25569.042180150464</v>
      </c>
      <c r="E11" s="578">
        <v>4604</v>
      </c>
      <c r="F11" s="559" t="s">
        <v>641</v>
      </c>
      <c r="G11" s="559" t="s">
        <v>671</v>
      </c>
      <c r="H11" s="559"/>
      <c r="I11" s="561">
        <v>1945</v>
      </c>
      <c r="J11" s="559" t="s">
        <v>280</v>
      </c>
      <c r="K11" s="559" t="s">
        <v>548</v>
      </c>
      <c r="L11" s="559" t="s">
        <v>646</v>
      </c>
      <c r="M11" s="579"/>
      <c r="N11" s="559"/>
      <c r="O11" s="580" t="str">
        <f>IF(Data!$Q12="","",YEAR(Data!$Q12))</f>
        <v/>
      </c>
      <c r="P11" s="580" t="str">
        <f>IF(Data!$Q12="","",MONTH(Data!$Q12))</f>
        <v/>
      </c>
      <c r="Q11" s="581">
        <v>25569.042180150464</v>
      </c>
      <c r="R11" s="582" t="s">
        <v>672</v>
      </c>
      <c r="S11" s="561">
        <v>1945</v>
      </c>
      <c r="T11" s="583"/>
      <c r="U11" s="584"/>
      <c r="V11" s="579"/>
      <c r="W11" s="586">
        <v>25569.042180138887</v>
      </c>
      <c r="X11" s="564" t="str">
        <f t="shared" si="0"/>
        <v>S01</v>
      </c>
      <c r="Y11" s="564" t="str">
        <f>IF(Data!$AC12="","",YEAR(Data!$AC12))</f>
        <v/>
      </c>
      <c r="Z11" s="564" t="str">
        <f>IF(Data!$AC12="","",MONTH(Data!$AC12))</f>
        <v/>
      </c>
      <c r="AA11" s="586">
        <v>25569.0421828125</v>
      </c>
      <c r="AB11" s="587">
        <v>5197</v>
      </c>
      <c r="AC11" s="586">
        <v>25569.042182881945</v>
      </c>
      <c r="AD11" s="588">
        <v>1945</v>
      </c>
      <c r="AE11" s="586">
        <v>25569.04218310185</v>
      </c>
      <c r="AF11" s="562"/>
      <c r="AG11" s="3"/>
      <c r="AH11" s="579"/>
      <c r="AI11" s="598">
        <v>1</v>
      </c>
      <c r="AJ11" s="599" t="s">
        <v>673</v>
      </c>
      <c r="AK11" s="579"/>
      <c r="AL11" s="599"/>
      <c r="AM11" s="579"/>
      <c r="AN11" s="591"/>
      <c r="AO11" s="579"/>
      <c r="AP11" s="599" t="s">
        <v>674</v>
      </c>
      <c r="AQ11" s="579"/>
      <c r="AR11" s="600"/>
      <c r="AS11" s="579"/>
      <c r="AT11" s="601">
        <v>576</v>
      </c>
      <c r="AU11" s="601">
        <v>62.5</v>
      </c>
      <c r="AV11" s="576">
        <f t="shared" si="1"/>
        <v>1306.5</v>
      </c>
      <c r="AW11" s="577">
        <f>IFERROR(IF(tbl_DCFC[[#This Row], [F Montant HT]]="","",tbl_DCFC[[#This Row], [Marge]]/tbl_DCFC[[#This Row], [F Montant HT]]),"")</f>
        <v>0.67172236503856042</v>
      </c>
      <c r="AX11" s="8"/>
      <c r="AY11" s="3"/>
      <c r="AZ11" s="3"/>
      <c r="BA11" s="8"/>
    </row>
    <row r="12" spans="1:53" ht="15" customHeight="1" x14ac:dyDescent="0.3">
      <c r="A12" s="557"/>
      <c r="B12" s="558" t="str">
        <f>IFERROR(INDEX(Tabelle2[BU],MATCH(tbl_DCFC[[#This Row], [Categorie]],CAT,0)),"")</f>
        <v>GSE</v>
      </c>
      <c r="C12" s="559"/>
      <c r="D12" s="560">
        <v>25569.042180150464</v>
      </c>
      <c r="E12" s="578">
        <v>4605</v>
      </c>
      <c r="F12" s="559" t="s">
        <v>641</v>
      </c>
      <c r="G12" s="559" t="s">
        <v>336</v>
      </c>
      <c r="H12" s="559"/>
      <c r="I12" s="561">
        <v>48920</v>
      </c>
      <c r="J12" s="559" t="s">
        <v>281</v>
      </c>
      <c r="K12" s="559" t="s">
        <v>542</v>
      </c>
      <c r="L12" s="559" t="s">
        <v>642</v>
      </c>
      <c r="M12" s="579"/>
      <c r="N12" s="564" t="str">
        <f>IF(Q12&lt;&gt;"","S"&amp;TEXT(WEEKNUM(Q12,21),"00"),"")</f>
        <v/>
      </c>
      <c r="O12" s="564">
        <f>IF(Data!$Q13="","",YEAR(Data!$Q13))</f>
        <v>1970</v>
      </c>
      <c r="P12" s="564">
        <f>IF(Data!$Q13="","",MONTH(Data!$Q13))</f>
        <v>1</v>
      </c>
      <c r="Q12" s="585"/>
      <c r="R12" s="594"/>
      <c r="S12" s="588"/>
      <c r="T12" s="595"/>
      <c r="U12" s="596"/>
      <c r="V12" s="579"/>
      <c r="W12" s="585"/>
      <c r="X12" s="564" t="str">
        <f t="shared" si="0"/>
        <v/>
      </c>
      <c r="Y12" s="564" t="str">
        <f>IF(Data!$AC13="","",YEAR(Data!$AC13))</f>
        <v/>
      </c>
      <c r="Z12" s="564" t="str">
        <f>IF(Data!$AC13="","",MONTH(Data!$AC13))</f>
        <v/>
      </c>
      <c r="AA12" s="585"/>
      <c r="AB12" s="597"/>
      <c r="AC12" s="585"/>
      <c r="AD12" s="588"/>
      <c r="AE12" s="585"/>
      <c r="AF12" s="562"/>
      <c r="AG12" s="3"/>
      <c r="AH12" s="579"/>
      <c r="AI12" s="598">
        <v>8</v>
      </c>
      <c r="AJ12" s="599" t="s">
        <v>675</v>
      </c>
      <c r="AK12" s="579"/>
      <c r="AL12" s="599"/>
      <c r="AM12" s="579"/>
      <c r="AN12" s="591"/>
      <c r="AO12" s="579"/>
      <c r="AP12" s="599" t="s">
        <v>676</v>
      </c>
      <c r="AQ12" s="579"/>
      <c r="AR12" s="600"/>
      <c r="AS12" s="579"/>
      <c r="AT12" s="601"/>
      <c r="AU12" s="601"/>
      <c r="AV12" s="576" t="str">
        <f t="shared" si="1"/>
        <v/>
      </c>
      <c r="AW12" s="577" t="str">
        <f>IFERROR(IF(tbl_DCFC[[#This Row], [F Montant HT]]="","",tbl_DCFC[[#This Row], [Marge]]/tbl_DCFC[[#This Row], [F Montant HT]]),"")</f>
        <v/>
      </c>
      <c r="AX12" s="8"/>
      <c r="AY12" s="3"/>
      <c r="AZ12" s="3"/>
      <c r="BA12" s="8"/>
    </row>
    <row r="13" spans="1:53" ht="15" customHeight="1" x14ac:dyDescent="0.3">
      <c r="A13" s="557"/>
      <c r="B13" s="558" t="str">
        <f>IFERROR(INDEX(Tabelle2[BU],MATCH(tbl_DCFC[[#This Row], [Categorie]],CAT,0)),"")</f>
        <v>SER</v>
      </c>
      <c r="C13" s="559"/>
      <c r="D13" s="560">
        <v>25569.042180509259</v>
      </c>
      <c r="E13" s="578">
        <v>4620</v>
      </c>
      <c r="F13" s="559" t="s">
        <v>641</v>
      </c>
      <c r="G13" s="559" t="s">
        <v>654</v>
      </c>
      <c r="H13" s="559"/>
      <c r="I13" s="561">
        <v>492</v>
      </c>
      <c r="J13" s="559" t="s">
        <v>281</v>
      </c>
      <c r="K13" s="559" t="s">
        <v>548</v>
      </c>
      <c r="L13" s="559" t="s">
        <v>650</v>
      </c>
      <c r="M13" s="579"/>
      <c r="N13" s="559"/>
      <c r="O13" s="580">
        <f>IF(Data!$Q14="","",YEAR(Data!$Q14))</f>
        <v>1970</v>
      </c>
      <c r="P13" s="580">
        <f>IF(Data!$Q14="","",MONTH(Data!$Q14))</f>
        <v>1</v>
      </c>
      <c r="Q13" s="581">
        <v>25569.042181400462</v>
      </c>
      <c r="R13" s="582"/>
      <c r="S13" s="561"/>
      <c r="T13" s="583"/>
      <c r="U13" s="584"/>
      <c r="V13" s="579"/>
      <c r="W13" s="585"/>
      <c r="X13" s="564" t="str">
        <f t="shared" si="0"/>
        <v/>
      </c>
      <c r="Y13" s="564" t="str">
        <f>IF(Data!$AC14="","",YEAR(Data!$AC14))</f>
        <v/>
      </c>
      <c r="Z13" s="564" t="str">
        <f>IF(Data!$AC14="","",MONTH(Data!$AC14))</f>
        <v/>
      </c>
      <c r="AA13" s="585"/>
      <c r="AB13" s="597"/>
      <c r="AC13" s="585"/>
      <c r="AD13" s="588"/>
      <c r="AE13" s="586">
        <v>25569.042186643517</v>
      </c>
      <c r="AF13" s="562"/>
      <c r="AG13" s="3"/>
      <c r="AH13" s="579"/>
      <c r="AI13" s="589">
        <v>1</v>
      </c>
      <c r="AJ13" s="590" t="s">
        <v>677</v>
      </c>
      <c r="AK13" s="579"/>
      <c r="AL13" s="590" t="s">
        <v>656</v>
      </c>
      <c r="AM13" s="579"/>
      <c r="AN13" s="591"/>
      <c r="AO13" s="579"/>
      <c r="AP13" s="590"/>
      <c r="AQ13" s="579"/>
      <c r="AR13" s="592"/>
      <c r="AS13" s="579"/>
      <c r="AT13" s="593"/>
      <c r="AU13" s="593"/>
      <c r="AV13" s="576" t="str">
        <f t="shared" si="1"/>
        <v/>
      </c>
      <c r="AW13" s="577" t="str">
        <f>IFERROR(IF(tbl_DCFC[[#This Row], [F Montant HT]]="","",tbl_DCFC[[#This Row], [Marge]]/tbl_DCFC[[#This Row], [F Montant HT]]),"")</f>
        <v/>
      </c>
      <c r="AX13" s="8"/>
      <c r="AY13" s="3"/>
      <c r="AZ13" s="3"/>
      <c r="BA13" s="8"/>
    </row>
    <row r="14" spans="1:53" ht="15" customHeight="1" x14ac:dyDescent="0.3">
      <c r="A14" s="557"/>
      <c r="B14" s="558" t="str">
        <f>IFERROR(INDEX(Tabelle2[BU],MATCH(tbl_DCFC[[#This Row], [Categorie]],CAT,0)),"")</f>
        <v>SER</v>
      </c>
      <c r="C14" s="559"/>
      <c r="D14" s="560">
        <v>25569.042180601853</v>
      </c>
      <c r="E14" s="578">
        <v>4623</v>
      </c>
      <c r="F14" s="559" t="s">
        <v>641</v>
      </c>
      <c r="G14" s="559" t="s">
        <v>654</v>
      </c>
      <c r="H14" s="559"/>
      <c r="I14" s="561">
        <v>360.65</v>
      </c>
      <c r="J14" s="559" t="s">
        <v>281</v>
      </c>
      <c r="K14" s="559" t="s">
        <v>548</v>
      </c>
      <c r="L14" s="559" t="s">
        <v>650</v>
      </c>
      <c r="M14" s="579"/>
      <c r="N14" s="559"/>
      <c r="O14" s="580" t="str">
        <f>IF(Data!$Q15="","",YEAR(Data!$Q15))</f>
        <v/>
      </c>
      <c r="P14" s="580" t="str">
        <f>IF(Data!$Q15="","",MONTH(Data!$Q15))</f>
        <v/>
      </c>
      <c r="Q14" s="581">
        <v>25569.042181400462</v>
      </c>
      <c r="R14" s="582"/>
      <c r="S14" s="561"/>
      <c r="T14" s="583"/>
      <c r="U14" s="584"/>
      <c r="V14" s="579"/>
      <c r="W14" s="585"/>
      <c r="X14" s="564" t="str">
        <f t="shared" si="0"/>
        <v/>
      </c>
      <c r="Y14" s="564" t="str">
        <f>IF(Data!$AC15="","",YEAR(Data!$AC15))</f>
        <v/>
      </c>
      <c r="Z14" s="564" t="str">
        <f>IF(Data!$AC15="","",MONTH(Data!$AC15))</f>
        <v/>
      </c>
      <c r="AA14" s="585"/>
      <c r="AB14" s="597"/>
      <c r="AC14" s="585"/>
      <c r="AD14" s="588"/>
      <c r="AE14" s="586">
        <v>25569.042186643517</v>
      </c>
      <c r="AF14" s="562"/>
      <c r="AG14" s="3"/>
      <c r="AH14" s="579"/>
      <c r="AI14" s="598">
        <v>1</v>
      </c>
      <c r="AJ14" s="599" t="s">
        <v>678</v>
      </c>
      <c r="AK14" s="579"/>
      <c r="AL14" s="599" t="s">
        <v>656</v>
      </c>
      <c r="AM14" s="579"/>
      <c r="AN14" s="591"/>
      <c r="AO14" s="579"/>
      <c r="AP14" s="599"/>
      <c r="AQ14" s="579"/>
      <c r="AR14" s="600"/>
      <c r="AS14" s="579"/>
      <c r="AT14" s="601"/>
      <c r="AU14" s="601"/>
      <c r="AV14" s="576" t="str">
        <f t="shared" si="1"/>
        <v/>
      </c>
      <c r="AW14" s="577" t="str">
        <f>IFERROR(IF(tbl_DCFC[[#This Row], [F Montant HT]]="","",tbl_DCFC[[#This Row], [Marge]]/tbl_DCFC[[#This Row], [F Montant HT]]),"")</f>
        <v/>
      </c>
      <c r="AX14" s="8"/>
      <c r="AY14" s="3"/>
      <c r="AZ14" s="3"/>
      <c r="BA14" s="8"/>
    </row>
    <row r="15" spans="1:53" ht="15" customHeight="1" x14ac:dyDescent="0.3">
      <c r="A15" s="557"/>
      <c r="B15" s="558" t="str">
        <f>IFERROR(INDEX(Tabelle2[BU],MATCH(tbl_DCFC[[#This Row], [Categorie]],CAT,0)),"")</f>
        <v>SER</v>
      </c>
      <c r="C15" s="559"/>
      <c r="D15" s="560">
        <v>25569.042181354165</v>
      </c>
      <c r="E15" s="578">
        <v>4626</v>
      </c>
      <c r="F15" s="559" t="s">
        <v>679</v>
      </c>
      <c r="G15" s="559" t="s">
        <v>680</v>
      </c>
      <c r="H15" s="559"/>
      <c r="I15" s="561">
        <v>2193</v>
      </c>
      <c r="J15" s="559" t="s">
        <v>281</v>
      </c>
      <c r="K15" s="559" t="s">
        <v>544</v>
      </c>
      <c r="L15" s="559" t="s">
        <v>642</v>
      </c>
      <c r="M15" s="579"/>
      <c r="N15" s="564" t="str">
        <f t="shared" ref="N15:N25" si="2">IF(Q15&lt;&gt;"","S"&amp;TEXT(WEEKNUM(Q15,21),"00"),"")</f>
        <v/>
      </c>
      <c r="O15" s="564" t="str">
        <f>IF(Data!$Q21="","",YEAR(Data!$Q21))</f>
        <v/>
      </c>
      <c r="P15" s="564" t="str">
        <f>IF(Data!$Q21="","",MONTH(Data!$Q21))</f>
        <v/>
      </c>
      <c r="Q15" s="585"/>
      <c r="R15" s="594"/>
      <c r="S15" s="588"/>
      <c r="T15" s="595"/>
      <c r="U15" s="596"/>
      <c r="V15" s="579"/>
      <c r="W15" s="585"/>
      <c r="X15" s="564" t="str">
        <f t="shared" si="0"/>
        <v/>
      </c>
      <c r="Y15" s="564" t="str">
        <f>IF(Data!$AC21="","",YEAR(Data!$AC21))</f>
        <v/>
      </c>
      <c r="Z15" s="564" t="str">
        <f>IF(Data!$AC21="","",MONTH(Data!$AC21))</f>
        <v/>
      </c>
      <c r="AA15" s="585"/>
      <c r="AB15" s="597"/>
      <c r="AC15" s="585"/>
      <c r="AD15" s="588"/>
      <c r="AE15" s="585"/>
      <c r="AF15" s="562"/>
      <c r="AG15" s="3"/>
      <c r="AH15" s="579"/>
      <c r="AI15" s="589">
        <v>1</v>
      </c>
      <c r="AJ15" s="590" t="s">
        <v>681</v>
      </c>
      <c r="AK15" s="579"/>
      <c r="AL15" s="590" t="s">
        <v>682</v>
      </c>
      <c r="AM15" s="579"/>
      <c r="AN15" s="591"/>
      <c r="AO15" s="579"/>
      <c r="AP15" s="590" t="s">
        <v>683</v>
      </c>
      <c r="AQ15" s="579"/>
      <c r="AR15" s="592"/>
      <c r="AS15" s="579"/>
      <c r="AT15" s="593"/>
      <c r="AU15" s="593"/>
      <c r="AV15" s="576" t="str">
        <f t="shared" si="1"/>
        <v/>
      </c>
      <c r="AW15" s="577" t="str">
        <f>IFERROR(IF(tbl_DCFC[[#This Row], [F Montant HT]]="","",tbl_DCFC[[#This Row], [Marge]]/tbl_DCFC[[#This Row], [F Montant HT]]),"")</f>
        <v/>
      </c>
      <c r="AX15" s="8"/>
      <c r="AY15" s="3"/>
      <c r="AZ15" s="3"/>
      <c r="BA15" s="8"/>
    </row>
    <row r="16" spans="1:53" ht="15" customHeight="1" x14ac:dyDescent="0.3">
      <c r="A16" s="557"/>
      <c r="B16" s="558" t="str">
        <f>IFERROR(INDEX(Tabelle2[BU],MATCH(tbl_DCFC[[#This Row], [Categorie]],CAT,0)),"")</f>
        <v>SER</v>
      </c>
      <c r="C16" s="559"/>
      <c r="D16" s="560">
        <v>25569.042181354165</v>
      </c>
      <c r="E16" s="578">
        <v>4627</v>
      </c>
      <c r="F16" s="559" t="s">
        <v>641</v>
      </c>
      <c r="G16" s="559" t="s">
        <v>680</v>
      </c>
      <c r="H16" s="559"/>
      <c r="I16" s="561">
        <v>2193</v>
      </c>
      <c r="J16" s="559" t="s">
        <v>281</v>
      </c>
      <c r="K16" s="559" t="s">
        <v>544</v>
      </c>
      <c r="L16" s="559" t="s">
        <v>642</v>
      </c>
      <c r="M16" s="579"/>
      <c r="N16" s="564" t="str">
        <f t="shared" si="2"/>
        <v/>
      </c>
      <c r="O16" s="564">
        <f>IF(Data!$Q22="","",YEAR(Data!$Q22))</f>
        <v>1970</v>
      </c>
      <c r="P16" s="564">
        <f>IF(Data!$Q22="","",MONTH(Data!$Q22))</f>
        <v>1</v>
      </c>
      <c r="Q16" s="585"/>
      <c r="R16" s="594"/>
      <c r="S16" s="588"/>
      <c r="T16" s="595"/>
      <c r="U16" s="596"/>
      <c r="V16" s="579"/>
      <c r="W16" s="585"/>
      <c r="X16" s="564" t="str">
        <f t="shared" si="0"/>
        <v/>
      </c>
      <c r="Y16" s="564" t="str">
        <f>IF(Data!$AC22="","",YEAR(Data!$AC22))</f>
        <v/>
      </c>
      <c r="Z16" s="564" t="str">
        <f>IF(Data!$AC22="","",MONTH(Data!$AC22))</f>
        <v/>
      </c>
      <c r="AA16" s="585"/>
      <c r="AB16" s="597"/>
      <c r="AC16" s="585"/>
      <c r="AD16" s="588"/>
      <c r="AE16" s="585"/>
      <c r="AF16" s="562"/>
      <c r="AG16" s="3"/>
      <c r="AH16" s="579"/>
      <c r="AI16" s="598">
        <v>1</v>
      </c>
      <c r="AJ16" s="599" t="s">
        <v>684</v>
      </c>
      <c r="AK16" s="579"/>
      <c r="AL16" s="599" t="s">
        <v>682</v>
      </c>
      <c r="AM16" s="579"/>
      <c r="AN16" s="591"/>
      <c r="AO16" s="579"/>
      <c r="AP16" s="599" t="s">
        <v>685</v>
      </c>
      <c r="AQ16" s="579"/>
      <c r="AR16" s="600"/>
      <c r="AS16" s="579"/>
      <c r="AT16" s="601"/>
      <c r="AU16" s="601"/>
      <c r="AV16" s="576" t="str">
        <f t="shared" si="1"/>
        <v/>
      </c>
      <c r="AW16" s="577" t="str">
        <f>IFERROR(IF(tbl_DCFC[[#This Row], [F Montant HT]]="","",tbl_DCFC[[#This Row], [Marge]]/tbl_DCFC[[#This Row], [F Montant HT]]),"")</f>
        <v/>
      </c>
      <c r="AX16" s="9">
        <v>-7</v>
      </c>
      <c r="AY16" s="3"/>
      <c r="AZ16" s="3"/>
      <c r="BA16" s="9">
        <v>-7</v>
      </c>
    </row>
    <row r="17" spans="1:53" ht="15" customHeight="1" x14ac:dyDescent="0.3">
      <c r="A17" s="557"/>
      <c r="B17" s="558" t="str">
        <f>IFERROR(INDEX(Tabelle2[BU],MATCH(tbl_DCFC[[#This Row], [Categorie]],CAT,0)),"")</f>
        <v>SER</v>
      </c>
      <c r="C17" s="559"/>
      <c r="D17" s="560">
        <v>25569.042180682871</v>
      </c>
      <c r="E17" s="578">
        <v>4630</v>
      </c>
      <c r="F17" s="559" t="s">
        <v>641</v>
      </c>
      <c r="G17" s="559" t="s">
        <v>686</v>
      </c>
      <c r="H17" s="559"/>
      <c r="I17" s="561"/>
      <c r="J17" s="559" t="s">
        <v>281</v>
      </c>
      <c r="K17" s="559" t="s">
        <v>548</v>
      </c>
      <c r="L17" s="559" t="s">
        <v>650</v>
      </c>
      <c r="M17" s="579"/>
      <c r="N17" s="564" t="str">
        <f t="shared" si="2"/>
        <v/>
      </c>
      <c r="O17" s="564" t="str">
        <f>IF(Data!$Q16="","",YEAR(Data!$Q16))</f>
        <v/>
      </c>
      <c r="P17" s="564" t="str">
        <f>IF(Data!$Q16="","",MONTH(Data!$Q16))</f>
        <v/>
      </c>
      <c r="Q17" s="585"/>
      <c r="R17" s="594"/>
      <c r="S17" s="588"/>
      <c r="T17" s="595"/>
      <c r="U17" s="596"/>
      <c r="V17" s="579"/>
      <c r="W17" s="585"/>
      <c r="X17" s="564" t="str">
        <f t="shared" si="0"/>
        <v/>
      </c>
      <c r="Y17" s="564" t="str">
        <f>IF(Data!$AC16="","",YEAR(Data!$AC16))</f>
        <v/>
      </c>
      <c r="Z17" s="564" t="str">
        <f>IF(Data!$AC16="","",MONTH(Data!$AC16))</f>
        <v/>
      </c>
      <c r="AA17" s="585"/>
      <c r="AB17" s="597"/>
      <c r="AC17" s="585"/>
      <c r="AD17" s="588"/>
      <c r="AE17" s="585"/>
      <c r="AF17" s="562"/>
      <c r="AG17" s="3"/>
      <c r="AH17" s="579"/>
      <c r="AI17" s="598">
        <v>3</v>
      </c>
      <c r="AJ17" s="599" t="s">
        <v>687</v>
      </c>
      <c r="AK17" s="579"/>
      <c r="AL17" s="599" t="s">
        <v>688</v>
      </c>
      <c r="AM17" s="579"/>
      <c r="AN17" s="591"/>
      <c r="AO17" s="579"/>
      <c r="AP17" s="599" t="s">
        <v>689</v>
      </c>
      <c r="AQ17" s="579"/>
      <c r="AR17" s="600"/>
      <c r="AS17" s="579"/>
      <c r="AT17" s="601"/>
      <c r="AU17" s="601"/>
      <c r="AV17" s="576" t="str">
        <f t="shared" si="1"/>
        <v/>
      </c>
      <c r="AW17" s="577" t="str">
        <f>IFERROR(IF(tbl_DCFC[[#This Row], [F Montant HT]]="","",tbl_DCFC[[#This Row], [Marge]]/tbl_DCFC[[#This Row], [F Montant HT]]),"")</f>
        <v/>
      </c>
      <c r="AX17" s="8"/>
      <c r="AY17" s="3"/>
      <c r="AZ17" s="3"/>
      <c r="BA17" s="8"/>
    </row>
    <row r="18" spans="1:53" ht="15" customHeight="1" x14ac:dyDescent="0.3">
      <c r="A18" s="557"/>
      <c r="B18" s="558" t="str">
        <f>IFERROR(INDEX(Tabelle2[BU],MATCH(tbl_DCFC[[#This Row], [Categorie]],CAT,0)),"")</f>
        <v>SER</v>
      </c>
      <c r="C18" s="559"/>
      <c r="D18" s="560">
        <v>25569.042181249999</v>
      </c>
      <c r="E18" s="578">
        <v>4631</v>
      </c>
      <c r="F18" s="559" t="s">
        <v>679</v>
      </c>
      <c r="G18" s="559" t="s">
        <v>686</v>
      </c>
      <c r="H18" s="559"/>
      <c r="I18" s="561">
        <v>7057</v>
      </c>
      <c r="J18" s="559" t="s">
        <v>281</v>
      </c>
      <c r="K18" s="559" t="s">
        <v>548</v>
      </c>
      <c r="L18" s="559" t="s">
        <v>650</v>
      </c>
      <c r="M18" s="579"/>
      <c r="N18" s="564" t="str">
        <f t="shared" si="2"/>
        <v/>
      </c>
      <c r="O18" s="564" t="str">
        <f>IF(Data!$Q19="","",YEAR(Data!$Q19))</f>
        <v/>
      </c>
      <c r="P18" s="564" t="str">
        <f>IF(Data!$Q19="","",MONTH(Data!$Q19))</f>
        <v/>
      </c>
      <c r="Q18" s="585"/>
      <c r="R18" s="594"/>
      <c r="S18" s="588"/>
      <c r="T18" s="595"/>
      <c r="U18" s="596"/>
      <c r="V18" s="579"/>
      <c r="W18" s="585"/>
      <c r="X18" s="564" t="str">
        <f t="shared" si="0"/>
        <v/>
      </c>
      <c r="Y18" s="564" t="str">
        <f>IF(Data!$AC19="","",YEAR(Data!$AC19))</f>
        <v/>
      </c>
      <c r="Z18" s="564" t="str">
        <f>IF(Data!$AC19="","",MONTH(Data!$AC19))</f>
        <v/>
      </c>
      <c r="AA18" s="585"/>
      <c r="AB18" s="597"/>
      <c r="AC18" s="585"/>
      <c r="AD18" s="588"/>
      <c r="AE18" s="585"/>
      <c r="AF18" s="562"/>
      <c r="AG18" s="3"/>
      <c r="AH18" s="579"/>
      <c r="AI18" s="589">
        <v>1</v>
      </c>
      <c r="AJ18" s="590" t="s">
        <v>690</v>
      </c>
      <c r="AK18" s="579"/>
      <c r="AL18" s="590" t="s">
        <v>691</v>
      </c>
      <c r="AM18" s="579"/>
      <c r="AN18" s="591"/>
      <c r="AO18" s="579"/>
      <c r="AP18" s="590" t="s">
        <v>692</v>
      </c>
      <c r="AQ18" s="579"/>
      <c r="AR18" s="592"/>
      <c r="AS18" s="579"/>
      <c r="AT18" s="593"/>
      <c r="AU18" s="593"/>
      <c r="AV18" s="576" t="str">
        <f t="shared" si="1"/>
        <v/>
      </c>
      <c r="AW18" s="577" t="str">
        <f>IFERROR(IF(tbl_DCFC[[#This Row], [F Montant HT]]="","",tbl_DCFC[[#This Row], [Marge]]/tbl_DCFC[[#This Row], [F Montant HT]]),"")</f>
        <v/>
      </c>
      <c r="AX18" s="8"/>
      <c r="AY18" s="3"/>
      <c r="AZ18" s="3"/>
      <c r="BA18" s="8"/>
    </row>
    <row r="19" spans="1:53" ht="15" customHeight="1" x14ac:dyDescent="0.3">
      <c r="A19" s="603">
        <v>25569.042182500001</v>
      </c>
      <c r="B19" s="558" t="str">
        <f>IFERROR(INDEX(Tabelle2[BU],MATCH(tbl_DCFC[[#This Row], [Categorie]],CAT,0)),"")</f>
        <v>SER</v>
      </c>
      <c r="C19" s="604" t="str">
        <f>IF(D19&lt;&gt;"","S"&amp;TEXT(WEEKNUM(D19,21),"00"),"")</f>
        <v>S01</v>
      </c>
      <c r="D19" s="603">
        <v>25569.042182500001</v>
      </c>
      <c r="E19" s="588">
        <v>4631</v>
      </c>
      <c r="F19" s="591" t="s">
        <v>693</v>
      </c>
      <c r="G19" s="591" t="s">
        <v>686</v>
      </c>
      <c r="H19" s="591"/>
      <c r="I19" s="588">
        <v>7387</v>
      </c>
      <c r="J19" s="591" t="s">
        <v>281</v>
      </c>
      <c r="K19" s="591" t="s">
        <v>548</v>
      </c>
      <c r="L19" s="605" t="s">
        <v>650</v>
      </c>
      <c r="M19" s="579"/>
      <c r="N19" s="606" t="str">
        <f t="shared" si="2"/>
        <v/>
      </c>
      <c r="O19" s="606">
        <f>IF(Data!$Q53="","",YEAR(Data!$Q53))</f>
        <v>1970</v>
      </c>
      <c r="P19" s="606">
        <f>IF(Data!$Q53="","",MONTH(Data!$Q53))</f>
        <v>1</v>
      </c>
      <c r="Q19" s="607"/>
      <c r="R19" s="599"/>
      <c r="S19" s="598"/>
      <c r="T19" s="599"/>
      <c r="U19" s="599"/>
      <c r="V19" s="579"/>
      <c r="W19" s="607"/>
      <c r="X19" s="606" t="str">
        <f t="shared" si="0"/>
        <v/>
      </c>
      <c r="Y19" s="606">
        <f>IF(Data!$AC53="","",YEAR(Data!$AC53))</f>
        <v>1970</v>
      </c>
      <c r="Z19" s="606">
        <f>IF(Data!$AC53="","",MONTH(Data!$AC53))</f>
        <v>1</v>
      </c>
      <c r="AA19" s="607"/>
      <c r="AB19" s="608"/>
      <c r="AC19" s="607"/>
      <c r="AD19" s="598"/>
      <c r="AE19" s="607"/>
      <c r="AF19" s="562"/>
      <c r="AG19" s="3"/>
      <c r="AH19" s="579"/>
      <c r="AI19" s="598">
        <v>1</v>
      </c>
      <c r="AJ19" s="599" t="s">
        <v>690</v>
      </c>
      <c r="AK19" s="579"/>
      <c r="AL19" s="599"/>
      <c r="AM19" s="579"/>
      <c r="AN19" s="591"/>
      <c r="AO19" s="579"/>
      <c r="AP19" s="599" t="s">
        <v>692</v>
      </c>
      <c r="AQ19" s="579"/>
      <c r="AR19" s="600"/>
      <c r="AS19" s="579"/>
      <c r="AT19" s="601"/>
      <c r="AU19" s="601"/>
      <c r="AV19" s="576" t="str">
        <f t="shared" si="1"/>
        <v/>
      </c>
      <c r="AW19" s="577" t="str">
        <f>IFERROR(IF(tbl_DCFC[[#This Row], [F Montant HT]]="","",tbl_DCFC[[#This Row], [Marge]]/tbl_DCFC[[#This Row], [F Montant HT]]),"")</f>
        <v/>
      </c>
      <c r="AX19" s="8"/>
      <c r="AY19" s="3"/>
      <c r="AZ19" s="3"/>
      <c r="BA19" s="8"/>
    </row>
    <row r="20" spans="1:53" ht="15" customHeight="1" x14ac:dyDescent="0.3">
      <c r="A20" s="557"/>
      <c r="B20" s="558" t="str">
        <f>IFERROR(INDEX(Tabelle2[BU],MATCH(tbl_DCFC[[#This Row], [Categorie]],CAT,0)),"")</f>
        <v>SER</v>
      </c>
      <c r="C20" s="559"/>
      <c r="D20" s="560">
        <v>25569.042181099536</v>
      </c>
      <c r="E20" s="578">
        <v>4633</v>
      </c>
      <c r="F20" s="559" t="s">
        <v>641</v>
      </c>
      <c r="G20" s="559" t="s">
        <v>694</v>
      </c>
      <c r="H20" s="559"/>
      <c r="I20" s="561">
        <v>1200</v>
      </c>
      <c r="J20" s="559" t="s">
        <v>281</v>
      </c>
      <c r="K20" s="559" t="s">
        <v>548</v>
      </c>
      <c r="L20" s="559" t="s">
        <v>650</v>
      </c>
      <c r="M20" s="579"/>
      <c r="N20" s="564" t="str">
        <f t="shared" si="2"/>
        <v/>
      </c>
      <c r="O20" s="564" t="str">
        <f>IF(Data!$Q18="","",YEAR(Data!$Q18))</f>
        <v/>
      </c>
      <c r="P20" s="564" t="str">
        <f>IF(Data!$Q18="","",MONTH(Data!$Q18))</f>
        <v/>
      </c>
      <c r="Q20" s="585"/>
      <c r="R20" s="594"/>
      <c r="S20" s="588"/>
      <c r="T20" s="595"/>
      <c r="U20" s="596"/>
      <c r="V20" s="579"/>
      <c r="W20" s="585"/>
      <c r="X20" s="564" t="str">
        <f t="shared" si="0"/>
        <v/>
      </c>
      <c r="Y20" s="564" t="str">
        <f>IF(Data!$AC18="","",YEAR(Data!$AC18))</f>
        <v/>
      </c>
      <c r="Z20" s="564" t="str">
        <f>IF(Data!$AC18="","",MONTH(Data!$AC18))</f>
        <v/>
      </c>
      <c r="AA20" s="585"/>
      <c r="AB20" s="597"/>
      <c r="AC20" s="585"/>
      <c r="AD20" s="588"/>
      <c r="AE20" s="585"/>
      <c r="AF20" s="562"/>
      <c r="AG20" s="3"/>
      <c r="AH20" s="579"/>
      <c r="AI20" s="589">
        <v>13</v>
      </c>
      <c r="AJ20" s="590" t="s">
        <v>695</v>
      </c>
      <c r="AK20" s="579"/>
      <c r="AL20" s="590" t="s">
        <v>696</v>
      </c>
      <c r="AM20" s="579"/>
      <c r="AN20" s="591"/>
      <c r="AO20" s="579"/>
      <c r="AP20" s="590" t="s">
        <v>697</v>
      </c>
      <c r="AQ20" s="579"/>
      <c r="AR20" s="592"/>
      <c r="AS20" s="579"/>
      <c r="AT20" s="593"/>
      <c r="AU20" s="593"/>
      <c r="AV20" s="576" t="str">
        <f t="shared" si="1"/>
        <v/>
      </c>
      <c r="AW20" s="577" t="str">
        <f>IFERROR(IF(tbl_DCFC[[#This Row], [F Montant HT]]="","",tbl_DCFC[[#This Row], [Marge]]/tbl_DCFC[[#This Row], [F Montant HT]]),"")</f>
        <v/>
      </c>
      <c r="AX20" s="8"/>
      <c r="AY20" s="3"/>
      <c r="AZ20" s="3"/>
      <c r="BA20" s="8"/>
    </row>
    <row r="21" spans="1:53" ht="15" customHeight="1" x14ac:dyDescent="0.3">
      <c r="A21" s="557"/>
      <c r="B21" s="558" t="str">
        <f>IFERROR(INDEX(Tabelle2[BU],MATCH(tbl_DCFC[[#This Row], [Categorie]],CAT,0)),"")</f>
        <v>SER</v>
      </c>
      <c r="C21" s="559"/>
      <c r="D21" s="560">
        <v>25569.042180682871</v>
      </c>
      <c r="E21" s="578">
        <v>4634</v>
      </c>
      <c r="F21" s="559" t="s">
        <v>641</v>
      </c>
      <c r="G21" s="559" t="s">
        <v>698</v>
      </c>
      <c r="H21" s="559"/>
      <c r="I21" s="561"/>
      <c r="J21" s="559" t="s">
        <v>281</v>
      </c>
      <c r="K21" s="559" t="s">
        <v>544</v>
      </c>
      <c r="L21" s="559" t="s">
        <v>642</v>
      </c>
      <c r="M21" s="579"/>
      <c r="N21" s="564" t="str">
        <f t="shared" si="2"/>
        <v/>
      </c>
      <c r="O21" s="564" t="str">
        <f>IF(Data!$Q17="","",YEAR(Data!$Q17))</f>
        <v/>
      </c>
      <c r="P21" s="564" t="str">
        <f>IF(Data!$Q17="","",MONTH(Data!$Q17))</f>
        <v/>
      </c>
      <c r="Q21" s="585"/>
      <c r="R21" s="594"/>
      <c r="S21" s="588"/>
      <c r="T21" s="595"/>
      <c r="U21" s="596"/>
      <c r="V21" s="579"/>
      <c r="W21" s="585"/>
      <c r="X21" s="564" t="str">
        <f t="shared" si="0"/>
        <v/>
      </c>
      <c r="Y21" s="564" t="str">
        <f>IF(Data!$AC17="","",YEAR(Data!$AC17))</f>
        <v/>
      </c>
      <c r="Z21" s="564" t="str">
        <f>IF(Data!$AC17="","",MONTH(Data!$AC17))</f>
        <v/>
      </c>
      <c r="AA21" s="585"/>
      <c r="AB21" s="597"/>
      <c r="AC21" s="585"/>
      <c r="AD21" s="588"/>
      <c r="AE21" s="585"/>
      <c r="AF21" s="562"/>
      <c r="AG21" s="3"/>
      <c r="AH21" s="579"/>
      <c r="AI21" s="598">
        <v>1</v>
      </c>
      <c r="AJ21" s="599" t="s">
        <v>699</v>
      </c>
      <c r="AK21" s="579"/>
      <c r="AL21" s="599" t="s">
        <v>700</v>
      </c>
      <c r="AM21" s="579"/>
      <c r="AN21" s="591"/>
      <c r="AO21" s="579"/>
      <c r="AP21" s="599" t="s">
        <v>701</v>
      </c>
      <c r="AQ21" s="579"/>
      <c r="AR21" s="600"/>
      <c r="AS21" s="579"/>
      <c r="AT21" s="601"/>
      <c r="AU21" s="601"/>
      <c r="AV21" s="576" t="str">
        <f t="shared" si="1"/>
        <v/>
      </c>
      <c r="AW21" s="577" t="str">
        <f>IFERROR(IF(tbl_DCFC[[#This Row], [F Montant HT]]="","",tbl_DCFC[[#This Row], [Marge]]/tbl_DCFC[[#This Row], [F Montant HT]]),"")</f>
        <v/>
      </c>
      <c r="AX21" s="8"/>
      <c r="AY21" s="3"/>
      <c r="AZ21" s="3"/>
      <c r="BA21" s="8"/>
    </row>
    <row r="22" spans="1:53" ht="15" customHeight="1" x14ac:dyDescent="0.3">
      <c r="A22" s="603">
        <v>25569.042182557871</v>
      </c>
      <c r="B22" s="558" t="str">
        <f>IFERROR(INDEX(Tabelle2[BU],MATCH(tbl_DCFC[[#This Row], [Categorie]],CAT,0)),"")</f>
        <v>SER</v>
      </c>
      <c r="C22" s="604" t="str">
        <f>IF(D22&lt;&gt;"","S"&amp;TEXT(WEEKNUM(D22,21),"00"),"")</f>
        <v>S01</v>
      </c>
      <c r="D22" s="603">
        <v>25569.042182557871</v>
      </c>
      <c r="E22" s="588">
        <v>4641</v>
      </c>
      <c r="F22" s="591" t="s">
        <v>679</v>
      </c>
      <c r="G22" s="591" t="s">
        <v>686</v>
      </c>
      <c r="H22" s="591"/>
      <c r="I22" s="588">
        <v>2715</v>
      </c>
      <c r="J22" s="591" t="s">
        <v>281</v>
      </c>
      <c r="K22" s="591" t="s">
        <v>548</v>
      </c>
      <c r="L22" s="605" t="s">
        <v>646</v>
      </c>
      <c r="M22" s="579"/>
      <c r="N22" s="606" t="str">
        <f t="shared" si="2"/>
        <v>S01</v>
      </c>
      <c r="O22" s="606">
        <f>IF(Data!$Q56="","",YEAR(Data!$Q56))</f>
        <v>1970</v>
      </c>
      <c r="P22" s="606">
        <f>IF(Data!$Q56="","",MONTH(Data!$Q56))</f>
        <v>1</v>
      </c>
      <c r="Q22" s="609">
        <v>25569.042183182872</v>
      </c>
      <c r="R22" s="599" t="s">
        <v>702</v>
      </c>
      <c r="S22" s="598">
        <v>2715</v>
      </c>
      <c r="T22" s="599"/>
      <c r="U22" s="599"/>
      <c r="V22" s="579"/>
      <c r="W22" s="607"/>
      <c r="X22" s="606" t="str">
        <f t="shared" si="0"/>
        <v/>
      </c>
      <c r="Y22" s="606">
        <f>IF(Data!$AC56="","",YEAR(Data!$AC56))</f>
        <v>1970</v>
      </c>
      <c r="Z22" s="606">
        <f>IF(Data!$AC56="","",MONTH(Data!$AC56))</f>
        <v>1</v>
      </c>
      <c r="AA22" s="607"/>
      <c r="AB22" s="608"/>
      <c r="AC22" s="607"/>
      <c r="AD22" s="598"/>
      <c r="AE22" s="609">
        <v>25569.042183391204</v>
      </c>
      <c r="AF22" s="562"/>
      <c r="AG22" s="3"/>
      <c r="AH22" s="579"/>
      <c r="AI22" s="598">
        <v>1</v>
      </c>
      <c r="AJ22" s="599" t="s">
        <v>703</v>
      </c>
      <c r="AK22" s="579"/>
      <c r="AL22" s="599" t="s">
        <v>704</v>
      </c>
      <c r="AM22" s="579"/>
      <c r="AN22" s="591"/>
      <c r="AO22" s="579"/>
      <c r="AP22" s="599" t="s">
        <v>705</v>
      </c>
      <c r="AQ22" s="579"/>
      <c r="AR22" s="600"/>
      <c r="AS22" s="579"/>
      <c r="AT22" s="601"/>
      <c r="AU22" s="601"/>
      <c r="AV22" s="576" t="str">
        <f t="shared" si="1"/>
        <v/>
      </c>
      <c r="AW22" s="577" t="str">
        <f>IFERROR(IF(tbl_DCFC[[#This Row], [F Montant HT]]="","",tbl_DCFC[[#This Row], [Marge]]/tbl_DCFC[[#This Row], [F Montant HT]]),"")</f>
        <v/>
      </c>
      <c r="AX22" s="8"/>
      <c r="AY22" s="3"/>
      <c r="AZ22" s="3"/>
      <c r="BA22" s="8"/>
    </row>
    <row r="23" spans="1:53" ht="15" customHeight="1" x14ac:dyDescent="0.3">
      <c r="A23" s="557"/>
      <c r="B23" s="558" t="str">
        <f>IFERROR(INDEX(Tabelle2[BU],MATCH(tbl_DCFC[[#This Row], [Categorie]],CAT,0)),"")</f>
        <v>TOO</v>
      </c>
      <c r="C23" s="559"/>
      <c r="D23" s="560">
        <v>25569.042181249999</v>
      </c>
      <c r="E23" s="578">
        <v>4656</v>
      </c>
      <c r="F23" s="559" t="s">
        <v>641</v>
      </c>
      <c r="G23" s="559" t="s">
        <v>706</v>
      </c>
      <c r="H23" s="559"/>
      <c r="I23" s="561">
        <v>6610</v>
      </c>
      <c r="J23" s="559" t="s">
        <v>281</v>
      </c>
      <c r="K23" s="559" t="s">
        <v>540</v>
      </c>
      <c r="L23" s="559" t="s">
        <v>650</v>
      </c>
      <c r="M23" s="579"/>
      <c r="N23" s="564" t="str">
        <f t="shared" si="2"/>
        <v/>
      </c>
      <c r="O23" s="564" t="str">
        <f>IF(Data!$Q20="","",YEAR(Data!$Q20))</f>
        <v/>
      </c>
      <c r="P23" s="564" t="str">
        <f>IF(Data!$Q20="","",MONTH(Data!$Q20))</f>
        <v/>
      </c>
      <c r="Q23" s="585"/>
      <c r="R23" s="594"/>
      <c r="S23" s="588"/>
      <c r="T23" s="595"/>
      <c r="U23" s="596"/>
      <c r="V23" s="579"/>
      <c r="W23" s="585"/>
      <c r="X23" s="564" t="str">
        <f t="shared" si="0"/>
        <v/>
      </c>
      <c r="Y23" s="564" t="str">
        <f>IF(Data!$AC20="","",YEAR(Data!$AC20))</f>
        <v/>
      </c>
      <c r="Z23" s="564" t="str">
        <f>IF(Data!$AC20="","",MONTH(Data!$AC20))</f>
        <v/>
      </c>
      <c r="AA23" s="585"/>
      <c r="AB23" s="597"/>
      <c r="AC23" s="585"/>
      <c r="AD23" s="588"/>
      <c r="AE23" s="585"/>
      <c r="AF23" s="562"/>
      <c r="AG23" s="3"/>
      <c r="AH23" s="579"/>
      <c r="AI23" s="598">
        <v>1</v>
      </c>
      <c r="AJ23" s="599" t="s">
        <v>707</v>
      </c>
      <c r="AK23" s="579"/>
      <c r="AL23" s="599" t="s">
        <v>708</v>
      </c>
      <c r="AM23" s="579"/>
      <c r="AN23" s="591"/>
      <c r="AO23" s="579"/>
      <c r="AP23" s="599" t="s">
        <v>709</v>
      </c>
      <c r="AQ23" s="579"/>
      <c r="AR23" s="600"/>
      <c r="AS23" s="579"/>
      <c r="AT23" s="601"/>
      <c r="AU23" s="601"/>
      <c r="AV23" s="576" t="str">
        <f t="shared" si="1"/>
        <v/>
      </c>
      <c r="AW23" s="577" t="str">
        <f>IFERROR(IF(tbl_DCFC[[#This Row], [F Montant HT]]="","",tbl_DCFC[[#This Row], [Marge]]/tbl_DCFC[[#This Row], [F Montant HT]]),"")</f>
        <v/>
      </c>
      <c r="AX23" s="8"/>
      <c r="AY23" s="3"/>
      <c r="AZ23" s="3"/>
      <c r="BA23" s="8"/>
    </row>
    <row r="24" spans="1:53" ht="15" customHeight="1" x14ac:dyDescent="0.3">
      <c r="A24" s="557"/>
      <c r="B24" s="558" t="str">
        <f>IFERROR(INDEX(Tabelle2[BU],MATCH(tbl_DCFC[[#This Row], [Categorie]],CAT,0)),"")</f>
        <v>TOO</v>
      </c>
      <c r="C24" s="559"/>
      <c r="D24" s="560">
        <v>25569.042181446759</v>
      </c>
      <c r="E24" s="578">
        <v>4663</v>
      </c>
      <c r="F24" s="559" t="s">
        <v>641</v>
      </c>
      <c r="G24" s="559" t="s">
        <v>710</v>
      </c>
      <c r="H24" s="559"/>
      <c r="I24" s="561"/>
      <c r="J24" s="559" t="s">
        <v>280</v>
      </c>
      <c r="K24" s="559" t="s">
        <v>538</v>
      </c>
      <c r="L24" s="559" t="s">
        <v>650</v>
      </c>
      <c r="M24" s="579"/>
      <c r="N24" s="564" t="str">
        <f t="shared" si="2"/>
        <v/>
      </c>
      <c r="O24" s="564" t="str">
        <f>IF(Data!$Q23="","",YEAR(Data!$Q23))</f>
        <v/>
      </c>
      <c r="P24" s="564" t="str">
        <f>IF(Data!$Q23="","",MONTH(Data!$Q23))</f>
        <v/>
      </c>
      <c r="Q24" s="585"/>
      <c r="R24" s="594"/>
      <c r="S24" s="588"/>
      <c r="T24" s="595"/>
      <c r="U24" s="596"/>
      <c r="V24" s="579"/>
      <c r="W24" s="585"/>
      <c r="X24" s="564" t="str">
        <f t="shared" si="0"/>
        <v/>
      </c>
      <c r="Y24" s="564" t="str">
        <f>IF(Data!$AC23="","",YEAR(Data!$AC23))</f>
        <v/>
      </c>
      <c r="Z24" s="564" t="str">
        <f>IF(Data!$AC23="","",MONTH(Data!$AC23))</f>
        <v/>
      </c>
      <c r="AA24" s="585"/>
      <c r="AB24" s="597"/>
      <c r="AC24" s="585"/>
      <c r="AD24" s="588"/>
      <c r="AE24" s="585"/>
      <c r="AF24" s="562"/>
      <c r="AG24" s="3"/>
      <c r="AH24" s="579"/>
      <c r="AI24" s="610"/>
      <c r="AJ24" s="590"/>
      <c r="AK24" s="579"/>
      <c r="AL24" s="590" t="s">
        <v>711</v>
      </c>
      <c r="AM24" s="579"/>
      <c r="AN24" s="591"/>
      <c r="AO24" s="579"/>
      <c r="AP24" s="590" t="s">
        <v>712</v>
      </c>
      <c r="AQ24" s="579"/>
      <c r="AR24" s="592"/>
      <c r="AS24" s="579"/>
      <c r="AT24" s="593"/>
      <c r="AU24" s="593"/>
      <c r="AV24" s="576" t="str">
        <f t="shared" si="1"/>
        <v/>
      </c>
      <c r="AW24" s="577" t="str">
        <f>IFERROR(IF(tbl_DCFC[[#This Row], [F Montant HT]]="","",tbl_DCFC[[#This Row], [Marge]]/tbl_DCFC[[#This Row], [F Montant HT]]),"")</f>
        <v/>
      </c>
      <c r="AX24" s="8"/>
      <c r="AY24" s="3"/>
      <c r="AZ24" s="3"/>
      <c r="BA24" s="8"/>
    </row>
    <row r="25" spans="1:53" ht="15" customHeight="1" x14ac:dyDescent="0.3">
      <c r="A25" s="557"/>
      <c r="B25" s="558" t="str">
        <f>IFERROR(INDEX(Tabelle2[BU],MATCH(tbl_DCFC[[#This Row], [Categorie]],CAT,0)),"")</f>
        <v>SER</v>
      </c>
      <c r="C25" s="559"/>
      <c r="D25" s="560">
        <v>25569.04218148148</v>
      </c>
      <c r="E25" s="578">
        <v>4666</v>
      </c>
      <c r="F25" s="559" t="s">
        <v>641</v>
      </c>
      <c r="G25" s="559" t="s">
        <v>713</v>
      </c>
      <c r="H25" s="559"/>
      <c r="I25" s="561"/>
      <c r="J25" s="559" t="s">
        <v>280</v>
      </c>
      <c r="K25" s="559" t="s">
        <v>548</v>
      </c>
      <c r="L25" s="559" t="s">
        <v>646</v>
      </c>
      <c r="M25" s="579"/>
      <c r="N25" s="564" t="str">
        <f t="shared" si="2"/>
        <v/>
      </c>
      <c r="O25" s="564" t="str">
        <f>IF(Data!$Q24="","",YEAR(Data!$Q24))</f>
        <v/>
      </c>
      <c r="P25" s="564" t="str">
        <f>IF(Data!$Q24="","",MONTH(Data!$Q24))</f>
        <v/>
      </c>
      <c r="Q25" s="585"/>
      <c r="R25" s="594"/>
      <c r="S25" s="588"/>
      <c r="T25" s="595"/>
      <c r="U25" s="596"/>
      <c r="V25" s="579"/>
      <c r="W25" s="585"/>
      <c r="X25" s="564" t="str">
        <f t="shared" si="0"/>
        <v/>
      </c>
      <c r="Y25" s="564" t="str">
        <f>IF(Data!$AC24="","",YEAR(Data!$AC24))</f>
        <v/>
      </c>
      <c r="Z25" s="564" t="str">
        <f>IF(Data!$AC24="","",MONTH(Data!$AC24))</f>
        <v/>
      </c>
      <c r="AA25" s="585"/>
      <c r="AB25" s="597"/>
      <c r="AC25" s="585"/>
      <c r="AD25" s="588"/>
      <c r="AE25" s="585"/>
      <c r="AF25" s="562"/>
      <c r="AG25" s="3"/>
      <c r="AH25" s="579"/>
      <c r="AI25" s="598">
        <v>1</v>
      </c>
      <c r="AJ25" s="599" t="s">
        <v>714</v>
      </c>
      <c r="AK25" s="579"/>
      <c r="AL25" s="599" t="s">
        <v>715</v>
      </c>
      <c r="AM25" s="579"/>
      <c r="AN25" s="591"/>
      <c r="AO25" s="579"/>
      <c r="AP25" s="599" t="s">
        <v>716</v>
      </c>
      <c r="AQ25" s="579"/>
      <c r="AR25" s="600"/>
      <c r="AS25" s="579"/>
      <c r="AT25" s="601"/>
      <c r="AU25" s="601"/>
      <c r="AV25" s="576" t="str">
        <f t="shared" si="1"/>
        <v/>
      </c>
      <c r="AW25" s="577" t="str">
        <f>IFERROR(IF(tbl_DCFC[[#This Row], [F Montant HT]]="","",tbl_DCFC[[#This Row], [Marge]]/tbl_DCFC[[#This Row], [F Montant HT]]),"")</f>
        <v/>
      </c>
      <c r="AX25" s="8"/>
      <c r="AY25" s="3"/>
      <c r="AZ25" s="3"/>
      <c r="BA25" s="8"/>
    </row>
    <row r="26" spans="1:53" ht="15" customHeight="1" x14ac:dyDescent="0.3">
      <c r="A26" s="557"/>
      <c r="B26" s="558" t="str">
        <f>IFERROR(INDEX(Tabelle2[BU],MATCH(tbl_DCFC[[#This Row], [Categorie]],CAT,0)),"")</f>
        <v>SER</v>
      </c>
      <c r="C26" s="559"/>
      <c r="D26" s="560">
        <v>25569.042181516204</v>
      </c>
      <c r="E26" s="578">
        <v>4668</v>
      </c>
      <c r="F26" s="559" t="s">
        <v>641</v>
      </c>
      <c r="G26" s="559" t="s">
        <v>336</v>
      </c>
      <c r="H26" s="559"/>
      <c r="I26" s="561">
        <v>3180</v>
      </c>
      <c r="J26" s="559" t="s">
        <v>281</v>
      </c>
      <c r="K26" s="559" t="s">
        <v>544</v>
      </c>
      <c r="L26" s="559" t="s">
        <v>646</v>
      </c>
      <c r="M26" s="579"/>
      <c r="N26" s="559"/>
      <c r="O26" s="580" t="str">
        <f>IF(Data!$Q25="","",YEAR(Data!$Q25))</f>
        <v/>
      </c>
      <c r="P26" s="580" t="str">
        <f>IF(Data!$Q25="","",MONTH(Data!$Q25))</f>
        <v/>
      </c>
      <c r="Q26" s="581">
        <v>25569.042181886573</v>
      </c>
      <c r="R26" s="582" t="s">
        <v>717</v>
      </c>
      <c r="S26" s="561">
        <v>3180</v>
      </c>
      <c r="T26" s="583"/>
      <c r="U26" s="584"/>
      <c r="V26" s="579"/>
      <c r="W26" s="586">
        <v>25569.042181898149</v>
      </c>
      <c r="X26" s="564" t="str">
        <f t="shared" si="0"/>
        <v>S01</v>
      </c>
      <c r="Y26" s="564" t="str">
        <f>IF(Data!$AC25="","",YEAR(Data!$AC25))</f>
        <v/>
      </c>
      <c r="Z26" s="564" t="str">
        <f>IF(Data!$AC25="","",MONTH(Data!$AC25))</f>
        <v/>
      </c>
      <c r="AA26" s="586">
        <v>25569.042182534722</v>
      </c>
      <c r="AB26" s="587">
        <v>5188</v>
      </c>
      <c r="AC26" s="586">
        <v>25569.042182569443</v>
      </c>
      <c r="AD26" s="588">
        <v>3180</v>
      </c>
      <c r="AE26" s="586">
        <v>25569.042182974536</v>
      </c>
      <c r="AF26" s="562"/>
      <c r="AG26" s="3"/>
      <c r="AH26" s="579"/>
      <c r="AI26" s="598">
        <v>6</v>
      </c>
      <c r="AJ26" s="599" t="s">
        <v>718</v>
      </c>
      <c r="AK26" s="579"/>
      <c r="AL26" s="599" t="s">
        <v>719</v>
      </c>
      <c r="AM26" s="579"/>
      <c r="AN26" s="591"/>
      <c r="AO26" s="579"/>
      <c r="AP26" s="599" t="s">
        <v>720</v>
      </c>
      <c r="AQ26" s="579"/>
      <c r="AR26" s="600"/>
      <c r="AS26" s="579"/>
      <c r="AT26" s="601">
        <v>1000</v>
      </c>
      <c r="AU26" s="601">
        <v>1437</v>
      </c>
      <c r="AV26" s="576">
        <f t="shared" si="1"/>
        <v>743</v>
      </c>
      <c r="AW26" s="577">
        <f>IFERROR(IF(tbl_DCFC[[#This Row], [F Montant HT]]="","",tbl_DCFC[[#This Row], [Marge]]/tbl_DCFC[[#This Row], [F Montant HT]]),"")</f>
        <v>0.23364779874213837</v>
      </c>
      <c r="AX26" s="8"/>
      <c r="AY26" s="3"/>
      <c r="AZ26" s="3"/>
      <c r="BA26" s="8"/>
    </row>
    <row r="27" spans="1:53" ht="15" customHeight="1" x14ac:dyDescent="0.3">
      <c r="A27" s="557"/>
      <c r="B27" s="558" t="str">
        <f>IFERROR(INDEX(Tabelle2[BU],MATCH(tbl_DCFC[[#This Row], [Categorie]],CAT,0)),"")</f>
        <v>TOO</v>
      </c>
      <c r="C27" s="559"/>
      <c r="D27" s="560">
        <v>25569.042181574074</v>
      </c>
      <c r="E27" s="578">
        <v>4670</v>
      </c>
      <c r="F27" s="559" t="s">
        <v>641</v>
      </c>
      <c r="G27" s="559" t="s">
        <v>645</v>
      </c>
      <c r="H27" s="559"/>
      <c r="I27" s="561">
        <v>5515</v>
      </c>
      <c r="J27" s="559" t="s">
        <v>721</v>
      </c>
      <c r="K27" s="559" t="s">
        <v>550</v>
      </c>
      <c r="L27" s="559" t="s">
        <v>642</v>
      </c>
      <c r="M27" s="579"/>
      <c r="N27" s="564" t="str">
        <f>IF(Q27&lt;&gt;"","S"&amp;TEXT(WEEKNUM(Q27,21),"00"),"")</f>
        <v/>
      </c>
      <c r="O27" s="564">
        <f>IF(Data!$Q26="","",YEAR(Data!$Q26))</f>
        <v>1970</v>
      </c>
      <c r="P27" s="564">
        <f>IF(Data!$Q26="","",MONTH(Data!$Q26))</f>
        <v>1</v>
      </c>
      <c r="Q27" s="585"/>
      <c r="R27" s="594"/>
      <c r="S27" s="588"/>
      <c r="T27" s="595"/>
      <c r="U27" s="596"/>
      <c r="V27" s="579"/>
      <c r="W27" s="585"/>
      <c r="X27" s="564" t="str">
        <f t="shared" si="0"/>
        <v/>
      </c>
      <c r="Y27" s="564">
        <f>IF(Data!$AC26="","",YEAR(Data!$AC26))</f>
        <v>1970</v>
      </c>
      <c r="Z27" s="564">
        <f>IF(Data!$AC26="","",MONTH(Data!$AC26))</f>
        <v>1</v>
      </c>
      <c r="AA27" s="585"/>
      <c r="AB27" s="597"/>
      <c r="AC27" s="585"/>
      <c r="AD27" s="588"/>
      <c r="AE27" s="585"/>
      <c r="AF27" s="562"/>
      <c r="AG27" s="3"/>
      <c r="AH27" s="579"/>
      <c r="AI27" s="589">
        <v>1</v>
      </c>
      <c r="AJ27" s="590" t="s">
        <v>722</v>
      </c>
      <c r="AK27" s="579"/>
      <c r="AL27" s="590"/>
      <c r="AM27" s="579"/>
      <c r="AN27" s="591"/>
      <c r="AO27" s="579"/>
      <c r="AP27" s="590"/>
      <c r="AQ27" s="579"/>
      <c r="AR27" s="592"/>
      <c r="AS27" s="579"/>
      <c r="AT27" s="593"/>
      <c r="AU27" s="593"/>
      <c r="AV27" s="576" t="str">
        <f t="shared" si="1"/>
        <v/>
      </c>
      <c r="AW27" s="577" t="str">
        <f>IFERROR(IF(tbl_DCFC[[#This Row], [F Montant HT]]="","",tbl_DCFC[[#This Row], [Marge]]/tbl_DCFC[[#This Row], [F Montant HT]]),"")</f>
        <v/>
      </c>
      <c r="AX27" s="8"/>
      <c r="AY27" s="3"/>
      <c r="AZ27" s="3"/>
      <c r="BA27" s="8"/>
    </row>
    <row r="28" spans="1:53" ht="13.5" customHeight="1" x14ac:dyDescent="0.3">
      <c r="A28" s="557"/>
      <c r="B28" s="558" t="str">
        <f>IFERROR(INDEX(Tabelle2[BU],MATCH(tbl_DCFC[[#This Row], [Categorie]],CAT,0)),"")</f>
        <v>TOO</v>
      </c>
      <c r="C28" s="559"/>
      <c r="D28" s="560">
        <v>25569.04218158565</v>
      </c>
      <c r="E28" s="578">
        <v>4671</v>
      </c>
      <c r="F28" s="559" t="s">
        <v>641</v>
      </c>
      <c r="G28" s="559" t="s">
        <v>336</v>
      </c>
      <c r="H28" s="559"/>
      <c r="I28" s="561"/>
      <c r="J28" s="559" t="s">
        <v>281</v>
      </c>
      <c r="K28" s="559" t="s">
        <v>551</v>
      </c>
      <c r="L28" s="559" t="s">
        <v>650</v>
      </c>
      <c r="M28" s="579"/>
      <c r="N28" s="564" t="str">
        <f>IF(Q28&lt;&gt;"","S"&amp;TEXT(WEEKNUM(Q28,21),"00"),"")</f>
        <v/>
      </c>
      <c r="O28" s="564" t="str">
        <f>IF(Data!$Q27="","",YEAR(Data!$Q27))</f>
        <v/>
      </c>
      <c r="P28" s="564" t="str">
        <f>IF(Data!$Q27="","",MONTH(Data!$Q27))</f>
        <v/>
      </c>
      <c r="Q28" s="585"/>
      <c r="R28" s="594"/>
      <c r="S28" s="588"/>
      <c r="T28" s="595"/>
      <c r="U28" s="596"/>
      <c r="V28" s="579"/>
      <c r="W28" s="585"/>
      <c r="X28" s="564" t="str">
        <f t="shared" si="0"/>
        <v/>
      </c>
      <c r="Y28" s="564" t="str">
        <f>IF(Data!$AC27="","",YEAR(Data!$AC27))</f>
        <v/>
      </c>
      <c r="Z28" s="564" t="str">
        <f>IF(Data!$AC27="","",MONTH(Data!$AC27))</f>
        <v/>
      </c>
      <c r="AA28" s="585"/>
      <c r="AB28" s="597"/>
      <c r="AC28" s="585"/>
      <c r="AD28" s="588"/>
      <c r="AE28" s="585"/>
      <c r="AF28" s="562"/>
      <c r="AG28" s="3"/>
      <c r="AH28" s="579"/>
      <c r="AI28" s="598">
        <v>1</v>
      </c>
      <c r="AJ28" s="599" t="s">
        <v>723</v>
      </c>
      <c r="AK28" s="579"/>
      <c r="AL28" s="599" t="s">
        <v>724</v>
      </c>
      <c r="AM28" s="579"/>
      <c r="AN28" s="591"/>
      <c r="AO28" s="579"/>
      <c r="AP28" s="599" t="s">
        <v>725</v>
      </c>
      <c r="AQ28" s="579"/>
      <c r="AR28" s="600"/>
      <c r="AS28" s="579"/>
      <c r="AT28" s="601"/>
      <c r="AU28" s="601"/>
      <c r="AV28" s="576" t="str">
        <f t="shared" si="1"/>
        <v/>
      </c>
      <c r="AW28" s="577" t="str">
        <f>IFERROR(IF(tbl_DCFC[[#This Row], [F Montant HT]]="","",tbl_DCFC[[#This Row], [Marge]]/tbl_DCFC[[#This Row], [F Montant HT]]),"")</f>
        <v/>
      </c>
      <c r="AX28" s="8"/>
      <c r="AY28" s="3"/>
      <c r="AZ28" s="3"/>
      <c r="BA28" s="8"/>
    </row>
    <row r="29" spans="1:53" ht="15" customHeight="1" x14ac:dyDescent="0.3">
      <c r="A29" s="557"/>
      <c r="B29" s="558" t="str">
        <f>IFERROR(INDEX(Tabelle2[BU],MATCH(tbl_DCFC[[#This Row], [Categorie]],CAT,0)),"")</f>
        <v>GSE</v>
      </c>
      <c r="C29" s="559"/>
      <c r="D29" s="560">
        <v>25569.04218158565</v>
      </c>
      <c r="E29" s="578">
        <v>4673</v>
      </c>
      <c r="F29" s="559" t="s">
        <v>641</v>
      </c>
      <c r="G29" s="559" t="s">
        <v>336</v>
      </c>
      <c r="H29" s="559"/>
      <c r="I29" s="561">
        <v>8579</v>
      </c>
      <c r="J29" s="559" t="s">
        <v>281</v>
      </c>
      <c r="K29" s="559" t="s">
        <v>534</v>
      </c>
      <c r="L29" s="559" t="s">
        <v>646</v>
      </c>
      <c r="M29" s="579"/>
      <c r="N29" s="564" t="str">
        <f>IF(Q29&lt;&gt;"","S"&amp;TEXT(WEEKNUM(Q29,21),"00"),"")</f>
        <v>S01</v>
      </c>
      <c r="O29" s="564" t="str">
        <f>IF(Data!$Q28="","",YEAR(Data!$Q28))</f>
        <v/>
      </c>
      <c r="P29" s="564" t="str">
        <f>IF(Data!$Q28="","",MONTH(Data!$Q28))</f>
        <v/>
      </c>
      <c r="Q29" s="586">
        <v>25569.042183032409</v>
      </c>
      <c r="R29" s="594" t="s">
        <v>726</v>
      </c>
      <c r="S29" s="588">
        <v>8579</v>
      </c>
      <c r="T29" s="595"/>
      <c r="U29" s="596"/>
      <c r="V29" s="579"/>
      <c r="W29" s="585"/>
      <c r="X29" s="564" t="str">
        <f t="shared" si="0"/>
        <v>S01</v>
      </c>
      <c r="Y29" s="564" t="str">
        <f>IF(Data!$AC28="","",YEAR(Data!$AC28))</f>
        <v/>
      </c>
      <c r="Z29" s="564" t="str">
        <f>IF(Data!$AC28="","",MONTH(Data!$AC28))</f>
        <v/>
      </c>
      <c r="AA29" s="586">
        <v>25569.042183356483</v>
      </c>
      <c r="AB29" s="587">
        <v>5216</v>
      </c>
      <c r="AC29" s="586">
        <v>25569.042183356483</v>
      </c>
      <c r="AD29" s="588">
        <v>8579</v>
      </c>
      <c r="AE29" s="586">
        <v>25569.042183356483</v>
      </c>
      <c r="AF29" s="562"/>
      <c r="AG29" s="3"/>
      <c r="AH29" s="579"/>
      <c r="AI29" s="598">
        <v>1</v>
      </c>
      <c r="AJ29" s="599" t="s">
        <v>727</v>
      </c>
      <c r="AK29" s="579"/>
      <c r="AL29" s="599"/>
      <c r="AM29" s="579"/>
      <c r="AN29" s="591"/>
      <c r="AO29" s="579"/>
      <c r="AP29" s="599" t="s">
        <v>728</v>
      </c>
      <c r="AQ29" s="579"/>
      <c r="AR29" s="600"/>
      <c r="AS29" s="579"/>
      <c r="AT29" s="601"/>
      <c r="AU29" s="601"/>
      <c r="AV29" s="576" t="str">
        <f t="shared" si="1"/>
        <v/>
      </c>
      <c r="AW29" s="577" t="str">
        <f>IFERROR(IF(tbl_DCFC[[#This Row], [F Montant HT]]="","",tbl_DCFC[[#This Row], [Marge]]/tbl_DCFC[[#This Row], [F Montant HT]]),"")</f>
        <v/>
      </c>
      <c r="AX29" s="8"/>
      <c r="AY29" s="3"/>
      <c r="AZ29" s="3"/>
      <c r="BA29" s="8"/>
    </row>
    <row r="30" spans="1:53" ht="15" customHeight="1" x14ac:dyDescent="0.3">
      <c r="A30" s="611"/>
      <c r="B30" s="558" t="str">
        <f>IFERROR(INDEX(Tabelle2[BU],MATCH(tbl_DCFC[[#This Row], [Categorie]],CAT,0)),"")</f>
        <v>TOO</v>
      </c>
      <c r="C30" s="612" t="str">
        <f>IF(D30&lt;&gt;"","S"&amp;TEXT(WEEKNUM(D30,21),"00"),"")</f>
        <v>S01</v>
      </c>
      <c r="D30" s="560">
        <v>25569.042181597222</v>
      </c>
      <c r="E30" s="613">
        <v>4673</v>
      </c>
      <c r="F30" s="614" t="s">
        <v>641</v>
      </c>
      <c r="G30" s="614" t="s">
        <v>336</v>
      </c>
      <c r="H30" s="614"/>
      <c r="I30" s="613">
        <v>9590</v>
      </c>
      <c r="J30" s="614" t="s">
        <v>281</v>
      </c>
      <c r="K30" s="614" t="s">
        <v>538</v>
      </c>
      <c r="L30" s="615" t="s">
        <v>646</v>
      </c>
      <c r="M30" s="579"/>
      <c r="N30" s="606" t="str">
        <f>IF(Q30&lt;&gt;"","S"&amp;TEXT(WEEKNUM(Q30,21),"00"),"")</f>
        <v>S01</v>
      </c>
      <c r="O30" s="606">
        <f>IF(Data!$Q97="","",YEAR(Data!$Q97))</f>
        <v>1970</v>
      </c>
      <c r="P30" s="606">
        <f>IF(Data!$Q97="","",MONTH(Data!$Q97))</f>
        <v>1</v>
      </c>
      <c r="Q30" s="609">
        <v>25569.042183032409</v>
      </c>
      <c r="R30" s="616" t="s">
        <v>726</v>
      </c>
      <c r="S30" s="598">
        <v>9590</v>
      </c>
      <c r="T30" s="599"/>
      <c r="U30" s="599"/>
      <c r="V30" s="579"/>
      <c r="W30" s="607"/>
      <c r="X30" s="606" t="str">
        <f t="shared" si="0"/>
        <v/>
      </c>
      <c r="Y30" s="606">
        <f>IF(Data!$AC97="","",YEAR(Data!$AC97))</f>
        <v>1970</v>
      </c>
      <c r="Z30" s="606">
        <f>IF(Data!$AC97="","",MONTH(Data!$AC97))</f>
        <v>1</v>
      </c>
      <c r="AA30" s="607"/>
      <c r="AB30" s="608"/>
      <c r="AC30" s="607"/>
      <c r="AD30" s="598"/>
      <c r="AE30" s="609">
        <v>25569.042183854166</v>
      </c>
      <c r="AF30" s="562"/>
      <c r="AG30" s="3"/>
      <c r="AH30" s="579"/>
      <c r="AI30" s="598">
        <v>1</v>
      </c>
      <c r="AJ30" s="599" t="s">
        <v>729</v>
      </c>
      <c r="AK30" s="579"/>
      <c r="AL30" s="599"/>
      <c r="AM30" s="579"/>
      <c r="AN30" s="591"/>
      <c r="AO30" s="579"/>
      <c r="AP30" s="599" t="s">
        <v>728</v>
      </c>
      <c r="AQ30" s="579"/>
      <c r="AR30" s="600"/>
      <c r="AS30" s="579"/>
      <c r="AT30" s="601"/>
      <c r="AU30" s="601"/>
      <c r="AV30" s="576" t="str">
        <f t="shared" si="1"/>
        <v/>
      </c>
      <c r="AW30" s="577" t="str">
        <f>IFERROR(IF(tbl_DCFC[[#This Row], [F Montant HT]]="","",tbl_DCFC[[#This Row], [Marge]]/tbl_DCFC[[#This Row], [F Montant HT]]),"")</f>
        <v/>
      </c>
      <c r="AX30" s="8"/>
      <c r="AY30" s="3"/>
      <c r="AZ30" s="3"/>
      <c r="BA30" s="8"/>
    </row>
    <row r="31" spans="1:53" ht="15" customHeight="1" x14ac:dyDescent="0.3">
      <c r="A31" s="557"/>
      <c r="B31" s="558" t="str">
        <f>IFERROR(INDEX(Tabelle2[BU],MATCH(tbl_DCFC[[#This Row], [Categorie]],CAT,0)),"")</f>
        <v>TOO</v>
      </c>
      <c r="C31" s="559"/>
      <c r="D31" s="560">
        <v>25569.04218158565</v>
      </c>
      <c r="E31" s="578">
        <v>4674</v>
      </c>
      <c r="F31" s="559" t="s">
        <v>641</v>
      </c>
      <c r="G31" s="559" t="s">
        <v>336</v>
      </c>
      <c r="H31" s="559"/>
      <c r="I31" s="561"/>
      <c r="J31" s="559" t="s">
        <v>281</v>
      </c>
      <c r="K31" s="559" t="s">
        <v>538</v>
      </c>
      <c r="L31" s="559" t="s">
        <v>650</v>
      </c>
      <c r="M31" s="579"/>
      <c r="N31" s="564" t="str">
        <f>IF(Q31&lt;&gt;"","S"&amp;TEXT(WEEKNUM(Q31,21),"00"),"")</f>
        <v/>
      </c>
      <c r="O31" s="564">
        <f>IF(Data!$Q29="","",YEAR(Data!$Q29))</f>
        <v>1970</v>
      </c>
      <c r="P31" s="564">
        <f>IF(Data!$Q29="","",MONTH(Data!$Q29))</f>
        <v>1</v>
      </c>
      <c r="Q31" s="585"/>
      <c r="R31" s="594"/>
      <c r="S31" s="588"/>
      <c r="T31" s="595"/>
      <c r="U31" s="596"/>
      <c r="V31" s="579"/>
      <c r="W31" s="585"/>
      <c r="X31" s="564" t="str">
        <f t="shared" si="0"/>
        <v/>
      </c>
      <c r="Y31" s="564">
        <f>IF(Data!$AC29="","",YEAR(Data!$AC29))</f>
        <v>1970</v>
      </c>
      <c r="Z31" s="564">
        <f>IF(Data!$AC29="","",MONTH(Data!$AC29))</f>
        <v>1</v>
      </c>
      <c r="AA31" s="585"/>
      <c r="AB31" s="597"/>
      <c r="AC31" s="585"/>
      <c r="AD31" s="588"/>
      <c r="AE31" s="585"/>
      <c r="AF31" s="562"/>
      <c r="AG31" s="3"/>
      <c r="AH31" s="579"/>
      <c r="AI31" s="589">
        <v>6</v>
      </c>
      <c r="AJ31" s="590" t="s">
        <v>730</v>
      </c>
      <c r="AK31" s="579"/>
      <c r="AL31" s="590" t="s">
        <v>731</v>
      </c>
      <c r="AM31" s="579"/>
      <c r="AN31" s="591"/>
      <c r="AO31" s="579"/>
      <c r="AP31" s="590" t="s">
        <v>732</v>
      </c>
      <c r="AQ31" s="579"/>
      <c r="AR31" s="592"/>
      <c r="AS31" s="579"/>
      <c r="AT31" s="593"/>
      <c r="AU31" s="593"/>
      <c r="AV31" s="576" t="str">
        <f t="shared" si="1"/>
        <v/>
      </c>
      <c r="AW31" s="577" t="str">
        <f>IFERROR(IF(tbl_DCFC[[#This Row], [F Montant HT]]="","",tbl_DCFC[[#This Row], [Marge]]/tbl_DCFC[[#This Row], [F Montant HT]]),"")</f>
        <v/>
      </c>
      <c r="AX31" s="8"/>
      <c r="AY31" s="3"/>
      <c r="AZ31" s="3"/>
      <c r="BA31" s="8"/>
    </row>
    <row r="32" spans="1:53" ht="15" customHeight="1" x14ac:dyDescent="0.3">
      <c r="A32" s="557"/>
      <c r="B32" s="558" t="str">
        <f>IFERROR(INDEX(Tabelle2[BU],MATCH(tbl_DCFC[[#This Row], [Categorie]],CAT,0)),"")</f>
        <v>SER</v>
      </c>
      <c r="C32" s="559"/>
      <c r="D32" s="560">
        <v>25569.042181805555</v>
      </c>
      <c r="E32" s="578">
        <v>4677</v>
      </c>
      <c r="F32" s="559" t="s">
        <v>641</v>
      </c>
      <c r="G32" s="559" t="s">
        <v>733</v>
      </c>
      <c r="H32" s="559"/>
      <c r="I32" s="561">
        <v>2400</v>
      </c>
      <c r="J32" s="559" t="s">
        <v>280</v>
      </c>
      <c r="K32" s="559" t="s">
        <v>548</v>
      </c>
      <c r="L32" s="559" t="s">
        <v>646</v>
      </c>
      <c r="M32" s="579"/>
      <c r="N32" s="559"/>
      <c r="O32" s="580">
        <f>IF(Data!$Q30="","",YEAR(Data!$Q30))</f>
        <v>1970</v>
      </c>
      <c r="P32" s="580">
        <f>IF(Data!$Q30="","",MONTH(Data!$Q30))</f>
        <v>1</v>
      </c>
      <c r="Q32" s="581">
        <v>25569.042182048612</v>
      </c>
      <c r="R32" s="582" t="s">
        <v>734</v>
      </c>
      <c r="S32" s="561">
        <v>2400</v>
      </c>
      <c r="T32" s="583"/>
      <c r="U32" s="584"/>
      <c r="V32" s="579"/>
      <c r="W32" s="585"/>
      <c r="X32" s="564" t="str">
        <f t="shared" si="0"/>
        <v/>
      </c>
      <c r="Y32" s="564" t="str">
        <f>IF(Data!$AC30="","",YEAR(Data!$AC30))</f>
        <v/>
      </c>
      <c r="Z32" s="564" t="str">
        <f>IF(Data!$AC30="","",MONTH(Data!$AC30))</f>
        <v/>
      </c>
      <c r="AA32" s="585"/>
      <c r="AB32" s="597"/>
      <c r="AC32" s="585"/>
      <c r="AD32" s="588"/>
      <c r="AE32" s="586">
        <v>25569.042186643517</v>
      </c>
      <c r="AF32" s="562"/>
      <c r="AG32" s="3"/>
      <c r="AH32" s="579"/>
      <c r="AI32" s="589">
        <v>1</v>
      </c>
      <c r="AJ32" s="590" t="s">
        <v>735</v>
      </c>
      <c r="AK32" s="579"/>
      <c r="AL32" s="590"/>
      <c r="AM32" s="579"/>
      <c r="AN32" s="591"/>
      <c r="AO32" s="579"/>
      <c r="AP32" s="590" t="s">
        <v>736</v>
      </c>
      <c r="AQ32" s="579"/>
      <c r="AR32" s="592"/>
      <c r="AS32" s="579"/>
      <c r="AT32" s="593"/>
      <c r="AU32" s="593"/>
      <c r="AV32" s="576" t="str">
        <f t="shared" si="1"/>
        <v/>
      </c>
      <c r="AW32" s="577" t="str">
        <f>IFERROR(IF(tbl_DCFC[[#This Row], [F Montant HT]]="","",tbl_DCFC[[#This Row], [Marge]]/tbl_DCFC[[#This Row], [F Montant HT]]),"")</f>
        <v/>
      </c>
      <c r="AX32" s="8"/>
      <c r="AY32" s="3"/>
      <c r="AZ32" s="3"/>
      <c r="BA32" s="8"/>
    </row>
    <row r="33" spans="1:53" ht="15" customHeight="1" x14ac:dyDescent="0.3">
      <c r="A33" s="557"/>
      <c r="B33" s="558" t="str">
        <f>IFERROR(INDEX(Tabelle2[BU],MATCH(tbl_DCFC[[#This Row], [Categorie]],CAT,0)),"")</f>
        <v>TOO</v>
      </c>
      <c r="C33" s="559"/>
      <c r="D33" s="560">
        <v>25569.042181817131</v>
      </c>
      <c r="E33" s="578">
        <v>4678</v>
      </c>
      <c r="F33" s="559" t="s">
        <v>641</v>
      </c>
      <c r="G33" s="559" t="s">
        <v>645</v>
      </c>
      <c r="H33" s="559"/>
      <c r="I33" s="561">
        <v>4425</v>
      </c>
      <c r="J33" s="559" t="s">
        <v>721</v>
      </c>
      <c r="K33" s="559" t="s">
        <v>550</v>
      </c>
      <c r="L33" s="559" t="s">
        <v>646</v>
      </c>
      <c r="M33" s="579"/>
      <c r="N33" s="559"/>
      <c r="O33" s="580" t="str">
        <f>IF(Data!$Q31="","",YEAR(Data!$Q31))</f>
        <v/>
      </c>
      <c r="P33" s="580" t="str">
        <f>IF(Data!$Q31="","",MONTH(Data!$Q31))</f>
        <v/>
      </c>
      <c r="Q33" s="581">
        <v>25569.042182141202</v>
      </c>
      <c r="R33" s="582" t="s">
        <v>737</v>
      </c>
      <c r="S33" s="561">
        <v>4425</v>
      </c>
      <c r="T33" s="583"/>
      <c r="U33" s="584"/>
      <c r="V33" s="579"/>
      <c r="W33" s="585"/>
      <c r="X33" s="564" t="str">
        <f t="shared" si="0"/>
        <v>S01</v>
      </c>
      <c r="Y33" s="564" t="str">
        <f>IF(Data!$AC31="","",YEAR(Data!$AC31))</f>
        <v/>
      </c>
      <c r="Z33" s="564" t="str">
        <f>IF(Data!$AC31="","",MONTH(Data!$AC31))</f>
        <v/>
      </c>
      <c r="AA33" s="586">
        <v>25569.042182951387</v>
      </c>
      <c r="AB33" s="587">
        <v>5203</v>
      </c>
      <c r="AC33" s="586">
        <v>25569.042182951387</v>
      </c>
      <c r="AD33" s="588">
        <v>4425</v>
      </c>
      <c r="AE33" s="586">
        <v>25569.042182986112</v>
      </c>
      <c r="AF33" s="562"/>
      <c r="AG33" s="3"/>
      <c r="AH33" s="579"/>
      <c r="AI33" s="598">
        <v>1</v>
      </c>
      <c r="AJ33" s="599" t="s">
        <v>666</v>
      </c>
      <c r="AK33" s="579"/>
      <c r="AL33" s="599"/>
      <c r="AM33" s="579"/>
      <c r="AN33" s="591"/>
      <c r="AO33" s="579"/>
      <c r="AP33" s="599" t="s">
        <v>738</v>
      </c>
      <c r="AQ33" s="579"/>
      <c r="AR33" s="600"/>
      <c r="AS33" s="579"/>
      <c r="AT33" s="601">
        <v>3277.5</v>
      </c>
      <c r="AU33" s="601"/>
      <c r="AV33" s="576">
        <f t="shared" si="1"/>
        <v>1147.5</v>
      </c>
      <c r="AW33" s="577">
        <f>IFERROR(IF(tbl_DCFC[[#This Row], [F Montant HT]]="","",tbl_DCFC[[#This Row], [Marge]]/tbl_DCFC[[#This Row], [F Montant HT]]),"")</f>
        <v>0.2593220338983051</v>
      </c>
      <c r="AX33" s="8"/>
      <c r="AY33" s="3"/>
      <c r="AZ33" s="3"/>
      <c r="BA33" s="8"/>
    </row>
    <row r="34" spans="1:53" ht="15" customHeight="1" x14ac:dyDescent="0.3">
      <c r="A34" s="557"/>
      <c r="B34" s="558" t="str">
        <f>IFERROR(INDEX(Tabelle2[BU],MATCH(tbl_DCFC[[#This Row], [Categorie]],CAT,0)),"")</f>
        <v>TOO</v>
      </c>
      <c r="C34" s="559"/>
      <c r="D34" s="560">
        <v>25569.042181817131</v>
      </c>
      <c r="E34" s="578">
        <v>4679</v>
      </c>
      <c r="F34" s="559" t="s">
        <v>641</v>
      </c>
      <c r="G34" s="559" t="s">
        <v>645</v>
      </c>
      <c r="H34" s="559"/>
      <c r="I34" s="561"/>
      <c r="J34" s="559" t="s">
        <v>721</v>
      </c>
      <c r="K34" s="559" t="s">
        <v>550</v>
      </c>
      <c r="L34" s="559" t="s">
        <v>650</v>
      </c>
      <c r="M34" s="579"/>
      <c r="N34" s="564" t="str">
        <f>IF(Q34&lt;&gt;"","S"&amp;TEXT(WEEKNUM(Q34,21),"00"),"")</f>
        <v/>
      </c>
      <c r="O34" s="564">
        <f>IF(Data!$Q32="","",YEAR(Data!$Q32))</f>
        <v>1970</v>
      </c>
      <c r="P34" s="564">
        <f>IF(Data!$Q32="","",MONTH(Data!$Q32))</f>
        <v>1</v>
      </c>
      <c r="Q34" s="585"/>
      <c r="R34" s="594"/>
      <c r="S34" s="588"/>
      <c r="T34" s="595"/>
      <c r="U34" s="596"/>
      <c r="V34" s="579"/>
      <c r="W34" s="585"/>
      <c r="X34" s="564" t="str">
        <f t="shared" si="0"/>
        <v/>
      </c>
      <c r="Y34" s="564" t="str">
        <f>IF(Data!$AC32="","",YEAR(Data!$AC32))</f>
        <v/>
      </c>
      <c r="Z34" s="564" t="str">
        <f>IF(Data!$AC32="","",MONTH(Data!$AC32))</f>
        <v/>
      </c>
      <c r="AA34" s="585"/>
      <c r="AB34" s="597"/>
      <c r="AC34" s="585"/>
      <c r="AD34" s="588"/>
      <c r="AE34" s="585"/>
      <c r="AF34" s="562"/>
      <c r="AG34" s="3"/>
      <c r="AH34" s="579"/>
      <c r="AI34" s="589">
        <v>1</v>
      </c>
      <c r="AJ34" s="590" t="s">
        <v>666</v>
      </c>
      <c r="AK34" s="579"/>
      <c r="AL34" s="590"/>
      <c r="AM34" s="579"/>
      <c r="AN34" s="591"/>
      <c r="AO34" s="579"/>
      <c r="AP34" s="590" t="s">
        <v>739</v>
      </c>
      <c r="AQ34" s="579"/>
      <c r="AR34" s="592"/>
      <c r="AS34" s="579"/>
      <c r="AT34" s="593"/>
      <c r="AU34" s="593"/>
      <c r="AV34" s="576" t="str">
        <f t="shared" si="1"/>
        <v/>
      </c>
      <c r="AW34" s="577" t="str">
        <f>IFERROR(IF(tbl_DCFC[[#This Row], [F Montant HT]]="","",tbl_DCFC[[#This Row], [Marge]]/tbl_DCFC[[#This Row], [F Montant HT]]),"")</f>
        <v/>
      </c>
      <c r="AX34" s="8"/>
      <c r="AY34" s="3"/>
      <c r="AZ34" s="3"/>
      <c r="BA34" s="8"/>
    </row>
    <row r="35" spans="1:53" ht="15" customHeight="1" x14ac:dyDescent="0.3">
      <c r="A35" s="557"/>
      <c r="B35" s="558" t="str">
        <f>IFERROR(INDEX(Tabelle2[BU],MATCH(tbl_DCFC[[#This Row], [Categorie]],CAT,0)),"")</f>
        <v>TOO</v>
      </c>
      <c r="C35" s="559"/>
      <c r="D35" s="560">
        <v>25569.042181886573</v>
      </c>
      <c r="E35" s="578">
        <v>4681</v>
      </c>
      <c r="F35" s="559" t="s">
        <v>641</v>
      </c>
      <c r="G35" s="559" t="s">
        <v>740</v>
      </c>
      <c r="H35" s="559"/>
      <c r="I35" s="561"/>
      <c r="J35" s="559" t="s">
        <v>281</v>
      </c>
      <c r="K35" s="559" t="s">
        <v>550</v>
      </c>
      <c r="L35" s="559" t="s">
        <v>650</v>
      </c>
      <c r="M35" s="579"/>
      <c r="N35" s="564" t="str">
        <f>IF(Q35&lt;&gt;"","S"&amp;TEXT(WEEKNUM(Q35,21),"00"),"")</f>
        <v/>
      </c>
      <c r="O35" s="564">
        <f>IF(Data!$Q33="","",YEAR(Data!$Q33))</f>
        <v>1970</v>
      </c>
      <c r="P35" s="564">
        <f>IF(Data!$Q33="","",MONTH(Data!$Q33))</f>
        <v>1</v>
      </c>
      <c r="Q35" s="585"/>
      <c r="R35" s="594"/>
      <c r="S35" s="588"/>
      <c r="T35" s="595"/>
      <c r="U35" s="596"/>
      <c r="V35" s="579"/>
      <c r="W35" s="585"/>
      <c r="X35" s="564" t="str">
        <f t="shared" ref="X35:X66" si="3">IF(AC35&lt;&gt;"","S"&amp;TEXT(WEEKNUM(AC35,21),"00"),"")</f>
        <v/>
      </c>
      <c r="Y35" s="564">
        <f>IF(Data!$AC33="","",YEAR(Data!$AC33))</f>
        <v>1970</v>
      </c>
      <c r="Z35" s="564">
        <f>IF(Data!$AC33="","",MONTH(Data!$AC33))</f>
        <v>1</v>
      </c>
      <c r="AA35" s="585"/>
      <c r="AB35" s="597"/>
      <c r="AC35" s="585"/>
      <c r="AD35" s="588"/>
      <c r="AE35" s="585"/>
      <c r="AF35" s="562"/>
      <c r="AG35" s="3"/>
      <c r="AH35" s="579"/>
      <c r="AI35" s="598">
        <v>1</v>
      </c>
      <c r="AJ35" s="599" t="s">
        <v>741</v>
      </c>
      <c r="AK35" s="579"/>
      <c r="AL35" s="599" t="s">
        <v>742</v>
      </c>
      <c r="AM35" s="579"/>
      <c r="AN35" s="591"/>
      <c r="AO35" s="579"/>
      <c r="AP35" s="599" t="s">
        <v>743</v>
      </c>
      <c r="AQ35" s="579"/>
      <c r="AR35" s="600"/>
      <c r="AS35" s="579"/>
      <c r="AT35" s="601"/>
      <c r="AU35" s="601"/>
      <c r="AV35" s="576" t="str">
        <f t="shared" ref="AV35:AV66" si="4">IF(AT35="","",S35-AT35-AU35)</f>
        <v/>
      </c>
      <c r="AW35" s="577" t="str">
        <f>IFERROR(IF(tbl_DCFC[[#This Row], [F Montant HT]]="","",tbl_DCFC[[#This Row], [Marge]]/tbl_DCFC[[#This Row], [F Montant HT]]),"")</f>
        <v/>
      </c>
      <c r="AX35" s="8"/>
      <c r="AY35" s="3"/>
      <c r="AZ35" s="3"/>
      <c r="BA35" s="8"/>
    </row>
    <row r="36" spans="1:53" ht="15" customHeight="1" x14ac:dyDescent="0.3">
      <c r="A36" s="557"/>
      <c r="B36" s="558" t="str">
        <f>IFERROR(INDEX(Tabelle2[BU],MATCH(tbl_DCFC[[#This Row], [Categorie]],CAT,0)),"")</f>
        <v>SER</v>
      </c>
      <c r="C36" s="559"/>
      <c r="D36" s="560">
        <v>25569.042181898149</v>
      </c>
      <c r="E36" s="578">
        <v>4683</v>
      </c>
      <c r="F36" s="559" t="s">
        <v>641</v>
      </c>
      <c r="G36" s="559" t="s">
        <v>336</v>
      </c>
      <c r="H36" s="559"/>
      <c r="I36" s="561">
        <v>3460</v>
      </c>
      <c r="J36" s="559" t="s">
        <v>281</v>
      </c>
      <c r="K36" s="559" t="s">
        <v>544</v>
      </c>
      <c r="L36" s="559" t="s">
        <v>646</v>
      </c>
      <c r="M36" s="579"/>
      <c r="N36" s="559"/>
      <c r="O36" s="580" t="str">
        <f>IF(Data!$Q34="","",YEAR(Data!$Q34))</f>
        <v/>
      </c>
      <c r="P36" s="580" t="str">
        <f>IF(Data!$Q34="","",MONTH(Data!$Q34))</f>
        <v/>
      </c>
      <c r="Q36" s="581">
        <v>25569.042182152778</v>
      </c>
      <c r="R36" s="582" t="s">
        <v>744</v>
      </c>
      <c r="S36" s="561">
        <v>3460</v>
      </c>
      <c r="T36" s="583"/>
      <c r="U36" s="584"/>
      <c r="V36" s="579"/>
      <c r="W36" s="586">
        <v>25569.042182152778</v>
      </c>
      <c r="X36" s="564" t="str">
        <f t="shared" si="3"/>
        <v>S01</v>
      </c>
      <c r="Y36" s="564" t="str">
        <f>IF(Data!$AC34="","",YEAR(Data!$AC34))</f>
        <v/>
      </c>
      <c r="Z36" s="564" t="str">
        <f>IF(Data!$AC34="","",MONTH(Data!$AC34))</f>
        <v/>
      </c>
      <c r="AA36" s="586">
        <v>25569.042182858797</v>
      </c>
      <c r="AB36" s="587">
        <v>5199</v>
      </c>
      <c r="AC36" s="586">
        <v>25569.042182881945</v>
      </c>
      <c r="AD36" s="588">
        <v>3460</v>
      </c>
      <c r="AE36" s="586">
        <v>25569.042182870369</v>
      </c>
      <c r="AF36" s="562"/>
      <c r="AG36" s="3"/>
      <c r="AH36" s="579"/>
      <c r="AI36" s="598">
        <v>6</v>
      </c>
      <c r="AJ36" s="599" t="s">
        <v>745</v>
      </c>
      <c r="AK36" s="579"/>
      <c r="AL36" s="599" t="s">
        <v>746</v>
      </c>
      <c r="AM36" s="579"/>
      <c r="AN36" s="591"/>
      <c r="AO36" s="579"/>
      <c r="AP36" s="3" t="s">
        <v>747</v>
      </c>
      <c r="AQ36" s="579"/>
      <c r="AR36" s="600"/>
      <c r="AS36" s="579"/>
      <c r="AT36" s="601"/>
      <c r="AU36" s="601"/>
      <c r="AV36" s="576" t="str">
        <f t="shared" si="4"/>
        <v/>
      </c>
      <c r="AW36" s="577" t="str">
        <f>IFERROR(IF(tbl_DCFC[[#This Row], [F Montant HT]]="","",tbl_DCFC[[#This Row], [Marge]]/tbl_DCFC[[#This Row], [F Montant HT]]),"")</f>
        <v/>
      </c>
      <c r="AX36" s="8"/>
      <c r="AY36" s="3"/>
      <c r="AZ36" s="3"/>
      <c r="BA36" s="8"/>
    </row>
    <row r="37" spans="1:53" ht="15" customHeight="1" x14ac:dyDescent="0.3">
      <c r="A37" s="557"/>
      <c r="B37" s="558" t="str">
        <f>IFERROR(INDEX(Tabelle2[BU],MATCH(tbl_DCFC[[#This Row], [Categorie]],CAT,0)),"")</f>
        <v>SER</v>
      </c>
      <c r="C37" s="559"/>
      <c r="D37" s="560">
        <v>25569.042181898149</v>
      </c>
      <c r="E37" s="578">
        <v>4684</v>
      </c>
      <c r="F37" s="559" t="s">
        <v>641</v>
      </c>
      <c r="G37" s="559" t="s">
        <v>336</v>
      </c>
      <c r="H37" s="559"/>
      <c r="I37" s="561">
        <v>7200</v>
      </c>
      <c r="J37" s="559" t="s">
        <v>281</v>
      </c>
      <c r="K37" s="559" t="s">
        <v>544</v>
      </c>
      <c r="L37" s="559" t="s">
        <v>646</v>
      </c>
      <c r="M37" s="579"/>
      <c r="N37" s="564" t="str">
        <f>IF(Q37&lt;&gt;"","S"&amp;TEXT(WEEKNUM(Q37,21),"00"),"")</f>
        <v>S01</v>
      </c>
      <c r="O37" s="564" t="str">
        <f>IF(Data!$Q35="","",YEAR(Data!$Q35))</f>
        <v/>
      </c>
      <c r="P37" s="564" t="str">
        <f>IF(Data!$Q35="","",MONTH(Data!$Q35))</f>
        <v/>
      </c>
      <c r="Q37" s="586">
        <v>25569.042182534722</v>
      </c>
      <c r="R37" s="594" t="s">
        <v>748</v>
      </c>
      <c r="S37" s="588">
        <v>7200</v>
      </c>
      <c r="T37" s="595"/>
      <c r="U37" s="596"/>
      <c r="V37" s="579"/>
      <c r="W37" s="586">
        <v>25569.042182152778</v>
      </c>
      <c r="X37" s="564" t="str">
        <f t="shared" si="3"/>
        <v>S01</v>
      </c>
      <c r="Y37" s="564" t="str">
        <f>IF(Data!$AC35="","",YEAR(Data!$AC35))</f>
        <v/>
      </c>
      <c r="Z37" s="564" t="str">
        <f>IF(Data!$AC35="","",MONTH(Data!$AC35))</f>
        <v/>
      </c>
      <c r="AA37" s="586">
        <v>25569.042182858797</v>
      </c>
      <c r="AB37" s="587">
        <v>5202</v>
      </c>
      <c r="AC37" s="586">
        <v>25569.042182893518</v>
      </c>
      <c r="AD37" s="588">
        <v>7200</v>
      </c>
      <c r="AE37" s="585" t="s">
        <v>749</v>
      </c>
      <c r="AF37" s="562"/>
      <c r="AG37" s="3"/>
      <c r="AH37" s="579"/>
      <c r="AI37" s="589">
        <v>6</v>
      </c>
      <c r="AJ37" s="590" t="s">
        <v>750</v>
      </c>
      <c r="AK37" s="579"/>
      <c r="AL37" s="590" t="s">
        <v>751</v>
      </c>
      <c r="AM37" s="579"/>
      <c r="AN37" s="591"/>
      <c r="AO37" s="579"/>
      <c r="AP37" s="3" t="s">
        <v>752</v>
      </c>
      <c r="AQ37" s="579"/>
      <c r="AR37" s="592"/>
      <c r="AS37" s="579"/>
      <c r="AT37" s="593"/>
      <c r="AU37" s="593">
        <v>550</v>
      </c>
      <c r="AV37" s="576" t="str">
        <f t="shared" si="4"/>
        <v/>
      </c>
      <c r="AW37" s="577" t="str">
        <f>IFERROR(IF(tbl_DCFC[[#This Row], [F Montant HT]]="","",tbl_DCFC[[#This Row], [Marge]]/tbl_DCFC[[#This Row], [F Montant HT]]),"")</f>
        <v/>
      </c>
      <c r="AX37" s="8"/>
      <c r="AY37" s="3"/>
      <c r="AZ37" s="3"/>
      <c r="BA37" s="8"/>
    </row>
    <row r="38" spans="1:53" ht="15" customHeight="1" x14ac:dyDescent="0.3">
      <c r="A38" s="557"/>
      <c r="B38" s="558" t="str">
        <f>IFERROR(INDEX(Tabelle2[BU],MATCH(tbl_DCFC[[#This Row], [Categorie]],CAT,0)),"")</f>
        <v>SER</v>
      </c>
      <c r="C38" s="559"/>
      <c r="D38" s="560">
        <v>25569.042181898149</v>
      </c>
      <c r="E38" s="578">
        <v>4685</v>
      </c>
      <c r="F38" s="559" t="s">
        <v>641</v>
      </c>
      <c r="G38" s="559" t="s">
        <v>336</v>
      </c>
      <c r="H38" s="559"/>
      <c r="I38" s="561">
        <v>2650</v>
      </c>
      <c r="J38" s="559" t="s">
        <v>281</v>
      </c>
      <c r="K38" s="559" t="s">
        <v>544</v>
      </c>
      <c r="L38" s="559" t="s">
        <v>646</v>
      </c>
      <c r="M38" s="579"/>
      <c r="N38" s="564" t="str">
        <f>IF(Q38&lt;&gt;"","S"&amp;TEXT(WEEKNUM(Q38,21),"00"),"")</f>
        <v>S01</v>
      </c>
      <c r="O38" s="564">
        <f>IF(Data!$Q36="","",YEAR(Data!$Q36))</f>
        <v>1970</v>
      </c>
      <c r="P38" s="564">
        <f>IF(Data!$Q36="","",MONTH(Data!$Q36))</f>
        <v>1</v>
      </c>
      <c r="Q38" s="586">
        <v>25569.042182581019</v>
      </c>
      <c r="R38" s="594" t="s">
        <v>753</v>
      </c>
      <c r="S38" s="588">
        <v>2650</v>
      </c>
      <c r="T38" s="595"/>
      <c r="U38" s="596"/>
      <c r="V38" s="579"/>
      <c r="W38" s="585"/>
      <c r="X38" s="564" t="str">
        <f t="shared" si="3"/>
        <v>S01</v>
      </c>
      <c r="Y38" s="564">
        <f>IF(Data!$AC36="","",YEAR(Data!$AC36))</f>
        <v>1970</v>
      </c>
      <c r="Z38" s="564">
        <f>IF(Data!$AC36="","",MONTH(Data!$AC36))</f>
        <v>1</v>
      </c>
      <c r="AA38" s="586">
        <v>25569.042183124999</v>
      </c>
      <c r="AB38" s="587">
        <v>5210</v>
      </c>
      <c r="AC38" s="586">
        <v>25569.042183124999</v>
      </c>
      <c r="AD38" s="588">
        <v>2650</v>
      </c>
      <c r="AE38" s="586">
        <v>25569.042183379628</v>
      </c>
      <c r="AF38" s="562"/>
      <c r="AG38" s="3"/>
      <c r="AH38" s="579"/>
      <c r="AI38" s="598">
        <v>5</v>
      </c>
      <c r="AJ38" s="599" t="s">
        <v>745</v>
      </c>
      <c r="AK38" s="579"/>
      <c r="AL38" s="599" t="s">
        <v>754</v>
      </c>
      <c r="AM38" s="579"/>
      <c r="AN38" s="591"/>
      <c r="AO38" s="579"/>
      <c r="AP38" s="599" t="s">
        <v>755</v>
      </c>
      <c r="AQ38" s="579"/>
      <c r="AR38" s="600"/>
      <c r="AS38" s="579"/>
      <c r="AT38" s="601">
        <v>1548.5</v>
      </c>
      <c r="AU38" s="601">
        <v>1125.9000000000001</v>
      </c>
      <c r="AV38" s="576">
        <f t="shared" si="4"/>
        <v>-24.400000000000091</v>
      </c>
      <c r="AW38" s="577">
        <f>IFERROR(IF(tbl_DCFC[[#This Row], [F Montant HT]]="","",tbl_DCFC[[#This Row], [Marge]]/tbl_DCFC[[#This Row], [F Montant HT]]),"")</f>
        <v>-9.2075471698113559E-3</v>
      </c>
      <c r="AX38" s="8"/>
      <c r="AY38" s="3"/>
      <c r="AZ38" s="3"/>
      <c r="BA38" s="8"/>
    </row>
    <row r="39" spans="1:53" ht="15" customHeight="1" x14ac:dyDescent="0.3">
      <c r="A39" s="603">
        <v>25569.042182870369</v>
      </c>
      <c r="B39" s="558" t="str">
        <f>IFERROR(INDEX(Tabelle2[BU],MATCH(tbl_DCFC[[#This Row], [Categorie]],CAT,0)),"")</f>
        <v>SER</v>
      </c>
      <c r="C39" s="604" t="str">
        <f>IF(D39&lt;&gt;"","S"&amp;TEXT(WEEKNUM(D39,21),"00"),"")</f>
        <v>S01</v>
      </c>
      <c r="D39" s="603">
        <v>25569.042182870369</v>
      </c>
      <c r="E39" s="588">
        <v>4685</v>
      </c>
      <c r="F39" s="591" t="s">
        <v>641</v>
      </c>
      <c r="G39" s="591" t="s">
        <v>336</v>
      </c>
      <c r="H39" s="591"/>
      <c r="I39" s="588">
        <v>1320</v>
      </c>
      <c r="J39" s="591" t="s">
        <v>281</v>
      </c>
      <c r="K39" s="591" t="s">
        <v>544</v>
      </c>
      <c r="L39" s="605" t="s">
        <v>646</v>
      </c>
      <c r="M39" s="579"/>
      <c r="N39" s="606" t="str">
        <f>IF(Q39&lt;&gt;"","S"&amp;TEXT(WEEKNUM(Q39,21),"00"),"")</f>
        <v>S01</v>
      </c>
      <c r="O39" s="606">
        <f>IF(Data!$Q74="","",YEAR(Data!$Q74))</f>
        <v>1970</v>
      </c>
      <c r="P39" s="606">
        <f>IF(Data!$Q74="","",MONTH(Data!$Q74))</f>
        <v>1</v>
      </c>
      <c r="Q39" s="609">
        <v>25569.042182581019</v>
      </c>
      <c r="R39" s="599" t="s">
        <v>753</v>
      </c>
      <c r="S39" s="598">
        <v>1100</v>
      </c>
      <c r="T39" s="599"/>
      <c r="U39" s="599"/>
      <c r="V39" s="579"/>
      <c r="W39" s="607"/>
      <c r="X39" s="606" t="str">
        <f t="shared" si="3"/>
        <v>S01</v>
      </c>
      <c r="Y39" s="606">
        <f>IF(Data!$AC74="","",YEAR(Data!$AC74))</f>
        <v>1970</v>
      </c>
      <c r="Z39" s="606">
        <f>IF(Data!$AC74="","",MONTH(Data!$AC74))</f>
        <v>1</v>
      </c>
      <c r="AA39" s="609">
        <v>25569.042182858797</v>
      </c>
      <c r="AB39" s="598">
        <v>5198</v>
      </c>
      <c r="AC39" s="609">
        <v>25569.042182881945</v>
      </c>
      <c r="AD39" s="598">
        <v>1100</v>
      </c>
      <c r="AE39" s="607"/>
      <c r="AF39" s="562"/>
      <c r="AG39" s="3"/>
      <c r="AH39" s="579"/>
      <c r="AI39" s="598">
        <v>2</v>
      </c>
      <c r="AJ39" s="599" t="s">
        <v>745</v>
      </c>
      <c r="AK39" s="579"/>
      <c r="AL39" s="599" t="s">
        <v>756</v>
      </c>
      <c r="AM39" s="579"/>
      <c r="AN39" s="591"/>
      <c r="AO39" s="579"/>
      <c r="AP39" s="617" t="s">
        <v>755</v>
      </c>
      <c r="AQ39" s="579"/>
      <c r="AR39" s="600"/>
      <c r="AS39" s="579"/>
      <c r="AT39" s="601">
        <v>642.5</v>
      </c>
      <c r="AU39" s="601">
        <v>611.6</v>
      </c>
      <c r="AV39" s="576">
        <f t="shared" si="4"/>
        <v>-154.10000000000002</v>
      </c>
      <c r="AW39" s="577">
        <f>IFERROR(IF(tbl_DCFC[[#This Row], [F Montant HT]]="","",tbl_DCFC[[#This Row], [Marge]]/tbl_DCFC[[#This Row], [F Montant HT]]),"")</f>
        <v>-0.1400909090909091</v>
      </c>
      <c r="AX39" s="8"/>
      <c r="AY39" s="3"/>
      <c r="AZ39" s="3"/>
      <c r="BA39" s="8"/>
    </row>
    <row r="40" spans="1:53" ht="15" customHeight="1" x14ac:dyDescent="0.3">
      <c r="A40" s="557"/>
      <c r="B40" s="558" t="str">
        <f>IFERROR(INDEX(Tabelle2[BU],MATCH(tbl_DCFC[[#This Row], [Categorie]],CAT,0)),"")</f>
        <v>SER</v>
      </c>
      <c r="C40" s="559"/>
      <c r="D40" s="560">
        <v>25569.042181898149</v>
      </c>
      <c r="E40" s="578">
        <v>4686</v>
      </c>
      <c r="F40" s="559" t="s">
        <v>641</v>
      </c>
      <c r="G40" s="559" t="s">
        <v>336</v>
      </c>
      <c r="H40" s="559"/>
      <c r="I40" s="561">
        <v>15635</v>
      </c>
      <c r="J40" s="559" t="s">
        <v>281</v>
      </c>
      <c r="K40" s="559" t="s">
        <v>544</v>
      </c>
      <c r="L40" s="559" t="s">
        <v>646</v>
      </c>
      <c r="M40" s="579"/>
      <c r="N40" s="564" t="str">
        <f>IF(Q40&lt;&gt;"","S"&amp;TEXT(WEEKNUM(Q40,21),"00"),"")</f>
        <v>S01</v>
      </c>
      <c r="O40" s="564">
        <f>IF(Data!$Q37="","",YEAR(Data!$Q37))</f>
        <v>1970</v>
      </c>
      <c r="P40" s="564">
        <f>IF(Data!$Q37="","",MONTH(Data!$Q37))</f>
        <v>1</v>
      </c>
      <c r="Q40" s="586">
        <v>25569.042182800928</v>
      </c>
      <c r="R40" s="594" t="s">
        <v>757</v>
      </c>
      <c r="S40" s="588">
        <v>5150</v>
      </c>
      <c r="T40" s="595"/>
      <c r="U40" s="596"/>
      <c r="V40" s="579"/>
      <c r="W40" s="585"/>
      <c r="X40" s="564" t="str">
        <f t="shared" si="3"/>
        <v>S01</v>
      </c>
      <c r="Y40" s="564">
        <f>IF(Data!$AC37="","",YEAR(Data!$AC37))</f>
        <v>1970</v>
      </c>
      <c r="Z40" s="564">
        <f>IF(Data!$AC37="","",MONTH(Data!$AC37))</f>
        <v>1</v>
      </c>
      <c r="AA40" s="586">
        <v>25569.042183032409</v>
      </c>
      <c r="AB40" s="587">
        <v>5206</v>
      </c>
      <c r="AC40" s="586">
        <v>25569.042183043981</v>
      </c>
      <c r="AD40" s="588">
        <v>5150</v>
      </c>
      <c r="AE40" s="586">
        <v>25569.042183541667</v>
      </c>
      <c r="AF40" s="562"/>
      <c r="AG40" s="3"/>
      <c r="AH40" s="579"/>
      <c r="AI40" s="589">
        <v>5</v>
      </c>
      <c r="AJ40" s="590" t="s">
        <v>750</v>
      </c>
      <c r="AK40" s="579"/>
      <c r="AL40" s="599" t="s">
        <v>758</v>
      </c>
      <c r="AM40" s="579"/>
      <c r="AN40" s="591"/>
      <c r="AO40" s="579"/>
      <c r="AP40" s="599" t="s">
        <v>759</v>
      </c>
      <c r="AQ40" s="579"/>
      <c r="AR40" s="592"/>
      <c r="AS40" s="579"/>
      <c r="AT40" s="593">
        <v>2363.02</v>
      </c>
      <c r="AU40" s="593">
        <v>1125</v>
      </c>
      <c r="AV40" s="576">
        <f t="shared" si="4"/>
        <v>1661.98</v>
      </c>
      <c r="AW40" s="577">
        <f>IFERROR(IF(tbl_DCFC[[#This Row], [F Montant HT]]="","",tbl_DCFC[[#This Row], [Marge]]/tbl_DCFC[[#This Row], [F Montant HT]]),"")</f>
        <v>0.32271456310679614</v>
      </c>
      <c r="AX40" s="8"/>
      <c r="AY40" s="3"/>
      <c r="AZ40" s="3"/>
      <c r="BA40" s="8"/>
    </row>
    <row r="41" spans="1:53" ht="15" customHeight="1" x14ac:dyDescent="0.3">
      <c r="A41" s="557"/>
      <c r="B41" s="558" t="str">
        <f>IFERROR(INDEX(Tabelle2[BU],MATCH(tbl_DCFC[[#This Row], [Categorie]],CAT,0)),"")</f>
        <v>SER</v>
      </c>
      <c r="C41" s="559"/>
      <c r="D41" s="560">
        <v>25569.042181898149</v>
      </c>
      <c r="E41" s="578">
        <v>4687</v>
      </c>
      <c r="F41" s="559" t="s">
        <v>641</v>
      </c>
      <c r="G41" s="559" t="s">
        <v>760</v>
      </c>
      <c r="H41" s="559"/>
      <c r="I41" s="561">
        <v>1332</v>
      </c>
      <c r="J41" s="559" t="s">
        <v>281</v>
      </c>
      <c r="K41" s="559" t="s">
        <v>548</v>
      </c>
      <c r="L41" s="559" t="s">
        <v>646</v>
      </c>
      <c r="M41" s="579"/>
      <c r="N41" s="559"/>
      <c r="O41" s="580">
        <f>IF(Data!$Q38="","",YEAR(Data!$Q38))</f>
        <v>1970</v>
      </c>
      <c r="P41" s="580">
        <f>IF(Data!$Q38="","",MONTH(Data!$Q38))</f>
        <v>1</v>
      </c>
      <c r="Q41" s="581">
        <v>25569.042181909721</v>
      </c>
      <c r="R41" s="582" t="s">
        <v>761</v>
      </c>
      <c r="S41" s="561">
        <v>1332</v>
      </c>
      <c r="T41" s="583"/>
      <c r="U41" s="584"/>
      <c r="V41" s="579"/>
      <c r="W41" s="586">
        <v>25569.042181909721</v>
      </c>
      <c r="X41" s="564" t="str">
        <f t="shared" si="3"/>
        <v>S01</v>
      </c>
      <c r="Y41" s="564">
        <f>IF(Data!$AC38="","",YEAR(Data!$AC38))</f>
        <v>1970</v>
      </c>
      <c r="Z41" s="564">
        <f>IF(Data!$AC38="","",MONTH(Data!$AC38))</f>
        <v>1</v>
      </c>
      <c r="AA41" s="586">
        <v>25569.042182569443</v>
      </c>
      <c r="AB41" s="587">
        <v>5189</v>
      </c>
      <c r="AC41" s="586">
        <v>25569.042182627316</v>
      </c>
      <c r="AD41" s="588">
        <v>1332</v>
      </c>
      <c r="AE41" s="586">
        <v>25569.042186643517</v>
      </c>
      <c r="AF41" s="562"/>
      <c r="AG41" s="3"/>
      <c r="AH41" s="579"/>
      <c r="AI41" s="589">
        <v>1</v>
      </c>
      <c r="AJ41" s="590" t="s">
        <v>762</v>
      </c>
      <c r="AK41" s="579"/>
      <c r="AL41" s="599" t="s">
        <v>763</v>
      </c>
      <c r="AM41" s="579"/>
      <c r="AN41" s="591"/>
      <c r="AO41" s="579"/>
      <c r="AP41" s="590" t="s">
        <v>764</v>
      </c>
      <c r="AQ41" s="579"/>
      <c r="AR41" s="592"/>
      <c r="AS41" s="579"/>
      <c r="AT41" s="593">
        <v>106</v>
      </c>
      <c r="AU41" s="593"/>
      <c r="AV41" s="576">
        <f t="shared" si="4"/>
        <v>1226</v>
      </c>
      <c r="AW41" s="577">
        <f>IFERROR(IF(tbl_DCFC[[#This Row], [F Montant HT]]="","",tbl_DCFC[[#This Row], [Marge]]/tbl_DCFC[[#This Row], [F Montant HT]]),"")</f>
        <v>0.92042042042042038</v>
      </c>
      <c r="AX41" s="8"/>
      <c r="AY41" s="3"/>
      <c r="AZ41" s="3"/>
      <c r="BA41" s="8"/>
    </row>
    <row r="42" spans="1:53" ht="15" customHeight="1" x14ac:dyDescent="0.3">
      <c r="A42" s="557"/>
      <c r="B42" s="558" t="str">
        <f>IFERROR(INDEX(Tabelle2[BU],MATCH(tbl_DCFC[[#This Row], [Categorie]],CAT,0)),"")</f>
        <v>SER</v>
      </c>
      <c r="C42" s="559"/>
      <c r="D42" s="560">
        <v>25569.042182013887</v>
      </c>
      <c r="E42" s="578">
        <v>4690</v>
      </c>
      <c r="F42" s="559" t="s">
        <v>641</v>
      </c>
      <c r="G42" s="559" t="s">
        <v>765</v>
      </c>
      <c r="H42" s="559"/>
      <c r="I42" s="561">
        <v>9279</v>
      </c>
      <c r="J42" s="559" t="s">
        <v>281</v>
      </c>
      <c r="K42" s="559" t="s">
        <v>548</v>
      </c>
      <c r="L42" s="559" t="s">
        <v>650</v>
      </c>
      <c r="M42" s="579"/>
      <c r="N42" s="564" t="str">
        <f t="shared" ref="N42:N47" si="5">IF(Q42&lt;&gt;"","S"&amp;TEXT(WEEKNUM(Q42,21),"00"),"")</f>
        <v/>
      </c>
      <c r="O42" s="564">
        <f>IF(Data!$Q39="","",YEAR(Data!$Q39))</f>
        <v>1970</v>
      </c>
      <c r="P42" s="564">
        <f>IF(Data!$Q39="","",MONTH(Data!$Q39))</f>
        <v>1</v>
      </c>
      <c r="Q42" s="585"/>
      <c r="R42" s="594"/>
      <c r="S42" s="588"/>
      <c r="T42" s="595"/>
      <c r="U42" s="596"/>
      <c r="V42" s="579"/>
      <c r="W42" s="585"/>
      <c r="X42" s="564" t="str">
        <f t="shared" si="3"/>
        <v/>
      </c>
      <c r="Y42" s="564">
        <f>IF(Data!$AC39="","",YEAR(Data!$AC39))</f>
        <v>1970</v>
      </c>
      <c r="Z42" s="564">
        <f>IF(Data!$AC39="","",MONTH(Data!$AC39))</f>
        <v>1</v>
      </c>
      <c r="AA42" s="585"/>
      <c r="AB42" s="597"/>
      <c r="AC42" s="585"/>
      <c r="AD42" s="588"/>
      <c r="AE42" s="585"/>
      <c r="AF42" s="562"/>
      <c r="AG42" s="3"/>
      <c r="AH42" s="579"/>
      <c r="AI42" s="598">
        <v>1</v>
      </c>
      <c r="AJ42" s="599" t="s">
        <v>766</v>
      </c>
      <c r="AK42" s="579"/>
      <c r="AL42" s="599" t="s">
        <v>767</v>
      </c>
      <c r="AM42" s="579"/>
      <c r="AN42" s="591"/>
      <c r="AO42" s="579"/>
      <c r="AP42" s="599" t="s">
        <v>768</v>
      </c>
      <c r="AQ42" s="579"/>
      <c r="AR42" s="600"/>
      <c r="AS42" s="579"/>
      <c r="AT42" s="601"/>
      <c r="AU42" s="601"/>
      <c r="AV42" s="576" t="str">
        <f t="shared" si="4"/>
        <v/>
      </c>
      <c r="AW42" s="577" t="str">
        <f>IFERROR(IF(tbl_DCFC[[#This Row], [F Montant HT]]="","",tbl_DCFC[[#This Row], [Marge]]/tbl_DCFC[[#This Row], [F Montant HT]]),"")</f>
        <v/>
      </c>
      <c r="AX42" s="8"/>
      <c r="AY42" s="3"/>
      <c r="AZ42" s="3"/>
      <c r="BA42" s="8"/>
    </row>
    <row r="43" spans="1:53" ht="15" customHeight="1" x14ac:dyDescent="0.3">
      <c r="A43" s="603">
        <v>25569.042183506943</v>
      </c>
      <c r="B43" s="558" t="str">
        <f>IFERROR(INDEX(Tabelle2[BU],MATCH(tbl_DCFC[[#This Row], [Categorie]],CAT,0)),"")</f>
        <v>SER</v>
      </c>
      <c r="C43" s="604" t="str">
        <f>IF(D43&lt;&gt;"","S"&amp;TEXT(WEEKNUM(D43,21),"00"),"")</f>
        <v>S01</v>
      </c>
      <c r="D43" s="603">
        <v>25569.042183506943</v>
      </c>
      <c r="E43" s="588">
        <v>4690</v>
      </c>
      <c r="F43" s="591" t="s">
        <v>679</v>
      </c>
      <c r="G43" s="591" t="s">
        <v>765</v>
      </c>
      <c r="H43" s="591"/>
      <c r="I43" s="588">
        <v>9360</v>
      </c>
      <c r="J43" s="591" t="s">
        <v>281</v>
      </c>
      <c r="K43" s="591" t="s">
        <v>548</v>
      </c>
      <c r="L43" s="605" t="s">
        <v>650</v>
      </c>
      <c r="M43" s="579"/>
      <c r="N43" s="606" t="str">
        <f t="shared" si="5"/>
        <v/>
      </c>
      <c r="O43" s="606" t="str">
        <f>IF(Data!$Q131="","",YEAR(Data!$Q131))</f>
        <v/>
      </c>
      <c r="P43" s="606" t="str">
        <f>IF(Data!$Q131="","",MONTH(Data!$Q131))</f>
        <v/>
      </c>
      <c r="Q43" s="607"/>
      <c r="R43" s="599"/>
      <c r="S43" s="598"/>
      <c r="T43" s="599"/>
      <c r="U43" s="599"/>
      <c r="V43" s="579"/>
      <c r="W43" s="607"/>
      <c r="X43" s="606" t="str">
        <f t="shared" si="3"/>
        <v/>
      </c>
      <c r="Y43" s="606" t="str">
        <f>IF(Data!$AC131="","",YEAR(Data!$AC131))</f>
        <v/>
      </c>
      <c r="Z43" s="606" t="str">
        <f>IF(Data!$AC131="","",MONTH(Data!$AC131))</f>
        <v/>
      </c>
      <c r="AA43" s="607"/>
      <c r="AB43" s="608"/>
      <c r="AC43" s="607"/>
      <c r="AD43" s="598"/>
      <c r="AE43" s="607"/>
      <c r="AF43" s="562"/>
      <c r="AG43" s="3"/>
      <c r="AH43" s="579"/>
      <c r="AI43" s="598">
        <v>1</v>
      </c>
      <c r="AJ43" s="599" t="s">
        <v>766</v>
      </c>
      <c r="AK43" s="579"/>
      <c r="AL43" s="599" t="s">
        <v>769</v>
      </c>
      <c r="AM43" s="579"/>
      <c r="AN43" s="591"/>
      <c r="AO43" s="579"/>
      <c r="AP43" s="599" t="s">
        <v>768</v>
      </c>
      <c r="AQ43" s="579"/>
      <c r="AR43" s="600"/>
      <c r="AS43" s="579"/>
      <c r="AT43" s="601"/>
      <c r="AU43" s="601"/>
      <c r="AV43" s="576" t="str">
        <f t="shared" si="4"/>
        <v/>
      </c>
      <c r="AW43" s="577" t="str">
        <f>IFERROR(IF(tbl_DCFC[[#This Row], [F Montant HT]]="","",tbl_DCFC[[#This Row], [Marge]]/tbl_DCFC[[#This Row], [F Montant HT]]),"")</f>
        <v/>
      </c>
      <c r="AX43" s="8"/>
      <c r="AY43" s="3"/>
      <c r="AZ43" s="3"/>
      <c r="BA43" s="8"/>
    </row>
    <row r="44" spans="1:53" ht="15" customHeight="1" x14ac:dyDescent="0.3">
      <c r="A44" s="603">
        <v>25569.042183518519</v>
      </c>
      <c r="B44" s="558" t="str">
        <f>IFERROR(INDEX(Tabelle2[BU],MATCH(tbl_DCFC[[#This Row], [Categorie]],CAT,0)),"")</f>
        <v>SER</v>
      </c>
      <c r="C44" s="604" t="str">
        <f>IF(D44&lt;&gt;"","S"&amp;TEXT(WEEKNUM(D44,21),"00"),"")</f>
        <v>S01</v>
      </c>
      <c r="D44" s="603">
        <v>25569.042183518519</v>
      </c>
      <c r="E44" s="588">
        <v>4690</v>
      </c>
      <c r="F44" s="591" t="s">
        <v>693</v>
      </c>
      <c r="G44" s="591" t="s">
        <v>765</v>
      </c>
      <c r="H44" s="591"/>
      <c r="I44" s="588">
        <v>4586.5</v>
      </c>
      <c r="J44" s="591" t="s">
        <v>281</v>
      </c>
      <c r="K44" s="591" t="s">
        <v>548</v>
      </c>
      <c r="L44" s="605" t="s">
        <v>646</v>
      </c>
      <c r="M44" s="579"/>
      <c r="N44" s="606" t="str">
        <f t="shared" si="5"/>
        <v>S01</v>
      </c>
      <c r="O44" s="606" t="str">
        <f>IF(Data!$Q133="","",YEAR(Data!$Q133))</f>
        <v/>
      </c>
      <c r="P44" s="606" t="str">
        <f>IF(Data!$Q133="","",MONTH(Data!$Q133))</f>
        <v/>
      </c>
      <c r="Q44" s="609">
        <v>25569.042183518519</v>
      </c>
      <c r="R44" s="599" t="s">
        <v>770</v>
      </c>
      <c r="S44" s="598">
        <v>4586.5</v>
      </c>
      <c r="T44" s="599"/>
      <c r="U44" s="599"/>
      <c r="V44" s="579"/>
      <c r="W44" s="607"/>
      <c r="X44" s="606" t="str">
        <f t="shared" si="3"/>
        <v>S01</v>
      </c>
      <c r="Y44" s="606" t="str">
        <f>IF(Data!$AC133="","",YEAR(Data!$AC133))</f>
        <v/>
      </c>
      <c r="Z44" s="606" t="str">
        <f>IF(Data!$AC133="","",MONTH(Data!$AC133))</f>
        <v/>
      </c>
      <c r="AA44" s="607"/>
      <c r="AB44" s="598">
        <v>5228</v>
      </c>
      <c r="AC44" s="609">
        <v>25569.042183530091</v>
      </c>
      <c r="AD44" s="598">
        <v>4586.5</v>
      </c>
      <c r="AE44" s="609">
        <v>25569.042184282407</v>
      </c>
      <c r="AF44" s="562"/>
      <c r="AG44" s="3"/>
      <c r="AH44" s="579"/>
      <c r="AI44" s="598">
        <v>1</v>
      </c>
      <c r="AJ44" s="599" t="s">
        <v>766</v>
      </c>
      <c r="AK44" s="579"/>
      <c r="AL44" s="599" t="s">
        <v>771</v>
      </c>
      <c r="AM44" s="579"/>
      <c r="AN44" s="591"/>
      <c r="AO44" s="579"/>
      <c r="AP44" s="599" t="s">
        <v>768</v>
      </c>
      <c r="AQ44" s="579"/>
      <c r="AR44" s="600"/>
      <c r="AS44" s="579"/>
      <c r="AT44" s="601"/>
      <c r="AU44" s="601"/>
      <c r="AV44" s="576" t="str">
        <f t="shared" si="4"/>
        <v/>
      </c>
      <c r="AW44" s="577" t="str">
        <f>IFERROR(IF(tbl_DCFC[[#This Row], [F Montant HT]]="","",tbl_DCFC[[#This Row], [Marge]]/tbl_DCFC[[#This Row], [F Montant HT]]),"")</f>
        <v/>
      </c>
      <c r="AX44" s="8"/>
      <c r="AY44" s="3"/>
      <c r="AZ44" s="3"/>
      <c r="BA44" s="8"/>
    </row>
    <row r="45" spans="1:53" ht="15" customHeight="1" x14ac:dyDescent="0.3">
      <c r="A45" s="603">
        <v>25569.042183518519</v>
      </c>
      <c r="B45" s="558" t="str">
        <f>IFERROR(INDEX(Tabelle2[BU],MATCH(tbl_DCFC[[#This Row], [Categorie]],CAT,0)),"")</f>
        <v/>
      </c>
      <c r="C45" s="604" t="str">
        <f>IF(D45&lt;&gt;"","S"&amp;TEXT(WEEKNUM(D45,21),"00"),"")</f>
        <v>S01</v>
      </c>
      <c r="D45" s="603">
        <v>25569.042183518519</v>
      </c>
      <c r="E45" s="588">
        <v>4690</v>
      </c>
      <c r="F45" s="591" t="s">
        <v>693</v>
      </c>
      <c r="G45" s="591" t="s">
        <v>765</v>
      </c>
      <c r="H45" s="591"/>
      <c r="I45" s="588">
        <v>4586.5</v>
      </c>
      <c r="J45" s="591"/>
      <c r="K45" s="591"/>
      <c r="L45" s="605"/>
      <c r="M45" s="579"/>
      <c r="N45" s="606" t="str">
        <f t="shared" si="5"/>
        <v>S01</v>
      </c>
      <c r="O45" s="606" t="e">
        <f>IF(Data!#REF!="","",YEAR(Data!#REF!))</f>
        <v>#REF!</v>
      </c>
      <c r="P45" s="606" t="e">
        <f>IF(Data!#REF!="","",MONTH(Data!#REF!))</f>
        <v>#REF!</v>
      </c>
      <c r="Q45" s="609">
        <v>25569.042183518519</v>
      </c>
      <c r="R45" s="599" t="s">
        <v>770</v>
      </c>
      <c r="S45" s="598">
        <v>4586.5</v>
      </c>
      <c r="T45" s="599"/>
      <c r="U45" s="599"/>
      <c r="V45" s="579"/>
      <c r="W45" s="607"/>
      <c r="X45" s="606" t="str">
        <f t="shared" si="3"/>
        <v/>
      </c>
      <c r="Y45" s="606" t="e">
        <f>IF(Data!#REF!="","",YEAR(Data!#REF!))</f>
        <v>#REF!</v>
      </c>
      <c r="Z45" s="606" t="e">
        <f>IF(Data!#REF!="","",MONTH(Data!#REF!))</f>
        <v>#REF!</v>
      </c>
      <c r="AA45" s="607"/>
      <c r="AB45" s="608"/>
      <c r="AC45" s="607"/>
      <c r="AD45" s="598"/>
      <c r="AE45" s="607"/>
      <c r="AF45" s="562"/>
      <c r="AG45" s="3"/>
      <c r="AH45" s="579"/>
      <c r="AI45" s="608"/>
      <c r="AJ45" s="599"/>
      <c r="AK45" s="579"/>
      <c r="AL45" s="599"/>
      <c r="AM45" s="579"/>
      <c r="AN45" s="591"/>
      <c r="AO45" s="579"/>
      <c r="AP45" s="599"/>
      <c r="AQ45" s="579"/>
      <c r="AR45" s="600"/>
      <c r="AS45" s="579"/>
      <c r="AT45" s="601"/>
      <c r="AU45" s="601"/>
      <c r="AV45" s="576" t="str">
        <f t="shared" si="4"/>
        <v/>
      </c>
      <c r="AW45" s="577" t="str">
        <f>IFERROR(IF(tbl_DCFC[[#This Row], [F Montant HT]]="","",tbl_DCFC[[#This Row], [Marge]]/tbl_DCFC[[#This Row], [F Montant HT]]),"")</f>
        <v/>
      </c>
      <c r="AX45" s="8"/>
      <c r="AY45" s="3"/>
      <c r="AZ45" s="3"/>
      <c r="BA45" s="8"/>
    </row>
    <row r="46" spans="1:53" ht="15" customHeight="1" x14ac:dyDescent="0.3">
      <c r="A46" s="557"/>
      <c r="B46" s="558" t="str">
        <f>IFERROR(INDEX(Tabelle2[BU],MATCH(tbl_DCFC[[#This Row], [Categorie]],CAT,0)),"")</f>
        <v>SER</v>
      </c>
      <c r="C46" s="559"/>
      <c r="D46" s="560">
        <v>25569.042182083333</v>
      </c>
      <c r="E46" s="578">
        <v>4691</v>
      </c>
      <c r="F46" s="559" t="s">
        <v>641</v>
      </c>
      <c r="G46" s="559" t="s">
        <v>765</v>
      </c>
      <c r="H46" s="559"/>
      <c r="I46" s="561">
        <v>1600</v>
      </c>
      <c r="J46" s="559" t="s">
        <v>281</v>
      </c>
      <c r="K46" s="559" t="s">
        <v>548</v>
      </c>
      <c r="L46" s="559" t="s">
        <v>642</v>
      </c>
      <c r="M46" s="579"/>
      <c r="N46" s="564" t="str">
        <f t="shared" si="5"/>
        <v/>
      </c>
      <c r="O46" s="564">
        <f>IF(Data!$Q40="","",YEAR(Data!$Q40))</f>
        <v>1970</v>
      </c>
      <c r="P46" s="564">
        <f>IF(Data!$Q40="","",MONTH(Data!$Q40))</f>
        <v>1</v>
      </c>
      <c r="Q46" s="585"/>
      <c r="R46" s="594"/>
      <c r="S46" s="588"/>
      <c r="T46" s="595"/>
      <c r="U46" s="596"/>
      <c r="V46" s="579"/>
      <c r="W46" s="585"/>
      <c r="X46" s="564" t="str">
        <f t="shared" si="3"/>
        <v/>
      </c>
      <c r="Y46" s="564">
        <f>IF(Data!$AC40="","",YEAR(Data!$AC40))</f>
        <v>1970</v>
      </c>
      <c r="Z46" s="564">
        <f>IF(Data!$AC40="","",MONTH(Data!$AC40))</f>
        <v>1</v>
      </c>
      <c r="AA46" s="585"/>
      <c r="AB46" s="597"/>
      <c r="AC46" s="585"/>
      <c r="AD46" s="588"/>
      <c r="AE46" s="585"/>
      <c r="AF46" s="562"/>
      <c r="AG46" s="3"/>
      <c r="AH46" s="579"/>
      <c r="AI46" s="589">
        <v>1</v>
      </c>
      <c r="AJ46" s="590" t="s">
        <v>772</v>
      </c>
      <c r="AK46" s="579"/>
      <c r="AL46" s="599" t="s">
        <v>767</v>
      </c>
      <c r="AM46" s="579"/>
      <c r="AN46" s="591"/>
      <c r="AO46" s="579"/>
      <c r="AP46" s="590" t="s">
        <v>773</v>
      </c>
      <c r="AQ46" s="579"/>
      <c r="AR46" s="592"/>
      <c r="AS46" s="579"/>
      <c r="AT46" s="593"/>
      <c r="AU46" s="593"/>
      <c r="AV46" s="576" t="str">
        <f t="shared" si="4"/>
        <v/>
      </c>
      <c r="AW46" s="577" t="str">
        <f>IFERROR(IF(tbl_DCFC[[#This Row], [F Montant HT]]="","",tbl_DCFC[[#This Row], [Marge]]/tbl_DCFC[[#This Row], [F Montant HT]]),"")</f>
        <v/>
      </c>
      <c r="AX46" s="8"/>
      <c r="AY46" s="3"/>
      <c r="AZ46" s="3"/>
      <c r="BA46" s="8"/>
    </row>
    <row r="47" spans="1:53" ht="15" customHeight="1" x14ac:dyDescent="0.3">
      <c r="A47" s="557"/>
      <c r="B47" s="558" t="str">
        <f>IFERROR(INDEX(Tabelle2[BU],MATCH(tbl_DCFC[[#This Row], [Categorie]],CAT,0)),"")</f>
        <v>TOO</v>
      </c>
      <c r="C47" s="559"/>
      <c r="D47" s="560">
        <v>25569.042182083333</v>
      </c>
      <c r="E47" s="578">
        <v>4692</v>
      </c>
      <c r="F47" s="559" t="s">
        <v>641</v>
      </c>
      <c r="G47" s="559" t="s">
        <v>336</v>
      </c>
      <c r="H47" s="559"/>
      <c r="I47" s="561"/>
      <c r="J47" s="559" t="s">
        <v>281</v>
      </c>
      <c r="K47" s="559" t="s">
        <v>538</v>
      </c>
      <c r="L47" s="559" t="s">
        <v>774</v>
      </c>
      <c r="M47" s="579"/>
      <c r="N47" s="564" t="str">
        <f t="shared" si="5"/>
        <v/>
      </c>
      <c r="O47" s="564">
        <f>IF(Data!$Q41="","",YEAR(Data!$Q41))</f>
        <v>1970</v>
      </c>
      <c r="P47" s="564">
        <f>IF(Data!$Q41="","",MONTH(Data!$Q41))</f>
        <v>1</v>
      </c>
      <c r="Q47" s="585"/>
      <c r="R47" s="594"/>
      <c r="S47" s="588"/>
      <c r="T47" s="595"/>
      <c r="U47" s="596"/>
      <c r="V47" s="579"/>
      <c r="W47" s="585"/>
      <c r="X47" s="564" t="str">
        <f t="shared" si="3"/>
        <v/>
      </c>
      <c r="Y47" s="564">
        <f>IF(Data!$AC41="","",YEAR(Data!$AC41))</f>
        <v>1970</v>
      </c>
      <c r="Z47" s="564">
        <f>IF(Data!$AC41="","",MONTH(Data!$AC41))</f>
        <v>1</v>
      </c>
      <c r="AA47" s="585"/>
      <c r="AB47" s="597"/>
      <c r="AC47" s="585"/>
      <c r="AD47" s="588"/>
      <c r="AE47" s="585"/>
      <c r="AF47" s="562"/>
      <c r="AG47" s="3"/>
      <c r="AH47" s="579"/>
      <c r="AI47" s="598">
        <v>6</v>
      </c>
      <c r="AJ47" s="599" t="s">
        <v>775</v>
      </c>
      <c r="AK47" s="579"/>
      <c r="AL47" s="599" t="s">
        <v>776</v>
      </c>
      <c r="AM47" s="579"/>
      <c r="AN47" s="591"/>
      <c r="AO47" s="579"/>
      <c r="AP47" s="599" t="s">
        <v>777</v>
      </c>
      <c r="AQ47" s="579"/>
      <c r="AR47" s="600"/>
      <c r="AS47" s="579"/>
      <c r="AT47" s="601"/>
      <c r="AU47" s="601"/>
      <c r="AV47" s="576" t="str">
        <f t="shared" si="4"/>
        <v/>
      </c>
      <c r="AW47" s="577" t="str">
        <f>IFERROR(IF(tbl_DCFC[[#This Row], [F Montant HT]]="","",tbl_DCFC[[#This Row], [Marge]]/tbl_DCFC[[#This Row], [F Montant HT]]),"")</f>
        <v/>
      </c>
      <c r="AX47" s="8"/>
      <c r="AY47" s="3"/>
      <c r="AZ47" s="3"/>
      <c r="BA47" s="8"/>
    </row>
    <row r="48" spans="1:53" ht="15" customHeight="1" x14ac:dyDescent="0.3">
      <c r="A48" s="557"/>
      <c r="B48" s="558" t="str">
        <f>IFERROR(INDEX(Tabelle2[BU],MATCH(tbl_DCFC[[#This Row], [Categorie]],CAT,0)),"")</f>
        <v>SER</v>
      </c>
      <c r="C48" s="559"/>
      <c r="D48" s="560">
        <v>25569.042182083333</v>
      </c>
      <c r="E48" s="578">
        <v>4693</v>
      </c>
      <c r="F48" s="559" t="s">
        <v>641</v>
      </c>
      <c r="G48" s="559" t="s">
        <v>778</v>
      </c>
      <c r="H48" s="559"/>
      <c r="I48" s="561">
        <v>5877</v>
      </c>
      <c r="J48" s="559" t="s">
        <v>281</v>
      </c>
      <c r="K48" s="559" t="s">
        <v>548</v>
      </c>
      <c r="L48" s="559" t="s">
        <v>646</v>
      </c>
      <c r="M48" s="579"/>
      <c r="N48" s="559"/>
      <c r="O48" s="580" t="str">
        <f>IF(Data!$Q42="","",YEAR(Data!$Q42))</f>
        <v/>
      </c>
      <c r="P48" s="580" t="str">
        <f>IF(Data!$Q42="","",MONTH(Data!$Q42))</f>
        <v/>
      </c>
      <c r="Q48" s="581">
        <v>25569.042182083333</v>
      </c>
      <c r="R48" s="582" t="s">
        <v>779</v>
      </c>
      <c r="S48" s="561">
        <v>5877</v>
      </c>
      <c r="T48" s="583"/>
      <c r="U48" s="584"/>
      <c r="V48" s="579"/>
      <c r="W48" s="586">
        <v>25569.042182094909</v>
      </c>
      <c r="X48" s="564" t="str">
        <f t="shared" si="3"/>
        <v/>
      </c>
      <c r="Y48" s="564" t="str">
        <f>IF(Data!$AC42="","",YEAR(Data!$AC42))</f>
        <v/>
      </c>
      <c r="Z48" s="564" t="str">
        <f>IF(Data!$AC42="","",MONTH(Data!$AC42))</f>
        <v/>
      </c>
      <c r="AA48" s="585"/>
      <c r="AB48" s="597"/>
      <c r="AC48" s="585"/>
      <c r="AD48" s="588"/>
      <c r="AE48" s="586">
        <v>25569.042183796297</v>
      </c>
      <c r="AF48" s="562"/>
      <c r="AG48" s="3"/>
      <c r="AH48" s="579"/>
      <c r="AI48" s="589">
        <v>1</v>
      </c>
      <c r="AJ48" s="590" t="s">
        <v>780</v>
      </c>
      <c r="AK48" s="579"/>
      <c r="AL48" s="599" t="s">
        <v>781</v>
      </c>
      <c r="AM48" s="579"/>
      <c r="AN48" s="591"/>
      <c r="AO48" s="579"/>
      <c r="AP48" s="590" t="s">
        <v>782</v>
      </c>
      <c r="AQ48" s="579"/>
      <c r="AR48" s="592"/>
      <c r="AS48" s="579"/>
      <c r="AT48" s="593"/>
      <c r="AU48" s="593"/>
      <c r="AV48" s="576" t="str">
        <f t="shared" si="4"/>
        <v/>
      </c>
      <c r="AW48" s="577" t="str">
        <f>IFERROR(IF(tbl_DCFC[[#This Row], [F Montant HT]]="","",tbl_DCFC[[#This Row], [Marge]]/tbl_DCFC[[#This Row], [F Montant HT]]),"")</f>
        <v/>
      </c>
      <c r="AX48" s="8"/>
      <c r="AY48" s="3"/>
      <c r="AZ48" s="3"/>
      <c r="BA48" s="8"/>
    </row>
    <row r="49" spans="1:53" ht="15" customHeight="1" x14ac:dyDescent="0.3">
      <c r="A49" s="557"/>
      <c r="B49" s="558" t="str">
        <f>IFERROR(INDEX(Tabelle2[BU],MATCH(tbl_DCFC[[#This Row], [Categorie]],CAT,0)),"")</f>
        <v>SER</v>
      </c>
      <c r="C49" s="559"/>
      <c r="D49" s="560">
        <v>25569.042182083333</v>
      </c>
      <c r="E49" s="578">
        <v>4694</v>
      </c>
      <c r="F49" s="559" t="s">
        <v>641</v>
      </c>
      <c r="G49" s="559" t="s">
        <v>645</v>
      </c>
      <c r="H49" s="559"/>
      <c r="I49" s="561">
        <v>6097.5</v>
      </c>
      <c r="J49" s="559" t="s">
        <v>280</v>
      </c>
      <c r="K49" s="559" t="s">
        <v>548</v>
      </c>
      <c r="L49" s="559" t="s">
        <v>642</v>
      </c>
      <c r="M49" s="579"/>
      <c r="N49" s="564" t="str">
        <f>IF(Q49&lt;&gt;"","S"&amp;TEXT(WEEKNUM(Q49,21),"00"),"")</f>
        <v/>
      </c>
      <c r="O49" s="564" t="str">
        <f>IF(Data!$Q43="","",YEAR(Data!$Q43))</f>
        <v/>
      </c>
      <c r="P49" s="564" t="str">
        <f>IF(Data!$Q43="","",MONTH(Data!$Q43))</f>
        <v/>
      </c>
      <c r="Q49" s="585"/>
      <c r="R49" s="594"/>
      <c r="S49" s="588"/>
      <c r="T49" s="595"/>
      <c r="U49" s="596"/>
      <c r="V49" s="579"/>
      <c r="W49" s="585"/>
      <c r="X49" s="564" t="str">
        <f t="shared" si="3"/>
        <v/>
      </c>
      <c r="Y49" s="564" t="str">
        <f>IF(Data!$AC43="","",YEAR(Data!$AC43))</f>
        <v/>
      </c>
      <c r="Z49" s="564" t="str">
        <f>IF(Data!$AC43="","",MONTH(Data!$AC43))</f>
        <v/>
      </c>
      <c r="AA49" s="585"/>
      <c r="AB49" s="597"/>
      <c r="AC49" s="585"/>
      <c r="AD49" s="588"/>
      <c r="AE49" s="585"/>
      <c r="AF49" s="562"/>
      <c r="AG49" s="3"/>
      <c r="AH49" s="579"/>
      <c r="AI49" s="598">
        <v>5</v>
      </c>
      <c r="AJ49" s="599" t="s">
        <v>783</v>
      </c>
      <c r="AK49" s="579"/>
      <c r="AL49" s="599"/>
      <c r="AM49" s="579"/>
      <c r="AN49" s="591"/>
      <c r="AO49" s="579"/>
      <c r="AP49" s="599" t="s">
        <v>784</v>
      </c>
      <c r="AQ49" s="579"/>
      <c r="AR49" s="600"/>
      <c r="AS49" s="579"/>
      <c r="AT49" s="601"/>
      <c r="AU49" s="601"/>
      <c r="AV49" s="576" t="str">
        <f t="shared" si="4"/>
        <v/>
      </c>
      <c r="AW49" s="577" t="str">
        <f>IFERROR(IF(tbl_DCFC[[#This Row], [F Montant HT]]="","",tbl_DCFC[[#This Row], [Marge]]/tbl_DCFC[[#This Row], [F Montant HT]]),"")</f>
        <v/>
      </c>
      <c r="AX49" s="8"/>
      <c r="AY49" s="3"/>
      <c r="AZ49" s="3"/>
      <c r="BA49" s="8"/>
    </row>
    <row r="50" spans="1:53" ht="15" customHeight="1" x14ac:dyDescent="0.3">
      <c r="A50" s="557"/>
      <c r="B50" s="558" t="str">
        <f>IFERROR(INDEX(Tabelle2[BU],MATCH(tbl_DCFC[[#This Row], [Categorie]],CAT,0)),"")</f>
        <v>TOO</v>
      </c>
      <c r="C50" s="559"/>
      <c r="D50" s="560">
        <v>25569.04218212963</v>
      </c>
      <c r="E50" s="578">
        <v>4695</v>
      </c>
      <c r="F50" s="559" t="s">
        <v>641</v>
      </c>
      <c r="G50" s="559" t="s">
        <v>710</v>
      </c>
      <c r="H50" s="559"/>
      <c r="I50" s="561">
        <v>2750</v>
      </c>
      <c r="J50" s="559" t="s">
        <v>281</v>
      </c>
      <c r="K50" s="559" t="s">
        <v>538</v>
      </c>
      <c r="L50" s="559" t="s">
        <v>646</v>
      </c>
      <c r="M50" s="579"/>
      <c r="N50" s="559"/>
      <c r="O50" s="580">
        <f>IF(Data!$Q44="","",YEAR(Data!$Q44))</f>
        <v>1970</v>
      </c>
      <c r="P50" s="580">
        <f>IF(Data!$Q44="","",MONTH(Data!$Q44))</f>
        <v>1</v>
      </c>
      <c r="Q50" s="581">
        <v>25569.042182303241</v>
      </c>
      <c r="R50" s="582" t="s">
        <v>785</v>
      </c>
      <c r="S50" s="561">
        <v>2750</v>
      </c>
      <c r="T50" s="583"/>
      <c r="U50" s="584"/>
      <c r="V50" s="579"/>
      <c r="W50" s="585"/>
      <c r="X50" s="564" t="str">
        <f t="shared" si="3"/>
        <v>S01</v>
      </c>
      <c r="Y50" s="564">
        <f>IF(Data!$AC44="","",YEAR(Data!$AC44))</f>
        <v>1970</v>
      </c>
      <c r="Z50" s="564">
        <f>IF(Data!$AC44="","",MONTH(Data!$AC44))</f>
        <v>1</v>
      </c>
      <c r="AA50" s="586">
        <v>25569.042182638888</v>
      </c>
      <c r="AB50" s="587">
        <v>5191</v>
      </c>
      <c r="AC50" s="586">
        <v>25569.042182650464</v>
      </c>
      <c r="AD50" s="588">
        <v>2750</v>
      </c>
      <c r="AE50" s="586">
        <v>25569.042182743055</v>
      </c>
      <c r="AF50" s="562"/>
      <c r="AG50" s="3"/>
      <c r="AH50" s="579"/>
      <c r="AI50" s="589">
        <v>2</v>
      </c>
      <c r="AJ50" s="590" t="s">
        <v>786</v>
      </c>
      <c r="AK50" s="579"/>
      <c r="AL50" s="599" t="s">
        <v>787</v>
      </c>
      <c r="AM50" s="579"/>
      <c r="AN50" s="591"/>
      <c r="AO50" s="579"/>
      <c r="AP50" s="590" t="s">
        <v>788</v>
      </c>
      <c r="AQ50" s="579"/>
      <c r="AR50" s="592"/>
      <c r="AS50" s="579"/>
      <c r="AT50" s="593"/>
      <c r="AU50" s="593"/>
      <c r="AV50" s="576" t="str">
        <f t="shared" si="4"/>
        <v/>
      </c>
      <c r="AW50" s="577" t="str">
        <f>IFERROR(IF(tbl_DCFC[[#This Row], [F Montant HT]]="","",tbl_DCFC[[#This Row], [Marge]]/tbl_DCFC[[#This Row], [F Montant HT]]),"")</f>
        <v/>
      </c>
      <c r="AX50" s="8"/>
      <c r="AY50" s="3"/>
      <c r="AZ50" s="3"/>
      <c r="BA50" s="8"/>
    </row>
    <row r="51" spans="1:53" ht="15" customHeight="1" x14ac:dyDescent="0.3">
      <c r="A51" s="557"/>
      <c r="B51" s="558" t="str">
        <f>IFERROR(INDEX(Tabelle2[BU],MATCH(tbl_DCFC[[#This Row], [Categorie]],CAT,0)),"")</f>
        <v>SER</v>
      </c>
      <c r="C51" s="559"/>
      <c r="D51" s="560">
        <v>25569.04218216435</v>
      </c>
      <c r="E51" s="578">
        <v>4697</v>
      </c>
      <c r="F51" s="559" t="s">
        <v>641</v>
      </c>
      <c r="G51" s="559" t="s">
        <v>789</v>
      </c>
      <c r="H51" s="559"/>
      <c r="I51" s="561"/>
      <c r="J51" s="559" t="s">
        <v>281</v>
      </c>
      <c r="K51" s="559" t="s">
        <v>548</v>
      </c>
      <c r="L51" s="559" t="s">
        <v>774</v>
      </c>
      <c r="M51" s="579"/>
      <c r="N51" s="60" t="str">
        <f>IF(Q51&lt;&gt;"","S"&amp;TEXT(WEEKNUM(Q51,21),"00"),"")</f>
        <v/>
      </c>
      <c r="O51" s="60">
        <f>IF(Data!$Q45="","",YEAR(Data!$Q45))</f>
        <v>1970</v>
      </c>
      <c r="P51" s="60">
        <f>IF(Data!$Q45="","",MONTH(Data!$Q45))</f>
        <v>1</v>
      </c>
      <c r="Q51" s="42"/>
      <c r="R51" s="618"/>
      <c r="S51" s="62"/>
      <c r="T51" s="45"/>
      <c r="U51" s="619"/>
      <c r="V51" s="579"/>
      <c r="W51" s="42"/>
      <c r="X51" s="60" t="str">
        <f t="shared" si="3"/>
        <v/>
      </c>
      <c r="Y51" s="60" t="str">
        <f>IF(Data!$AC45="","",YEAR(Data!$AC45))</f>
        <v/>
      </c>
      <c r="Z51" s="60" t="str">
        <f>IF(Data!$AC45="","",MONTH(Data!$AC45))</f>
        <v/>
      </c>
      <c r="AA51" s="42"/>
      <c r="AB51" s="620"/>
      <c r="AC51" s="42"/>
      <c r="AD51" s="62"/>
      <c r="AE51" s="42"/>
      <c r="AF51" s="562"/>
      <c r="AG51" s="3"/>
      <c r="AH51" s="579"/>
      <c r="AI51" s="589">
        <v>20</v>
      </c>
      <c r="AJ51" s="590" t="s">
        <v>790</v>
      </c>
      <c r="AK51" s="579"/>
      <c r="AL51" s="3" t="s">
        <v>791</v>
      </c>
      <c r="AM51" s="579"/>
      <c r="AN51" s="591"/>
      <c r="AO51" s="579"/>
      <c r="AP51" s="590" t="s">
        <v>792</v>
      </c>
      <c r="AQ51" s="579"/>
      <c r="AR51" s="592"/>
      <c r="AS51" s="579"/>
      <c r="AT51" s="593"/>
      <c r="AU51" s="593"/>
      <c r="AV51" s="576" t="str">
        <f t="shared" si="4"/>
        <v/>
      </c>
      <c r="AW51" s="577" t="str">
        <f>IFERROR(IF(tbl_DCFC[[#This Row], [F Montant HT]]="","",tbl_DCFC[[#This Row], [Marge]]/tbl_DCFC[[#This Row], [F Montant HT]]),"")</f>
        <v/>
      </c>
      <c r="AX51" s="8"/>
      <c r="AY51" s="3"/>
      <c r="AZ51" s="3"/>
      <c r="BA51" s="8"/>
    </row>
    <row r="52" spans="1:53" ht="15" customHeight="1" x14ac:dyDescent="0.3">
      <c r="A52" s="557"/>
      <c r="B52" s="558" t="str">
        <f>IFERROR(INDEX(Tabelle2[BU],MATCH(tbl_DCFC[[#This Row], [Categorie]],CAT,0)),"")</f>
        <v>SER</v>
      </c>
      <c r="C52" s="559"/>
      <c r="D52" s="560">
        <v>25569.042182222223</v>
      </c>
      <c r="E52" s="578">
        <v>4698</v>
      </c>
      <c r="F52" s="559" t="s">
        <v>641</v>
      </c>
      <c r="G52" s="559" t="s">
        <v>760</v>
      </c>
      <c r="H52" s="559"/>
      <c r="I52" s="561">
        <v>660</v>
      </c>
      <c r="J52" s="559" t="s">
        <v>281</v>
      </c>
      <c r="K52" s="559" t="s">
        <v>548</v>
      </c>
      <c r="L52" s="559" t="s">
        <v>650</v>
      </c>
      <c r="M52" s="579"/>
      <c r="N52" s="127"/>
      <c r="O52" s="59" t="str">
        <f>IF(Data!$Q46="","",YEAR(Data!$Q46))</f>
        <v/>
      </c>
      <c r="P52" s="59" t="str">
        <f>IF(Data!$Q46="","",MONTH(Data!$Q46))</f>
        <v/>
      </c>
      <c r="Q52" s="130"/>
      <c r="R52" s="621"/>
      <c r="S52" s="133"/>
      <c r="T52" s="622"/>
      <c r="U52" s="623"/>
      <c r="V52" s="579"/>
      <c r="W52" s="42"/>
      <c r="X52" s="60" t="str">
        <f t="shared" si="3"/>
        <v/>
      </c>
      <c r="Y52" s="60" t="str">
        <f>IF(Data!$AC46="","",YEAR(Data!$AC46))</f>
        <v/>
      </c>
      <c r="Z52" s="60" t="str">
        <f>IF(Data!$AC46="","",MONTH(Data!$AC46))</f>
        <v/>
      </c>
      <c r="AA52" s="42"/>
      <c r="AB52" s="620"/>
      <c r="AC52" s="42"/>
      <c r="AD52" s="62"/>
      <c r="AE52" s="42"/>
      <c r="AF52" s="562"/>
      <c r="AG52" s="3"/>
      <c r="AH52" s="579"/>
      <c r="AI52" s="598">
        <v>1</v>
      </c>
      <c r="AJ52" s="599" t="s">
        <v>793</v>
      </c>
      <c r="AK52" s="579"/>
      <c r="AL52" s="3" t="s">
        <v>794</v>
      </c>
      <c r="AM52" s="579"/>
      <c r="AN52" s="591"/>
      <c r="AO52" s="579"/>
      <c r="AP52" s="599" t="s">
        <v>795</v>
      </c>
      <c r="AQ52" s="579"/>
      <c r="AR52" s="600"/>
      <c r="AS52" s="579"/>
      <c r="AT52" s="601"/>
      <c r="AU52" s="601"/>
      <c r="AV52" s="576" t="str">
        <f t="shared" si="4"/>
        <v/>
      </c>
      <c r="AW52" s="577" t="str">
        <f>IFERROR(IF(tbl_DCFC[[#This Row], [F Montant HT]]="","",tbl_DCFC[[#This Row], [Marge]]/tbl_DCFC[[#This Row], [F Montant HT]]),"")</f>
        <v/>
      </c>
      <c r="AX52" s="8"/>
      <c r="AY52" s="3"/>
      <c r="AZ52" s="3"/>
      <c r="BA52" s="8"/>
    </row>
    <row r="53" spans="1:53" ht="15" customHeight="1" x14ac:dyDescent="0.3">
      <c r="A53" s="603">
        <v>25569.042182638888</v>
      </c>
      <c r="B53" s="558" t="str">
        <f>IFERROR(INDEX(Tabelle2[BU],MATCH(tbl_DCFC[[#This Row], [Categorie]],CAT,0)),"")</f>
        <v>SER</v>
      </c>
      <c r="C53" s="604" t="str">
        <f>IF(D53&lt;&gt;"","S"&amp;TEXT(WEEKNUM(D53,21),"00"),"")</f>
        <v>S01</v>
      </c>
      <c r="D53" s="603">
        <v>25569.042182638888</v>
      </c>
      <c r="E53" s="588">
        <v>4698</v>
      </c>
      <c r="F53" s="591" t="s">
        <v>679</v>
      </c>
      <c r="G53" s="591" t="s">
        <v>760</v>
      </c>
      <c r="H53" s="591"/>
      <c r="I53" s="588">
        <v>3773</v>
      </c>
      <c r="J53" s="591" t="s">
        <v>281</v>
      </c>
      <c r="K53" s="591" t="s">
        <v>548</v>
      </c>
      <c r="L53" s="605" t="s">
        <v>646</v>
      </c>
      <c r="M53" s="579"/>
      <c r="N53" s="66" t="str">
        <f t="shared" ref="N53:N80" si="6">IF(Q53&lt;&gt;"","S"&amp;TEXT(WEEKNUM(Q53,21),"00"),"")</f>
        <v>S01</v>
      </c>
      <c r="O53" s="66">
        <f>IF(Data!$Q61="","",YEAR(Data!$Q61))</f>
        <v>1970</v>
      </c>
      <c r="P53" s="66">
        <f>IF(Data!$Q61="","",MONTH(Data!$Q61))</f>
        <v>1</v>
      </c>
      <c r="Q53" s="43">
        <v>25569.042182719906</v>
      </c>
      <c r="R53" s="3" t="s">
        <v>796</v>
      </c>
      <c r="S53" s="9">
        <v>3773</v>
      </c>
      <c r="T53" s="3"/>
      <c r="U53" s="3"/>
      <c r="V53" s="579"/>
      <c r="W53" s="31"/>
      <c r="X53" s="66" t="str">
        <f t="shared" si="3"/>
        <v>S01</v>
      </c>
      <c r="Y53" s="66">
        <f>IF(Data!$AC61="","",YEAR(Data!$AC61))</f>
        <v>1970</v>
      </c>
      <c r="Z53" s="66">
        <f>IF(Data!$AC61="","",MONTH(Data!$AC61))</f>
        <v>1</v>
      </c>
      <c r="AA53" s="43">
        <v>25569.042183287038</v>
      </c>
      <c r="AB53" s="9">
        <v>5214</v>
      </c>
      <c r="AC53" s="43">
        <v>25569.042183310186</v>
      </c>
      <c r="AD53" s="9">
        <v>3773</v>
      </c>
      <c r="AE53" s="43">
        <v>25569.042183148147</v>
      </c>
      <c r="AF53" s="562"/>
      <c r="AG53" s="3"/>
      <c r="AH53" s="579"/>
      <c r="AI53" s="598">
        <v>1</v>
      </c>
      <c r="AJ53" s="599" t="s">
        <v>797</v>
      </c>
      <c r="AK53" s="579"/>
      <c r="AL53" s="3" t="s">
        <v>798</v>
      </c>
      <c r="AM53" s="579"/>
      <c r="AN53" s="591"/>
      <c r="AO53" s="579"/>
      <c r="AP53" s="599" t="s">
        <v>795</v>
      </c>
      <c r="AQ53" s="579"/>
      <c r="AR53" s="600"/>
      <c r="AS53" s="579"/>
      <c r="AT53" s="601">
        <v>819</v>
      </c>
      <c r="AU53" s="601">
        <v>312.5</v>
      </c>
      <c r="AV53" s="576">
        <f t="shared" si="4"/>
        <v>2641.5</v>
      </c>
      <c r="AW53" s="577">
        <f>IFERROR(IF(tbl_DCFC[[#This Row], [F Montant HT]]="","",tbl_DCFC[[#This Row], [Marge]]/tbl_DCFC[[#This Row], [F Montant HT]]),"")</f>
        <v>0.700106016432547</v>
      </c>
      <c r="AX53" s="8"/>
      <c r="AY53" s="3"/>
      <c r="AZ53" s="3"/>
      <c r="BA53" s="8"/>
    </row>
    <row r="54" spans="1:53" ht="15" customHeight="1" x14ac:dyDescent="0.3">
      <c r="A54" s="557"/>
      <c r="B54" s="558" t="str">
        <f>IFERROR(INDEX(Tabelle2[BU],MATCH(tbl_DCFC[[#This Row], [Categorie]],CAT,0)),"")</f>
        <v>SER</v>
      </c>
      <c r="C54" s="559"/>
      <c r="D54" s="560">
        <v>25569.042182233796</v>
      </c>
      <c r="E54" s="578">
        <v>4699</v>
      </c>
      <c r="F54" s="559" t="s">
        <v>641</v>
      </c>
      <c r="G54" s="559" t="s">
        <v>799</v>
      </c>
      <c r="H54" s="559"/>
      <c r="I54" s="561">
        <v>4976.5</v>
      </c>
      <c r="J54" s="559" t="s">
        <v>281</v>
      </c>
      <c r="K54" s="559" t="s">
        <v>548</v>
      </c>
      <c r="L54" s="559" t="s">
        <v>657</v>
      </c>
      <c r="M54" s="579"/>
      <c r="N54" s="60" t="str">
        <f t="shared" si="6"/>
        <v/>
      </c>
      <c r="O54" s="60" t="str">
        <f>IF(Data!$Q47="","",YEAR(Data!$Q47))</f>
        <v/>
      </c>
      <c r="P54" s="60" t="str">
        <f>IF(Data!$Q47="","",MONTH(Data!$Q47))</f>
        <v/>
      </c>
      <c r="Q54" s="42"/>
      <c r="R54" s="618"/>
      <c r="S54" s="62"/>
      <c r="T54" s="45"/>
      <c r="U54" s="619"/>
      <c r="V54" s="579"/>
      <c r="W54" s="42"/>
      <c r="X54" s="60" t="str">
        <f t="shared" si="3"/>
        <v/>
      </c>
      <c r="Y54" s="60" t="str">
        <f>IF(Data!$AC47="","",YEAR(Data!$AC47))</f>
        <v/>
      </c>
      <c r="Z54" s="60" t="str">
        <f>IF(Data!$AC47="","",MONTH(Data!$AC47))</f>
        <v/>
      </c>
      <c r="AA54" s="42"/>
      <c r="AB54" s="620"/>
      <c r="AC54" s="42"/>
      <c r="AD54" s="62"/>
      <c r="AE54" s="42"/>
      <c r="AF54" s="562"/>
      <c r="AG54" s="3" t="s">
        <v>800</v>
      </c>
      <c r="AH54" s="579"/>
      <c r="AI54" s="589">
        <v>1</v>
      </c>
      <c r="AJ54" s="590" t="s">
        <v>801</v>
      </c>
      <c r="AK54" s="579"/>
      <c r="AL54" s="3"/>
      <c r="AM54" s="579"/>
      <c r="AN54" s="591"/>
      <c r="AO54" s="579"/>
      <c r="AP54" s="590" t="s">
        <v>802</v>
      </c>
      <c r="AQ54" s="579"/>
      <c r="AR54" s="592"/>
      <c r="AS54" s="579"/>
      <c r="AT54" s="593"/>
      <c r="AU54" s="593"/>
      <c r="AV54" s="576" t="str">
        <f t="shared" si="4"/>
        <v/>
      </c>
      <c r="AW54" s="577" t="str">
        <f>IFERROR(IF(tbl_DCFC[[#This Row], [F Montant HT]]="","",tbl_DCFC[[#This Row], [Marge]]/tbl_DCFC[[#This Row], [F Montant HT]]),"")</f>
        <v/>
      </c>
      <c r="AX54" s="8"/>
      <c r="AY54" s="3"/>
      <c r="AZ54" s="3"/>
      <c r="BA54" s="8"/>
    </row>
    <row r="55" spans="1:53" ht="15" customHeight="1" x14ac:dyDescent="0.3">
      <c r="A55" s="557"/>
      <c r="B55" s="558" t="str">
        <f>IFERROR(INDEX(Tabelle2[BU],MATCH(tbl_DCFC[[#This Row], [Categorie]],CAT,0)),"")</f>
        <v>SER</v>
      </c>
      <c r="C55" s="559"/>
      <c r="D55" s="560">
        <v>25569.042182233796</v>
      </c>
      <c r="E55" s="578">
        <v>4700</v>
      </c>
      <c r="F55" s="559" t="s">
        <v>679</v>
      </c>
      <c r="G55" s="559" t="s">
        <v>645</v>
      </c>
      <c r="H55" s="559" t="s">
        <v>803</v>
      </c>
      <c r="I55" s="561">
        <v>20320</v>
      </c>
      <c r="J55" s="559" t="s">
        <v>281</v>
      </c>
      <c r="K55" s="559" t="s">
        <v>548</v>
      </c>
      <c r="L55" s="559" t="s">
        <v>646</v>
      </c>
      <c r="M55" s="579"/>
      <c r="N55" s="60" t="str">
        <f t="shared" si="6"/>
        <v>S01</v>
      </c>
      <c r="O55" s="60">
        <f>IF(Data!$Q48="","",YEAR(Data!$Q48))</f>
        <v>1970</v>
      </c>
      <c r="P55" s="60">
        <f>IF(Data!$Q48="","",MONTH(Data!$Q48))</f>
        <v>1</v>
      </c>
      <c r="Q55" s="624">
        <v>25569.042182951387</v>
      </c>
      <c r="R55" s="618" t="s">
        <v>804</v>
      </c>
      <c r="S55" s="62">
        <v>20320</v>
      </c>
      <c r="T55" s="45"/>
      <c r="U55" s="619"/>
      <c r="V55" s="579"/>
      <c r="W55" s="42"/>
      <c r="X55" s="60" t="str">
        <f t="shared" si="3"/>
        <v>S01</v>
      </c>
      <c r="Y55" s="60" t="str">
        <f>IF(Data!$AC48="","",YEAR(Data!$AC48))</f>
        <v/>
      </c>
      <c r="Z55" s="60" t="str">
        <f>IF(Data!$AC48="","",MONTH(Data!$AC48))</f>
        <v/>
      </c>
      <c r="AA55" s="624">
        <v>25569.04218346065</v>
      </c>
      <c r="AB55" s="625">
        <v>5227</v>
      </c>
      <c r="AC55" s="624">
        <v>25569.04218346065</v>
      </c>
      <c r="AD55" s="62">
        <v>20320</v>
      </c>
      <c r="AE55" s="624">
        <v>25569.042183391204</v>
      </c>
      <c r="AF55" s="562"/>
      <c r="AG55" s="3"/>
      <c r="AH55" s="579"/>
      <c r="AI55" s="598">
        <v>1</v>
      </c>
      <c r="AJ55" s="599" t="s">
        <v>805</v>
      </c>
      <c r="AK55" s="579"/>
      <c r="AL55" s="3"/>
      <c r="AM55" s="579"/>
      <c r="AN55" s="591"/>
      <c r="AO55" s="579"/>
      <c r="AP55" s="599" t="s">
        <v>806</v>
      </c>
      <c r="AQ55" s="579"/>
      <c r="AR55" s="600"/>
      <c r="AS55" s="579"/>
      <c r="AT55" s="601"/>
      <c r="AU55" s="601"/>
      <c r="AV55" s="576" t="str">
        <f t="shared" si="4"/>
        <v/>
      </c>
      <c r="AW55" s="577" t="str">
        <f>IFERROR(IF(tbl_DCFC[[#This Row], [F Montant HT]]="","",tbl_DCFC[[#This Row], [Marge]]/tbl_DCFC[[#This Row], [F Montant HT]]),"")</f>
        <v/>
      </c>
      <c r="AX55" s="8"/>
      <c r="AY55" s="3"/>
      <c r="AZ55" s="3"/>
      <c r="BA55" s="8"/>
    </row>
    <row r="56" spans="1:53" ht="15" customHeight="1" x14ac:dyDescent="0.3">
      <c r="A56" s="603">
        <v>25569.042182546294</v>
      </c>
      <c r="B56" s="558" t="str">
        <f>IFERROR(INDEX(Tabelle2[BU],MATCH(tbl_DCFC[[#This Row], [Categorie]],CAT,0)),"")</f>
        <v>SER</v>
      </c>
      <c r="C56" s="604" t="str">
        <f>IF(D56&lt;&gt;"","S"&amp;TEXT(WEEKNUM(D56,21),"00"),"")</f>
        <v>S01</v>
      </c>
      <c r="D56" s="603">
        <v>25569.042182546294</v>
      </c>
      <c r="E56" s="588">
        <v>4700</v>
      </c>
      <c r="F56" s="591" t="s">
        <v>679</v>
      </c>
      <c r="G56" s="591" t="s">
        <v>645</v>
      </c>
      <c r="H56" s="591" t="s">
        <v>803</v>
      </c>
      <c r="I56" s="588">
        <v>20320</v>
      </c>
      <c r="J56" s="591" t="s">
        <v>281</v>
      </c>
      <c r="K56" s="591" t="s">
        <v>548</v>
      </c>
      <c r="L56" s="605" t="s">
        <v>646</v>
      </c>
      <c r="M56" s="579"/>
      <c r="N56" s="66" t="str">
        <f t="shared" si="6"/>
        <v>S01</v>
      </c>
      <c r="O56" s="66" t="str">
        <f>IF(Data!$Q83="","",YEAR(Data!$Q83))</f>
        <v/>
      </c>
      <c r="P56" s="66" t="str">
        <f>IF(Data!$Q83="","",MONTH(Data!$Q83))</f>
        <v/>
      </c>
      <c r="Q56" s="43">
        <v>25569.042182951387</v>
      </c>
      <c r="R56" s="3" t="s">
        <v>804</v>
      </c>
      <c r="S56" s="9">
        <v>20320</v>
      </c>
      <c r="T56" s="3"/>
      <c r="U56" s="3"/>
      <c r="V56" s="579"/>
      <c r="W56" s="31"/>
      <c r="X56" s="66" t="str">
        <f t="shared" si="3"/>
        <v>S01</v>
      </c>
      <c r="Y56" s="66" t="str">
        <f>IF(Data!$AC83="","",YEAR(Data!$AC83))</f>
        <v/>
      </c>
      <c r="Z56" s="66" t="str">
        <f>IF(Data!$AC83="","",MONTH(Data!$AC83))</f>
        <v/>
      </c>
      <c r="AA56" s="43">
        <v>25569.042183622685</v>
      </c>
      <c r="AB56" s="9">
        <v>5234</v>
      </c>
      <c r="AC56" s="43">
        <v>25569.042183622685</v>
      </c>
      <c r="AD56" s="9">
        <v>20320</v>
      </c>
      <c r="AE56" s="43">
        <v>25569.04218355324</v>
      </c>
      <c r="AF56" s="562"/>
      <c r="AG56" s="3"/>
      <c r="AH56" s="579"/>
      <c r="AI56" s="598">
        <v>1</v>
      </c>
      <c r="AJ56" s="599" t="s">
        <v>805</v>
      </c>
      <c r="AK56" s="579"/>
      <c r="AL56" s="3"/>
      <c r="AM56" s="579"/>
      <c r="AN56" s="591"/>
      <c r="AO56" s="579"/>
      <c r="AP56" s="599" t="s">
        <v>806</v>
      </c>
      <c r="AQ56" s="579"/>
      <c r="AR56" s="600"/>
      <c r="AS56" s="579"/>
      <c r="AT56" s="601"/>
      <c r="AU56" s="601"/>
      <c r="AV56" s="576"/>
      <c r="AW56" s="577"/>
      <c r="AX56" s="8"/>
      <c r="AY56" s="3"/>
      <c r="AZ56" s="3"/>
      <c r="BA56" s="8"/>
    </row>
    <row r="57" spans="1:53" ht="15" customHeight="1" x14ac:dyDescent="0.3">
      <c r="A57" s="603">
        <v>25569.042182546294</v>
      </c>
      <c r="B57" s="558" t="str">
        <f>IFERROR(INDEX(Tabelle2[BU],MATCH(tbl_DCFC[[#This Row], [Categorie]],CAT,0)),"")</f>
        <v>SER</v>
      </c>
      <c r="C57" s="604" t="str">
        <f>IF(D57&lt;&gt;"","S"&amp;TEXT(WEEKNUM(D57,21),"00"),"")</f>
        <v>S01</v>
      </c>
      <c r="D57" s="603">
        <v>25569.042182546294</v>
      </c>
      <c r="E57" s="588">
        <v>4700</v>
      </c>
      <c r="F57" s="591" t="s">
        <v>679</v>
      </c>
      <c r="G57" s="591" t="s">
        <v>645</v>
      </c>
      <c r="H57" s="591" t="s">
        <v>803</v>
      </c>
      <c r="I57" s="588">
        <v>20320</v>
      </c>
      <c r="J57" s="591" t="s">
        <v>281</v>
      </c>
      <c r="K57" s="591" t="s">
        <v>548</v>
      </c>
      <c r="L57" s="605" t="s">
        <v>646</v>
      </c>
      <c r="M57" s="579"/>
      <c r="N57" s="66" t="str">
        <f t="shared" si="6"/>
        <v>S01</v>
      </c>
      <c r="O57" s="66" t="str">
        <f>IF(Data!$Q84="","",YEAR(Data!$Q84))</f>
        <v/>
      </c>
      <c r="P57" s="66" t="str">
        <f>IF(Data!$Q84="","",MONTH(Data!$Q84))</f>
        <v/>
      </c>
      <c r="Q57" s="43">
        <v>25569.042182951387</v>
      </c>
      <c r="R57" s="3" t="s">
        <v>804</v>
      </c>
      <c r="S57" s="9">
        <v>20320</v>
      </c>
      <c r="T57" s="3"/>
      <c r="U57" s="3"/>
      <c r="V57" s="579"/>
      <c r="W57" s="31"/>
      <c r="X57" s="66" t="str">
        <f t="shared" si="3"/>
        <v/>
      </c>
      <c r="Y57" s="66" t="str">
        <f>IF(Data!$AC84="","",YEAR(Data!$AC84))</f>
        <v/>
      </c>
      <c r="Z57" s="66" t="str">
        <f>IF(Data!$AC84="","",MONTH(Data!$AC84))</f>
        <v/>
      </c>
      <c r="AA57" s="31"/>
      <c r="AB57" s="8"/>
      <c r="AC57" s="626"/>
      <c r="AD57" s="9"/>
      <c r="AE57" s="43">
        <v>25569.042183715279</v>
      </c>
      <c r="AF57" s="562"/>
      <c r="AG57" s="3"/>
      <c r="AH57" s="579"/>
      <c r="AI57" s="598">
        <v>1</v>
      </c>
      <c r="AJ57" s="599" t="s">
        <v>805</v>
      </c>
      <c r="AK57" s="579"/>
      <c r="AL57" s="3"/>
      <c r="AM57" s="579"/>
      <c r="AN57" s="591"/>
      <c r="AO57" s="579"/>
      <c r="AP57" s="599" t="s">
        <v>806</v>
      </c>
      <c r="AQ57" s="579"/>
      <c r="AR57" s="600"/>
      <c r="AS57" s="579"/>
      <c r="AT57" s="601"/>
      <c r="AU57" s="601"/>
      <c r="AV57" s="576"/>
      <c r="AW57" s="577"/>
      <c r="AX57" s="8"/>
      <c r="AY57" s="3"/>
      <c r="AZ57" s="3"/>
      <c r="BA57" s="8"/>
    </row>
    <row r="58" spans="1:53" ht="15" customHeight="1" x14ac:dyDescent="0.3">
      <c r="A58" s="557"/>
      <c r="B58" s="558" t="str">
        <f>IFERROR(INDEX(Tabelle2[BU],MATCH(tbl_DCFC[[#This Row], [Categorie]],CAT,0)),"")</f>
        <v>SER</v>
      </c>
      <c r="C58" s="559"/>
      <c r="D58" s="560">
        <v>25569.042182245372</v>
      </c>
      <c r="E58" s="578">
        <v>4701</v>
      </c>
      <c r="F58" s="559" t="s">
        <v>641</v>
      </c>
      <c r="G58" s="559" t="s">
        <v>807</v>
      </c>
      <c r="H58" s="559"/>
      <c r="I58" s="561">
        <v>180</v>
      </c>
      <c r="J58" s="559" t="s">
        <v>280</v>
      </c>
      <c r="K58" s="559" t="s">
        <v>548</v>
      </c>
      <c r="L58" s="559" t="s">
        <v>774</v>
      </c>
      <c r="M58" s="579"/>
      <c r="N58" s="60" t="str">
        <f t="shared" si="6"/>
        <v/>
      </c>
      <c r="O58" s="60" t="str">
        <f>IF(Data!$Q49="","",YEAR(Data!$Q49))</f>
        <v/>
      </c>
      <c r="P58" s="60" t="str">
        <f>IF(Data!$Q49="","",MONTH(Data!$Q49))</f>
        <v/>
      </c>
      <c r="Q58" s="42"/>
      <c r="R58" s="618"/>
      <c r="S58" s="62"/>
      <c r="T58" s="45"/>
      <c r="U58" s="619"/>
      <c r="V58" s="579"/>
      <c r="W58" s="42"/>
      <c r="X58" s="60" t="str">
        <f t="shared" si="3"/>
        <v/>
      </c>
      <c r="Y58" s="60" t="str">
        <f>IF(Data!$AC49="","",YEAR(Data!$AC49))</f>
        <v/>
      </c>
      <c r="Z58" s="60" t="str">
        <f>IF(Data!$AC49="","",MONTH(Data!$AC49))</f>
        <v/>
      </c>
      <c r="AA58" s="42"/>
      <c r="AB58" s="620"/>
      <c r="AC58" s="42"/>
      <c r="AD58" s="62"/>
      <c r="AE58" s="42"/>
      <c r="AF58" s="562"/>
      <c r="AG58" s="3"/>
      <c r="AH58" s="579"/>
      <c r="AI58" s="598">
        <v>1</v>
      </c>
      <c r="AJ58" s="599" t="s">
        <v>808</v>
      </c>
      <c r="AK58" s="579"/>
      <c r="AL58" s="3" t="s">
        <v>715</v>
      </c>
      <c r="AM58" s="579"/>
      <c r="AN58" s="591"/>
      <c r="AO58" s="579"/>
      <c r="AP58" s="599" t="s">
        <v>809</v>
      </c>
      <c r="AQ58" s="579"/>
      <c r="AR58" s="600"/>
      <c r="AS58" s="579"/>
      <c r="AT58" s="601"/>
      <c r="AU58" s="601"/>
      <c r="AV58" s="576" t="str">
        <f t="shared" ref="AV58:AV80" si="7">IF(AT58="","",S58-AT58-AU58)</f>
        <v/>
      </c>
      <c r="AW58" s="577" t="str">
        <f>IFERROR(IF(tbl_DCFC[[#This Row], [F Montant HT]]="","",tbl_DCFC[[#This Row], [Marge]]/tbl_DCFC[[#This Row], [F Montant HT]]),"")</f>
        <v/>
      </c>
      <c r="AX58" s="8"/>
      <c r="AY58" s="3"/>
      <c r="AZ58" s="3"/>
      <c r="BA58" s="8"/>
    </row>
    <row r="59" spans="1:53" ht="15" customHeight="1" x14ac:dyDescent="0.3">
      <c r="A59" s="557"/>
      <c r="B59" s="558" t="str">
        <f>IFERROR(INDEX(Tabelle2[BU],MATCH(tbl_DCFC[[#This Row], [Categorie]],CAT,0)),"")</f>
        <v>SER</v>
      </c>
      <c r="C59" s="559"/>
      <c r="D59" s="560">
        <v>25569.042182256944</v>
      </c>
      <c r="E59" s="578">
        <v>4702</v>
      </c>
      <c r="F59" s="559" t="s">
        <v>641</v>
      </c>
      <c r="G59" s="559" t="s">
        <v>645</v>
      </c>
      <c r="H59" s="559" t="s">
        <v>799</v>
      </c>
      <c r="I59" s="561">
        <v>856.8</v>
      </c>
      <c r="J59" s="559" t="s">
        <v>281</v>
      </c>
      <c r="K59" s="559" t="s">
        <v>548</v>
      </c>
      <c r="L59" s="559" t="s">
        <v>650</v>
      </c>
      <c r="M59" s="579"/>
      <c r="N59" s="60" t="str">
        <f t="shared" si="6"/>
        <v/>
      </c>
      <c r="O59" s="60">
        <f>IF(Data!$Q50="","",YEAR(Data!$Q50))</f>
        <v>1970</v>
      </c>
      <c r="P59" s="60">
        <f>IF(Data!$Q50="","",MONTH(Data!$Q50))</f>
        <v>1</v>
      </c>
      <c r="Q59" s="42"/>
      <c r="R59" s="618"/>
      <c r="S59" s="62"/>
      <c r="T59" s="45"/>
      <c r="U59" s="619"/>
      <c r="V59" s="579"/>
      <c r="W59" s="42"/>
      <c r="X59" s="60" t="str">
        <f t="shared" si="3"/>
        <v/>
      </c>
      <c r="Y59" s="60">
        <f>IF(Data!$AC50="","",YEAR(Data!$AC50))</f>
        <v>1970</v>
      </c>
      <c r="Z59" s="60">
        <f>IF(Data!$AC50="","",MONTH(Data!$AC50))</f>
        <v>1</v>
      </c>
      <c r="AA59" s="42"/>
      <c r="AB59" s="620"/>
      <c r="AC59" s="42"/>
      <c r="AD59" s="62"/>
      <c r="AE59" s="624">
        <v>25569.042183229165</v>
      </c>
      <c r="AF59" s="562"/>
      <c r="AG59" s="3"/>
      <c r="AH59" s="579"/>
      <c r="AI59" s="589">
        <v>1</v>
      </c>
      <c r="AJ59" s="590" t="s">
        <v>810</v>
      </c>
      <c r="AK59" s="579"/>
      <c r="AL59" s="3" t="s">
        <v>811</v>
      </c>
      <c r="AM59" s="579"/>
      <c r="AN59" s="591"/>
      <c r="AO59" s="579"/>
      <c r="AP59" s="590" t="s">
        <v>812</v>
      </c>
      <c r="AQ59" s="579"/>
      <c r="AR59" s="592"/>
      <c r="AS59" s="579"/>
      <c r="AT59" s="593"/>
      <c r="AU59" s="593"/>
      <c r="AV59" s="576" t="str">
        <f t="shared" si="7"/>
        <v/>
      </c>
      <c r="AW59" s="577" t="str">
        <f>IFERROR(IF(tbl_DCFC[[#This Row], [F Montant HT]]="","",tbl_DCFC[[#This Row], [Marge]]/tbl_DCFC[[#This Row], [F Montant HT]]),"")</f>
        <v/>
      </c>
      <c r="AX59" s="8"/>
      <c r="AY59" s="3"/>
      <c r="AZ59" s="3"/>
      <c r="BA59" s="8"/>
    </row>
    <row r="60" spans="1:53" ht="15" customHeight="1" x14ac:dyDescent="0.3">
      <c r="A60" s="603">
        <v>25569.042182453704</v>
      </c>
      <c r="B60" s="558" t="str">
        <f>IFERROR(INDEX(Tabelle2[BU],MATCH(tbl_DCFC[[#This Row], [Categorie]],CAT,0)),"")</f>
        <v>SER</v>
      </c>
      <c r="C60" s="604" t="str">
        <f t="shared" ref="C60:C91" si="8">IF(D60&lt;&gt;"","S"&amp;TEXT(WEEKNUM(D60,21),"00"),"")</f>
        <v>S01</v>
      </c>
      <c r="D60" s="603">
        <v>25569.042182453704</v>
      </c>
      <c r="E60" s="588">
        <v>4704</v>
      </c>
      <c r="F60" s="591" t="s">
        <v>641</v>
      </c>
      <c r="G60" s="591" t="s">
        <v>671</v>
      </c>
      <c r="H60" s="591"/>
      <c r="I60" s="588">
        <v>3238</v>
      </c>
      <c r="J60" s="591" t="s">
        <v>280</v>
      </c>
      <c r="K60" s="591" t="s">
        <v>548</v>
      </c>
      <c r="L60" s="605" t="s">
        <v>646</v>
      </c>
      <c r="M60" s="579"/>
      <c r="N60" s="66" t="str">
        <f t="shared" si="6"/>
        <v>S01</v>
      </c>
      <c r="O60" s="66" t="str">
        <f>IF(Data!$Q51="","",YEAR(Data!$Q51))</f>
        <v/>
      </c>
      <c r="P60" s="66" t="str">
        <f>IF(Data!$Q51="","",MONTH(Data!$Q51))</f>
        <v/>
      </c>
      <c r="Q60" s="43">
        <v>25569.042182962963</v>
      </c>
      <c r="R60" s="3" t="s">
        <v>813</v>
      </c>
      <c r="S60" s="9">
        <v>3238</v>
      </c>
      <c r="T60" s="3"/>
      <c r="U60" s="3"/>
      <c r="V60" s="579"/>
      <c r="W60" s="31"/>
      <c r="X60" s="66" t="str">
        <f t="shared" si="3"/>
        <v/>
      </c>
      <c r="Y60" s="66" t="str">
        <f>IF(Data!$AC51="","",YEAR(Data!$AC51))</f>
        <v/>
      </c>
      <c r="Z60" s="66" t="str">
        <f>IF(Data!$AC51="","",MONTH(Data!$AC51))</f>
        <v/>
      </c>
      <c r="AA60" s="31"/>
      <c r="AB60" s="8"/>
      <c r="AC60" s="626"/>
      <c r="AD60" s="9"/>
      <c r="AE60" s="43">
        <v>25569.042183796297</v>
      </c>
      <c r="AF60" s="562"/>
      <c r="AG60" s="3"/>
      <c r="AH60" s="579"/>
      <c r="AI60" s="598">
        <v>1</v>
      </c>
      <c r="AJ60" s="599" t="s">
        <v>814</v>
      </c>
      <c r="AK60" s="579"/>
      <c r="AL60" s="3"/>
      <c r="AM60" s="579"/>
      <c r="AN60" s="591"/>
      <c r="AO60" s="579"/>
      <c r="AP60" s="599" t="s">
        <v>815</v>
      </c>
      <c r="AQ60" s="579"/>
      <c r="AR60" s="600"/>
      <c r="AS60" s="579"/>
      <c r="AT60" s="601"/>
      <c r="AU60" s="601"/>
      <c r="AV60" s="576" t="str">
        <f t="shared" si="7"/>
        <v/>
      </c>
      <c r="AW60" s="577" t="str">
        <f>IFERROR(IF(tbl_DCFC[[#This Row], [F Montant HT]]="","",tbl_DCFC[[#This Row], [Marge]]/tbl_DCFC[[#This Row], [F Montant HT]]),"")</f>
        <v/>
      </c>
      <c r="AX60" s="8"/>
      <c r="AY60" s="3"/>
      <c r="AZ60" s="3"/>
      <c r="BA60" s="8"/>
    </row>
    <row r="61" spans="1:53" ht="15" customHeight="1" x14ac:dyDescent="0.3">
      <c r="A61" s="603">
        <v>25569.042182476853</v>
      </c>
      <c r="B61" s="558" t="str">
        <f>IFERROR(INDEX(Tabelle2[BU],MATCH(tbl_DCFC[[#This Row], [Categorie]],CAT,0)),"")</f>
        <v>SER</v>
      </c>
      <c r="C61" s="604" t="str">
        <f t="shared" si="8"/>
        <v>S01</v>
      </c>
      <c r="D61" s="603">
        <v>25569.042182476853</v>
      </c>
      <c r="E61" s="588">
        <v>4705</v>
      </c>
      <c r="F61" s="591" t="s">
        <v>641</v>
      </c>
      <c r="G61" s="591" t="s">
        <v>816</v>
      </c>
      <c r="H61" s="591"/>
      <c r="I61" s="588">
        <v>660</v>
      </c>
      <c r="J61" s="591" t="s">
        <v>280</v>
      </c>
      <c r="K61" s="591" t="s">
        <v>548</v>
      </c>
      <c r="L61" s="605" t="s">
        <v>646</v>
      </c>
      <c r="M61" s="579"/>
      <c r="N61" s="66" t="str">
        <f t="shared" si="6"/>
        <v>S01</v>
      </c>
      <c r="O61" s="66" t="str">
        <f>IF(Data!$Q52="","",YEAR(Data!$Q52))</f>
        <v/>
      </c>
      <c r="P61" s="66" t="str">
        <f>IF(Data!$Q52="","",MONTH(Data!$Q52))</f>
        <v/>
      </c>
      <c r="Q61" s="43">
        <v>25569.04218261574</v>
      </c>
      <c r="R61" s="3" t="s">
        <v>817</v>
      </c>
      <c r="S61" s="9">
        <v>660</v>
      </c>
      <c r="T61" s="3"/>
      <c r="U61" s="3"/>
      <c r="V61" s="579"/>
      <c r="W61" s="31"/>
      <c r="X61" s="66" t="str">
        <f t="shared" si="3"/>
        <v>S01</v>
      </c>
      <c r="Y61" s="66" t="str">
        <f>IF(Data!$AC52="","",YEAR(Data!$AC52))</f>
        <v/>
      </c>
      <c r="Z61" s="66" t="str">
        <f>IF(Data!$AC52="","",MONTH(Data!$AC52))</f>
        <v/>
      </c>
      <c r="AA61" s="43">
        <v>25569.042182986112</v>
      </c>
      <c r="AB61" s="9">
        <v>5204</v>
      </c>
      <c r="AC61" s="43">
        <v>25569.042182986112</v>
      </c>
      <c r="AD61" s="9">
        <v>660</v>
      </c>
      <c r="AE61" s="43">
        <v>25569.042183067129</v>
      </c>
      <c r="AF61" s="562"/>
      <c r="AG61" s="3"/>
      <c r="AH61" s="579"/>
      <c r="AI61" s="598">
        <v>1</v>
      </c>
      <c r="AJ61" s="599" t="s">
        <v>818</v>
      </c>
      <c r="AK61" s="579"/>
      <c r="AL61" s="3"/>
      <c r="AM61" s="579"/>
      <c r="AN61" s="591"/>
      <c r="AO61" s="579"/>
      <c r="AP61" s="599" t="s">
        <v>819</v>
      </c>
      <c r="AQ61" s="579"/>
      <c r="AR61" s="600"/>
      <c r="AS61" s="579"/>
      <c r="AT61" s="601">
        <v>387.03</v>
      </c>
      <c r="AU61" s="601">
        <v>100</v>
      </c>
      <c r="AV61" s="576">
        <f t="shared" si="7"/>
        <v>172.97000000000003</v>
      </c>
      <c r="AW61" s="577">
        <f>IFERROR(IF(tbl_DCFC[[#This Row], [F Montant HT]]="","",tbl_DCFC[[#This Row], [Marge]]/tbl_DCFC[[#This Row], [F Montant HT]]),"")</f>
        <v>0.26207575757575763</v>
      </c>
      <c r="AX61" s="8"/>
      <c r="AY61" s="3"/>
      <c r="AZ61" s="3"/>
      <c r="BA61" s="8"/>
    </row>
    <row r="62" spans="1:53" ht="15" customHeight="1" x14ac:dyDescent="0.3">
      <c r="A62" s="603">
        <v>25569.042182500001</v>
      </c>
      <c r="B62" s="558" t="str">
        <f>IFERROR(INDEX(Tabelle2[BU],MATCH(tbl_DCFC[[#This Row], [Categorie]],CAT,0)),"")</f>
        <v>SER</v>
      </c>
      <c r="C62" s="604" t="str">
        <f t="shared" si="8"/>
        <v>S01</v>
      </c>
      <c r="D62" s="603">
        <v>25569.042182500001</v>
      </c>
      <c r="E62" s="588">
        <v>4706</v>
      </c>
      <c r="F62" s="591" t="s">
        <v>641</v>
      </c>
      <c r="G62" s="591" t="s">
        <v>645</v>
      </c>
      <c r="H62" s="591"/>
      <c r="I62" s="588">
        <v>1434</v>
      </c>
      <c r="J62" s="591" t="s">
        <v>721</v>
      </c>
      <c r="K62" s="591" t="s">
        <v>548</v>
      </c>
      <c r="L62" s="605" t="s">
        <v>646</v>
      </c>
      <c r="M62" s="579"/>
      <c r="N62" s="66" t="str">
        <f t="shared" si="6"/>
        <v>S01</v>
      </c>
      <c r="O62" s="66" t="str">
        <f>IF(Data!$Q54="","",YEAR(Data!$Q54))</f>
        <v/>
      </c>
      <c r="P62" s="66" t="str">
        <f>IF(Data!$Q54="","",MONTH(Data!$Q54))</f>
        <v/>
      </c>
      <c r="Q62" s="43">
        <v>25569.042182534722</v>
      </c>
      <c r="R62" s="21" t="s">
        <v>820</v>
      </c>
      <c r="S62" s="9">
        <v>1434</v>
      </c>
      <c r="T62" s="3"/>
      <c r="U62" s="3"/>
      <c r="V62" s="579"/>
      <c r="W62" s="31"/>
      <c r="X62" s="66" t="str">
        <f t="shared" si="3"/>
        <v>S01</v>
      </c>
      <c r="Y62" s="66" t="str">
        <f>IF(Data!$AC54="","",YEAR(Data!$AC54))</f>
        <v/>
      </c>
      <c r="Z62" s="66" t="str">
        <f>IF(Data!$AC54="","",MONTH(Data!$AC54))</f>
        <v/>
      </c>
      <c r="AA62" s="43">
        <v>25569.042182557871</v>
      </c>
      <c r="AB62" s="9">
        <v>5190</v>
      </c>
      <c r="AC62" s="43">
        <v>25569.042182650464</v>
      </c>
      <c r="AD62" s="9">
        <v>1434</v>
      </c>
      <c r="AE62" s="43">
        <v>25569.042182581019</v>
      </c>
      <c r="AF62" s="562"/>
      <c r="AG62" s="3"/>
      <c r="AH62" s="579"/>
      <c r="AI62" s="598">
        <v>1</v>
      </c>
      <c r="AJ62" s="599" t="s">
        <v>821</v>
      </c>
      <c r="AK62" s="579"/>
      <c r="AL62" s="3"/>
      <c r="AM62" s="579"/>
      <c r="AN62" s="591"/>
      <c r="AO62" s="579"/>
      <c r="AP62" s="599" t="s">
        <v>822</v>
      </c>
      <c r="AQ62" s="579"/>
      <c r="AR62" s="600"/>
      <c r="AS62" s="579"/>
      <c r="AT62" s="601"/>
      <c r="AU62" s="601"/>
      <c r="AV62" s="576" t="str">
        <f t="shared" si="7"/>
        <v/>
      </c>
      <c r="AW62" s="577" t="str">
        <f>IFERROR(IF(tbl_DCFC[[#This Row], [F Montant HT]]="","",tbl_DCFC[[#This Row], [Marge]]/tbl_DCFC[[#This Row], [F Montant HT]]),"")</f>
        <v/>
      </c>
      <c r="AX62" s="8"/>
      <c r="AY62" s="3"/>
      <c r="AZ62" s="3"/>
      <c r="BA62" s="8"/>
    </row>
    <row r="63" spans="1:53" ht="15" customHeight="1" x14ac:dyDescent="0.3">
      <c r="A63" s="603">
        <v>25569.042182500001</v>
      </c>
      <c r="B63" s="558" t="str">
        <f>IFERROR(INDEX(Tabelle2[BU],MATCH(tbl_DCFC[[#This Row], [Categorie]],CAT,0)),"")</f>
        <v>SER</v>
      </c>
      <c r="C63" s="604" t="str">
        <f t="shared" si="8"/>
        <v>S01</v>
      </c>
      <c r="D63" s="603">
        <v>25569.042182500001</v>
      </c>
      <c r="E63" s="588">
        <v>4707</v>
      </c>
      <c r="F63" s="591" t="s">
        <v>641</v>
      </c>
      <c r="G63" s="591" t="s">
        <v>823</v>
      </c>
      <c r="H63" s="591"/>
      <c r="I63" s="588"/>
      <c r="J63" s="591" t="s">
        <v>280</v>
      </c>
      <c r="K63" s="591" t="s">
        <v>548</v>
      </c>
      <c r="L63" s="605" t="s">
        <v>650</v>
      </c>
      <c r="M63" s="579"/>
      <c r="N63" s="66" t="str">
        <f t="shared" si="6"/>
        <v/>
      </c>
      <c r="O63" s="66">
        <f>IF(Data!$Q55="","",YEAR(Data!$Q55))</f>
        <v>1970</v>
      </c>
      <c r="P63" s="66">
        <f>IF(Data!$Q55="","",MONTH(Data!$Q55))</f>
        <v>1</v>
      </c>
      <c r="Q63" s="626"/>
      <c r="R63" s="3"/>
      <c r="S63" s="8"/>
      <c r="T63" s="3"/>
      <c r="U63" s="3"/>
      <c r="V63" s="579"/>
      <c r="W63" s="31"/>
      <c r="X63" s="66" t="str">
        <f t="shared" si="3"/>
        <v/>
      </c>
      <c r="Y63" s="66">
        <f>IF(Data!$AC55="","",YEAR(Data!$AC55))</f>
        <v>1970</v>
      </c>
      <c r="Z63" s="66">
        <f>IF(Data!$AC55="","",MONTH(Data!$AC55))</f>
        <v>1</v>
      </c>
      <c r="AA63" s="31"/>
      <c r="AB63" s="8"/>
      <c r="AC63" s="626"/>
      <c r="AD63" s="9"/>
      <c r="AE63" s="31"/>
      <c r="AF63" s="562"/>
      <c r="AG63" s="3"/>
      <c r="AH63" s="579"/>
      <c r="AI63" s="598">
        <v>1</v>
      </c>
      <c r="AJ63" s="599" t="s">
        <v>824</v>
      </c>
      <c r="AK63" s="579"/>
      <c r="AL63" s="3" t="s">
        <v>825</v>
      </c>
      <c r="AM63" s="579"/>
      <c r="AN63" s="591"/>
      <c r="AO63" s="579"/>
      <c r="AP63" s="599" t="s">
        <v>826</v>
      </c>
      <c r="AQ63" s="579"/>
      <c r="AR63" s="600"/>
      <c r="AS63" s="579"/>
      <c r="AT63" s="601"/>
      <c r="AU63" s="601"/>
      <c r="AV63" s="576" t="str">
        <f t="shared" si="7"/>
        <v/>
      </c>
      <c r="AW63" s="577" t="str">
        <f>IFERROR(IF(tbl_DCFC[[#This Row], [F Montant HT]]="","",tbl_DCFC[[#This Row], [Marge]]/tbl_DCFC[[#This Row], [F Montant HT]]),"")</f>
        <v/>
      </c>
      <c r="AX63" s="8"/>
      <c r="AY63" s="3"/>
      <c r="AZ63" s="3"/>
      <c r="BA63" s="8"/>
    </row>
    <row r="64" spans="1:53" ht="15" customHeight="1" x14ac:dyDescent="0.3">
      <c r="A64" s="603">
        <v>25569.04218261574</v>
      </c>
      <c r="B64" s="558" t="str">
        <f>IFERROR(INDEX(Tabelle2[BU],MATCH(tbl_DCFC[[#This Row], [Categorie]],CAT,0)),"")</f>
        <v>SER</v>
      </c>
      <c r="C64" s="604" t="str">
        <f t="shared" si="8"/>
        <v>S01</v>
      </c>
      <c r="D64" s="603">
        <v>25569.04218261574</v>
      </c>
      <c r="E64" s="588">
        <v>4708</v>
      </c>
      <c r="F64" s="591" t="s">
        <v>641</v>
      </c>
      <c r="G64" s="591" t="s">
        <v>827</v>
      </c>
      <c r="H64" s="591"/>
      <c r="I64" s="588">
        <v>4303</v>
      </c>
      <c r="J64" s="591" t="s">
        <v>280</v>
      </c>
      <c r="K64" s="591" t="s">
        <v>548</v>
      </c>
      <c r="L64" s="605" t="s">
        <v>646</v>
      </c>
      <c r="M64" s="579"/>
      <c r="N64" s="66" t="str">
        <f t="shared" si="6"/>
        <v>S01</v>
      </c>
      <c r="O64" s="66">
        <f>IF(Data!$Q57="","",YEAR(Data!$Q57))</f>
        <v>1970</v>
      </c>
      <c r="P64" s="66">
        <f>IF(Data!$Q57="","",MONTH(Data!$Q57))</f>
        <v>1</v>
      </c>
      <c r="Q64" s="43">
        <v>25569.042182719906</v>
      </c>
      <c r="R64" s="3" t="s">
        <v>828</v>
      </c>
      <c r="S64" s="9">
        <v>4303</v>
      </c>
      <c r="T64" s="3"/>
      <c r="U64" s="3"/>
      <c r="V64" s="579"/>
      <c r="W64" s="31"/>
      <c r="X64" s="66" t="str">
        <f t="shared" si="3"/>
        <v/>
      </c>
      <c r="Y64" s="66" t="str">
        <f>IF(Data!$AC57="","",YEAR(Data!$AC57))</f>
        <v/>
      </c>
      <c r="Z64" s="66" t="str">
        <f>IF(Data!$AC57="","",MONTH(Data!$AC57))</f>
        <v/>
      </c>
      <c r="AA64" s="31"/>
      <c r="AB64" s="8"/>
      <c r="AC64" s="626"/>
      <c r="AD64" s="9"/>
      <c r="AE64" s="43">
        <v>25569.042183958332</v>
      </c>
      <c r="AF64" s="562"/>
      <c r="AG64" s="3"/>
      <c r="AH64" s="579"/>
      <c r="AI64" s="598">
        <v>1</v>
      </c>
      <c r="AJ64" s="599" t="s">
        <v>829</v>
      </c>
      <c r="AK64" s="579"/>
      <c r="AL64" s="3"/>
      <c r="AM64" s="579"/>
      <c r="AN64" s="591"/>
      <c r="AO64" s="579"/>
      <c r="AP64" s="599" t="s">
        <v>830</v>
      </c>
      <c r="AQ64" s="579"/>
      <c r="AR64" s="600"/>
      <c r="AS64" s="579"/>
      <c r="AT64" s="601"/>
      <c r="AU64" s="601"/>
      <c r="AV64" s="576" t="str">
        <f t="shared" si="7"/>
        <v/>
      </c>
      <c r="AW64" s="577" t="str">
        <f>IFERROR(IF(tbl_DCFC[[#This Row], [F Montant HT]]="","",tbl_DCFC[[#This Row], [Marge]]/tbl_DCFC[[#This Row], [F Montant HT]]),"")</f>
        <v/>
      </c>
      <c r="AX64" s="8"/>
      <c r="AY64" s="3"/>
      <c r="AZ64" s="3"/>
      <c r="BA64" s="8"/>
    </row>
    <row r="65" spans="1:53" ht="15" customHeight="1" x14ac:dyDescent="0.3">
      <c r="A65" s="603">
        <v>25569.042182627316</v>
      </c>
      <c r="B65" s="558" t="str">
        <f>IFERROR(INDEX(Tabelle2[BU],MATCH(tbl_DCFC[[#This Row], [Categorie]],CAT,0)),"")</f>
        <v>SER</v>
      </c>
      <c r="C65" s="604" t="str">
        <f t="shared" si="8"/>
        <v>S01</v>
      </c>
      <c r="D65" s="603">
        <v>25569.042182627316</v>
      </c>
      <c r="E65" s="588">
        <v>4709</v>
      </c>
      <c r="F65" s="591" t="s">
        <v>641</v>
      </c>
      <c r="G65" s="591" t="s">
        <v>336</v>
      </c>
      <c r="H65" s="591"/>
      <c r="I65" s="588">
        <v>2120</v>
      </c>
      <c r="J65" s="591" t="s">
        <v>281</v>
      </c>
      <c r="K65" s="591" t="s">
        <v>544</v>
      </c>
      <c r="L65" s="605" t="s">
        <v>646</v>
      </c>
      <c r="M65" s="579"/>
      <c r="N65" s="66" t="str">
        <f t="shared" si="6"/>
        <v>S01</v>
      </c>
      <c r="O65" s="66" t="str">
        <f>IF(Data!$Q58="","",YEAR(Data!$Q58))</f>
        <v/>
      </c>
      <c r="P65" s="66" t="str">
        <f>IF(Data!$Q58="","",MONTH(Data!$Q58))</f>
        <v/>
      </c>
      <c r="Q65" s="43">
        <v>25569.042182881945</v>
      </c>
      <c r="R65" s="3" t="s">
        <v>831</v>
      </c>
      <c r="S65" s="9">
        <v>2120</v>
      </c>
      <c r="T65" s="3"/>
      <c r="U65" s="3"/>
      <c r="V65" s="579"/>
      <c r="W65" s="31"/>
      <c r="X65" s="66" t="str">
        <f t="shared" si="3"/>
        <v>S01</v>
      </c>
      <c r="Y65" s="66" t="str">
        <f>IF(Data!$AC58="","",YEAR(Data!$AC58))</f>
        <v/>
      </c>
      <c r="Z65" s="66" t="str">
        <f>IF(Data!$AC58="","",MONTH(Data!$AC58))</f>
        <v/>
      </c>
      <c r="AA65" s="43">
        <v>25569.042183587964</v>
      </c>
      <c r="AB65" s="9">
        <v>5233</v>
      </c>
      <c r="AC65" s="43">
        <v>25569.042183599537</v>
      </c>
      <c r="AD65" s="9">
        <v>2120</v>
      </c>
      <c r="AE65" s="43">
        <v>25569.042183611113</v>
      </c>
      <c r="AF65" s="562"/>
      <c r="AG65" s="3"/>
      <c r="AH65" s="579"/>
      <c r="AI65" s="598">
        <v>4</v>
      </c>
      <c r="AJ65" s="599" t="s">
        <v>745</v>
      </c>
      <c r="AK65" s="579"/>
      <c r="AL65" s="3" t="s">
        <v>832</v>
      </c>
      <c r="AM65" s="579"/>
      <c r="AN65" s="591"/>
      <c r="AO65" s="579"/>
      <c r="AP65" s="599" t="s">
        <v>833</v>
      </c>
      <c r="AQ65" s="579"/>
      <c r="AR65" s="600"/>
      <c r="AS65" s="579"/>
      <c r="AT65" s="601">
        <v>2750</v>
      </c>
      <c r="AU65" s="601">
        <v>1105</v>
      </c>
      <c r="AV65" s="576">
        <f t="shared" si="7"/>
        <v>-1735</v>
      </c>
      <c r="AW65" s="577">
        <f>IFERROR(IF(tbl_DCFC[[#This Row], [F Montant HT]]="","",tbl_DCFC[[#This Row], [Marge]]/tbl_DCFC[[#This Row], [F Montant HT]]),"")</f>
        <v>-0.81839622641509435</v>
      </c>
      <c r="AX65" s="8"/>
      <c r="AY65" s="3"/>
      <c r="AZ65" s="3"/>
      <c r="BA65" s="8"/>
    </row>
    <row r="66" spans="1:53" ht="15" customHeight="1" x14ac:dyDescent="0.3">
      <c r="A66" s="603">
        <v>25569.042182627316</v>
      </c>
      <c r="B66" s="558" t="str">
        <f>IFERROR(INDEX(Tabelle2[BU],MATCH(tbl_DCFC[[#This Row], [Categorie]],CAT,0)),"")</f>
        <v>SER</v>
      </c>
      <c r="C66" s="604" t="str">
        <f t="shared" si="8"/>
        <v>S01</v>
      </c>
      <c r="D66" s="603">
        <v>25569.042182627316</v>
      </c>
      <c r="E66" s="588">
        <v>4709</v>
      </c>
      <c r="F66" s="591" t="s">
        <v>641</v>
      </c>
      <c r="G66" s="591" t="s">
        <v>336</v>
      </c>
      <c r="H66" s="591"/>
      <c r="I66" s="588">
        <v>530</v>
      </c>
      <c r="J66" s="591" t="s">
        <v>281</v>
      </c>
      <c r="K66" s="591" t="s">
        <v>544</v>
      </c>
      <c r="L66" s="605" t="s">
        <v>646</v>
      </c>
      <c r="M66" s="579"/>
      <c r="N66" s="66" t="str">
        <f t="shared" si="6"/>
        <v>S01</v>
      </c>
      <c r="O66" s="66" t="str">
        <f>IF(Data!$Q104="","",YEAR(Data!$Q104))</f>
        <v/>
      </c>
      <c r="P66" s="66" t="str">
        <f>IF(Data!$Q104="","",MONTH(Data!$Q104))</f>
        <v/>
      </c>
      <c r="Q66" s="43">
        <v>25569.042182881945</v>
      </c>
      <c r="R66" s="3" t="s">
        <v>831</v>
      </c>
      <c r="S66" s="9">
        <v>530</v>
      </c>
      <c r="T66" s="3"/>
      <c r="U66" s="3"/>
      <c r="V66" s="579"/>
      <c r="W66" s="31"/>
      <c r="X66" s="66" t="str">
        <f t="shared" si="3"/>
        <v>S01</v>
      </c>
      <c r="Y66" s="66" t="str">
        <f>IF(Data!$AC104="","",YEAR(Data!$AC104))</f>
        <v/>
      </c>
      <c r="Z66" s="66" t="str">
        <f>IF(Data!$AC104="","",MONTH(Data!$AC104))</f>
        <v/>
      </c>
      <c r="AA66" s="43">
        <v>25569.042183124999</v>
      </c>
      <c r="AB66" s="9">
        <v>5209</v>
      </c>
      <c r="AC66" s="43">
        <v>25569.042183124999</v>
      </c>
      <c r="AD66" s="9">
        <v>530</v>
      </c>
      <c r="AE66" s="31"/>
      <c r="AF66" s="562"/>
      <c r="AG66" s="3"/>
      <c r="AH66" s="579"/>
      <c r="AI66" s="598">
        <v>1</v>
      </c>
      <c r="AJ66" s="599" t="s">
        <v>745</v>
      </c>
      <c r="AK66" s="579"/>
      <c r="AL66" s="3" t="s">
        <v>834</v>
      </c>
      <c r="AM66" s="579"/>
      <c r="AN66" s="591"/>
      <c r="AO66" s="579"/>
      <c r="AP66" s="599" t="s">
        <v>833</v>
      </c>
      <c r="AQ66" s="579"/>
      <c r="AR66" s="600"/>
      <c r="AS66" s="579"/>
      <c r="AT66" s="601">
        <v>550</v>
      </c>
      <c r="AU66" s="601">
        <v>220</v>
      </c>
      <c r="AV66" s="576">
        <f t="shared" si="7"/>
        <v>-240</v>
      </c>
      <c r="AW66" s="577">
        <f>IFERROR(IF(tbl_DCFC[[#This Row], [F Montant HT]]="","",tbl_DCFC[[#This Row], [Marge]]/tbl_DCFC[[#This Row], [F Montant HT]]),"")</f>
        <v>-0.45283018867924529</v>
      </c>
      <c r="AX66" s="8"/>
      <c r="AY66" s="3"/>
      <c r="AZ66" s="3"/>
      <c r="BA66" s="8"/>
    </row>
    <row r="67" spans="1:53" ht="15" customHeight="1" x14ac:dyDescent="0.3">
      <c r="A67" s="603">
        <v>25569.042182627316</v>
      </c>
      <c r="B67" s="558" t="str">
        <f>IFERROR(INDEX(Tabelle2[BU],MATCH(tbl_DCFC[[#This Row], [Categorie]],CAT,0)),"")</f>
        <v>SER</v>
      </c>
      <c r="C67" s="604" t="str">
        <f t="shared" si="8"/>
        <v>S01</v>
      </c>
      <c r="D67" s="603">
        <v>25569.042182627316</v>
      </c>
      <c r="E67" s="588">
        <v>4709</v>
      </c>
      <c r="F67" s="591" t="s">
        <v>641</v>
      </c>
      <c r="G67" s="591" t="s">
        <v>336</v>
      </c>
      <c r="H67" s="591"/>
      <c r="I67" s="588">
        <v>530</v>
      </c>
      <c r="J67" s="591" t="s">
        <v>281</v>
      </c>
      <c r="K67" s="591" t="s">
        <v>544</v>
      </c>
      <c r="L67" s="605" t="s">
        <v>646</v>
      </c>
      <c r="M67" s="579"/>
      <c r="N67" s="66" t="str">
        <f t="shared" si="6"/>
        <v>S01</v>
      </c>
      <c r="O67" s="66" t="str">
        <f>IF(Data!$Q123="","",YEAR(Data!$Q123))</f>
        <v/>
      </c>
      <c r="P67" s="66" t="str">
        <f>IF(Data!$Q123="","",MONTH(Data!$Q123))</f>
        <v/>
      </c>
      <c r="Q67" s="43">
        <v>25569.042182881945</v>
      </c>
      <c r="R67" s="3" t="s">
        <v>831</v>
      </c>
      <c r="S67" s="9">
        <v>530</v>
      </c>
      <c r="T67" s="3"/>
      <c r="U67" s="3"/>
      <c r="V67" s="579"/>
      <c r="W67" s="31"/>
      <c r="X67" s="66" t="str">
        <f t="shared" ref="X67:X98" si="9">IF(AC67&lt;&gt;"","S"&amp;TEXT(WEEKNUM(AC67,21),"00"),"")</f>
        <v>S01</v>
      </c>
      <c r="Y67" s="66" t="str">
        <f>IF(Data!$AC123="","",YEAR(Data!$AC123))</f>
        <v/>
      </c>
      <c r="Z67" s="66" t="str">
        <f>IF(Data!$AC123="","",MONTH(Data!$AC123))</f>
        <v/>
      </c>
      <c r="AA67" s="43">
        <v>25569.042183379628</v>
      </c>
      <c r="AB67" s="9">
        <v>5221</v>
      </c>
      <c r="AC67" s="43">
        <v>25569.042183391204</v>
      </c>
      <c r="AD67" s="9">
        <v>530</v>
      </c>
      <c r="AE67" s="31"/>
      <c r="AF67" s="562"/>
      <c r="AG67" s="3"/>
      <c r="AH67" s="579"/>
      <c r="AI67" s="598">
        <v>1</v>
      </c>
      <c r="AJ67" s="599" t="s">
        <v>745</v>
      </c>
      <c r="AK67" s="579"/>
      <c r="AL67" s="3" t="s">
        <v>835</v>
      </c>
      <c r="AM67" s="579"/>
      <c r="AN67" s="591"/>
      <c r="AO67" s="579"/>
      <c r="AP67" s="599" t="s">
        <v>833</v>
      </c>
      <c r="AQ67" s="579"/>
      <c r="AR67" s="600"/>
      <c r="AS67" s="579"/>
      <c r="AT67" s="601"/>
      <c r="AU67" s="601"/>
      <c r="AV67" s="576" t="str">
        <f t="shared" si="7"/>
        <v/>
      </c>
      <c r="AW67" s="577" t="str">
        <f>IFERROR(IF(tbl_DCFC[[#This Row], [F Montant HT]]="","",tbl_DCFC[[#This Row], [Marge]]/tbl_DCFC[[#This Row], [F Montant HT]]),"")</f>
        <v/>
      </c>
      <c r="AX67" s="8"/>
      <c r="AY67" s="3"/>
      <c r="AZ67" s="3"/>
      <c r="BA67" s="8"/>
    </row>
    <row r="68" spans="1:53" ht="15" customHeight="1" x14ac:dyDescent="0.3">
      <c r="A68" s="603">
        <v>25569.042182627316</v>
      </c>
      <c r="B68" s="558" t="str">
        <f>IFERROR(INDEX(Tabelle2[BU],MATCH(tbl_DCFC[[#This Row], [Categorie]],CAT,0)),"")</f>
        <v>SER</v>
      </c>
      <c r="C68" s="604" t="str">
        <f t="shared" si="8"/>
        <v>S01</v>
      </c>
      <c r="D68" s="603">
        <v>25569.042182627316</v>
      </c>
      <c r="E68" s="588">
        <v>4710</v>
      </c>
      <c r="F68" s="591" t="s">
        <v>641</v>
      </c>
      <c r="G68" s="591" t="s">
        <v>336</v>
      </c>
      <c r="H68" s="591"/>
      <c r="I68" s="588">
        <v>230</v>
      </c>
      <c r="J68" s="591" t="s">
        <v>281</v>
      </c>
      <c r="K68" s="591" t="s">
        <v>544</v>
      </c>
      <c r="L68" s="605" t="s">
        <v>646</v>
      </c>
      <c r="M68" s="579"/>
      <c r="N68" s="66" t="str">
        <f t="shared" si="6"/>
        <v>S01</v>
      </c>
      <c r="O68" s="66" t="str">
        <f>IF(Data!$Q59="","",YEAR(Data!$Q59))</f>
        <v/>
      </c>
      <c r="P68" s="66" t="str">
        <f>IF(Data!$Q59="","",MONTH(Data!$Q59))</f>
        <v/>
      </c>
      <c r="Q68" s="43">
        <v>25569.042183113426</v>
      </c>
      <c r="R68" s="3" t="s">
        <v>836</v>
      </c>
      <c r="S68" s="9">
        <v>230</v>
      </c>
      <c r="T68" s="3"/>
      <c r="U68" s="3"/>
      <c r="V68" s="579"/>
      <c r="W68" s="31"/>
      <c r="X68" s="66" t="str">
        <f t="shared" si="9"/>
        <v>S01</v>
      </c>
      <c r="Y68" s="66" t="str">
        <f>IF(Data!$AC59="","",YEAR(Data!$AC59))</f>
        <v/>
      </c>
      <c r="Z68" s="66" t="str">
        <f>IF(Data!$AC59="","",MONTH(Data!$AC59))</f>
        <v/>
      </c>
      <c r="AA68" s="43">
        <v>25569.042183379628</v>
      </c>
      <c r="AB68" s="9">
        <v>5223</v>
      </c>
      <c r="AC68" s="43">
        <v>25569.042183391204</v>
      </c>
      <c r="AD68" s="9">
        <v>230</v>
      </c>
      <c r="AE68" s="43">
        <v>25569.042183761576</v>
      </c>
      <c r="AF68" s="562"/>
      <c r="AG68" s="3"/>
      <c r="AH68" s="579"/>
      <c r="AI68" s="598">
        <v>1</v>
      </c>
      <c r="AJ68" s="599" t="s">
        <v>750</v>
      </c>
      <c r="AK68" s="579"/>
      <c r="AL68" s="3" t="s">
        <v>837</v>
      </c>
      <c r="AM68" s="579"/>
      <c r="AN68" s="591"/>
      <c r="AO68" s="579"/>
      <c r="AP68" s="599" t="s">
        <v>838</v>
      </c>
      <c r="AQ68" s="579"/>
      <c r="AR68" s="600"/>
      <c r="AS68" s="579"/>
      <c r="AT68" s="601">
        <v>26</v>
      </c>
      <c r="AU68" s="601"/>
      <c r="AV68" s="576">
        <f t="shared" si="7"/>
        <v>204</v>
      </c>
      <c r="AW68" s="577">
        <f>IFERROR(IF(tbl_DCFC[[#This Row], [F Montant HT]]="","",tbl_DCFC[[#This Row], [Marge]]/tbl_DCFC[[#This Row], [F Montant HT]]),"")</f>
        <v>0.88695652173913042</v>
      </c>
      <c r="AX68" s="8"/>
      <c r="AY68" s="3"/>
      <c r="AZ68" s="3"/>
      <c r="BA68" s="8"/>
    </row>
    <row r="69" spans="1:53" ht="15" customHeight="1" x14ac:dyDescent="0.3">
      <c r="A69" s="603">
        <v>25569.042182627316</v>
      </c>
      <c r="B69" s="558" t="str">
        <f>IFERROR(INDEX(Tabelle2[BU],MATCH(tbl_DCFC[[#This Row], [Categorie]],CAT,0)),"")</f>
        <v>SER</v>
      </c>
      <c r="C69" s="604" t="str">
        <f t="shared" si="8"/>
        <v>S01</v>
      </c>
      <c r="D69" s="603">
        <v>25569.042182627316</v>
      </c>
      <c r="E69" s="588">
        <v>4710</v>
      </c>
      <c r="F69" s="591" t="s">
        <v>641</v>
      </c>
      <c r="G69" s="591" t="s">
        <v>336</v>
      </c>
      <c r="H69" s="591"/>
      <c r="I69" s="588">
        <v>5950</v>
      </c>
      <c r="J69" s="591" t="s">
        <v>281</v>
      </c>
      <c r="K69" s="591" t="s">
        <v>544</v>
      </c>
      <c r="L69" s="605" t="s">
        <v>646</v>
      </c>
      <c r="M69" s="579"/>
      <c r="N69" s="66" t="str">
        <f t="shared" si="6"/>
        <v>S01</v>
      </c>
      <c r="O69" s="66" t="str">
        <f>IF(Data!$Q125="","",YEAR(Data!$Q125))</f>
        <v/>
      </c>
      <c r="P69" s="66" t="str">
        <f>IF(Data!$Q125="","",MONTH(Data!$Q125))</f>
        <v/>
      </c>
      <c r="Q69" s="43">
        <v>25569.042183113426</v>
      </c>
      <c r="R69" s="3" t="s">
        <v>836</v>
      </c>
      <c r="S69" s="9">
        <v>5950</v>
      </c>
      <c r="T69" s="3"/>
      <c r="U69" s="3"/>
      <c r="V69" s="579"/>
      <c r="W69" s="31"/>
      <c r="X69" s="66" t="str">
        <f t="shared" si="9"/>
        <v>S01</v>
      </c>
      <c r="Y69" s="66" t="str">
        <f>IF(Data!$AC125="","",YEAR(Data!$AC125))</f>
        <v/>
      </c>
      <c r="Z69" s="66" t="str">
        <f>IF(Data!$AC125="","",MONTH(Data!$AC125))</f>
        <v/>
      </c>
      <c r="AA69" s="43">
        <v>25569.042183530091</v>
      </c>
      <c r="AB69" s="9">
        <v>5229</v>
      </c>
      <c r="AC69" s="43">
        <v>25569.042183530091</v>
      </c>
      <c r="AD69" s="9">
        <v>5950</v>
      </c>
      <c r="AE69" s="43">
        <v>25569.042183761576</v>
      </c>
      <c r="AF69" s="562"/>
      <c r="AG69" s="3"/>
      <c r="AH69" s="579"/>
      <c r="AI69" s="598">
        <v>4</v>
      </c>
      <c r="AJ69" s="599" t="s">
        <v>750</v>
      </c>
      <c r="AK69" s="579"/>
      <c r="AL69" s="3" t="s">
        <v>839</v>
      </c>
      <c r="AM69" s="579"/>
      <c r="AN69" s="591"/>
      <c r="AO69" s="579"/>
      <c r="AP69" s="599" t="s">
        <v>838</v>
      </c>
      <c r="AQ69" s="579"/>
      <c r="AR69" s="600"/>
      <c r="AS69" s="579"/>
      <c r="AT69" s="601">
        <v>674</v>
      </c>
      <c r="AU69" s="601"/>
      <c r="AV69" s="576">
        <f t="shared" si="7"/>
        <v>5276</v>
      </c>
      <c r="AW69" s="577">
        <f>IFERROR(IF(tbl_DCFC[[#This Row], [F Montant HT]]="","",tbl_DCFC[[#This Row], [Marge]]/tbl_DCFC[[#This Row], [F Montant HT]]),"")</f>
        <v>0.88672268907563023</v>
      </c>
      <c r="AX69" s="8"/>
      <c r="AY69" s="3"/>
      <c r="AZ69" s="3"/>
      <c r="BA69" s="8"/>
    </row>
    <row r="70" spans="1:53" ht="15" customHeight="1" x14ac:dyDescent="0.3">
      <c r="A70" s="603">
        <v>25569.042182627316</v>
      </c>
      <c r="B70" s="558" t="str">
        <f>IFERROR(INDEX(Tabelle2[BU],MATCH(tbl_DCFC[[#This Row], [Categorie]],CAT,0)),"")</f>
        <v>SER</v>
      </c>
      <c r="C70" s="604" t="str">
        <f t="shared" si="8"/>
        <v>S01</v>
      </c>
      <c r="D70" s="603">
        <v>25569.042182627316</v>
      </c>
      <c r="E70" s="588">
        <v>4711</v>
      </c>
      <c r="F70" s="591" t="s">
        <v>641</v>
      </c>
      <c r="G70" s="591" t="s">
        <v>840</v>
      </c>
      <c r="H70" s="591"/>
      <c r="I70" s="588">
        <v>4144</v>
      </c>
      <c r="J70" s="591" t="s">
        <v>281</v>
      </c>
      <c r="K70" s="591" t="s">
        <v>548</v>
      </c>
      <c r="L70" s="605" t="s">
        <v>646</v>
      </c>
      <c r="M70" s="579"/>
      <c r="N70" s="66" t="str">
        <f t="shared" si="6"/>
        <v>S01</v>
      </c>
      <c r="O70" s="66">
        <f>IF(Data!$Q60="","",YEAR(Data!$Q60))</f>
        <v>1970</v>
      </c>
      <c r="P70" s="66">
        <f>IF(Data!$Q60="","",MONTH(Data!$Q60))</f>
        <v>1</v>
      </c>
      <c r="Q70" s="43">
        <v>25569.042183217593</v>
      </c>
      <c r="R70" s="3" t="s">
        <v>841</v>
      </c>
      <c r="S70" s="9">
        <v>4144</v>
      </c>
      <c r="T70" s="3"/>
      <c r="U70" s="3"/>
      <c r="V70" s="579"/>
      <c r="W70" s="31"/>
      <c r="X70" s="66" t="str">
        <f t="shared" si="9"/>
        <v/>
      </c>
      <c r="Y70" s="66" t="str">
        <f>IF(Data!$AC60="","",YEAR(Data!$AC60))</f>
        <v/>
      </c>
      <c r="Z70" s="66" t="str">
        <f>IF(Data!$AC60="","",MONTH(Data!$AC60))</f>
        <v/>
      </c>
      <c r="AA70" s="31"/>
      <c r="AB70" s="8"/>
      <c r="AC70" s="626"/>
      <c r="AD70" s="9"/>
      <c r="AE70" s="43">
        <v>25569.04218355324</v>
      </c>
      <c r="AF70" s="562"/>
      <c r="AG70" s="3"/>
      <c r="AH70" s="579"/>
      <c r="AI70" s="598">
        <v>1</v>
      </c>
      <c r="AJ70" s="599" t="s">
        <v>842</v>
      </c>
      <c r="AK70" s="579"/>
      <c r="AL70" s="3" t="s">
        <v>843</v>
      </c>
      <c r="AM70" s="579"/>
      <c r="AN70" s="591"/>
      <c r="AO70" s="579"/>
      <c r="AP70" s="599" t="s">
        <v>844</v>
      </c>
      <c r="AQ70" s="579"/>
      <c r="AR70" s="600"/>
      <c r="AS70" s="579"/>
      <c r="AT70" s="601"/>
      <c r="AU70" s="601"/>
      <c r="AV70" s="576" t="str">
        <f t="shared" si="7"/>
        <v/>
      </c>
      <c r="AW70" s="577" t="str">
        <f>IFERROR(IF(tbl_DCFC[[#This Row], [F Montant HT]]="","",tbl_DCFC[[#This Row], [Marge]]/tbl_DCFC[[#This Row], [F Montant HT]]),"")</f>
        <v/>
      </c>
      <c r="AX70" s="8"/>
      <c r="AY70" s="3"/>
      <c r="AZ70" s="3"/>
      <c r="BA70" s="8"/>
    </row>
    <row r="71" spans="1:53" ht="15" customHeight="1" x14ac:dyDescent="0.3">
      <c r="A71" s="603">
        <v>25569.042182650464</v>
      </c>
      <c r="B71" s="558" t="str">
        <f>IFERROR(INDEX(Tabelle2[BU],MATCH(tbl_DCFC[[#This Row], [Categorie]],CAT,0)),"")</f>
        <v>SER</v>
      </c>
      <c r="C71" s="604" t="str">
        <f t="shared" si="8"/>
        <v>S01</v>
      </c>
      <c r="D71" s="603">
        <v>25569.042182650464</v>
      </c>
      <c r="E71" s="588">
        <v>4712</v>
      </c>
      <c r="F71" s="591" t="s">
        <v>641</v>
      </c>
      <c r="G71" s="591" t="s">
        <v>671</v>
      </c>
      <c r="H71" s="591"/>
      <c r="I71" s="588">
        <v>5541</v>
      </c>
      <c r="J71" s="591" t="s">
        <v>280</v>
      </c>
      <c r="K71" s="591" t="s">
        <v>548</v>
      </c>
      <c r="L71" s="605" t="s">
        <v>646</v>
      </c>
      <c r="M71" s="579"/>
      <c r="N71" s="66" t="str">
        <f t="shared" si="6"/>
        <v>S01</v>
      </c>
      <c r="O71" s="66">
        <f>IF(Data!$Q62="","",YEAR(Data!$Q62))</f>
        <v>1970</v>
      </c>
      <c r="P71" s="66">
        <f>IF(Data!$Q62="","",MONTH(Data!$Q62))</f>
        <v>1</v>
      </c>
      <c r="Q71" s="43">
        <v>25569.042183043981</v>
      </c>
      <c r="R71" s="3" t="s">
        <v>845</v>
      </c>
      <c r="S71" s="9">
        <v>5541</v>
      </c>
      <c r="T71" s="3"/>
      <c r="U71" s="3"/>
      <c r="V71" s="579"/>
      <c r="W71" s="43">
        <v>25569.042182650464</v>
      </c>
      <c r="X71" s="66" t="str">
        <f t="shared" si="9"/>
        <v/>
      </c>
      <c r="Y71" s="66">
        <f>IF(Data!$AC62="","",YEAR(Data!$AC62))</f>
        <v>1970</v>
      </c>
      <c r="Z71" s="66">
        <f>IF(Data!$AC62="","",MONTH(Data!$AC62))</f>
        <v>1</v>
      </c>
      <c r="AA71" s="31"/>
      <c r="AB71" s="8"/>
      <c r="AC71" s="626"/>
      <c r="AD71" s="9"/>
      <c r="AE71" s="43">
        <v>25569.042184282407</v>
      </c>
      <c r="AF71" s="562"/>
      <c r="AG71" s="3"/>
      <c r="AH71" s="579"/>
      <c r="AI71" s="598">
        <v>1</v>
      </c>
      <c r="AJ71" s="599" t="s">
        <v>846</v>
      </c>
      <c r="AK71" s="579"/>
      <c r="AL71" s="3"/>
      <c r="AM71" s="579"/>
      <c r="AN71" s="591"/>
      <c r="AO71" s="579"/>
      <c r="AP71" s="599" t="s">
        <v>847</v>
      </c>
      <c r="AQ71" s="579"/>
      <c r="AR71" s="600"/>
      <c r="AS71" s="579"/>
      <c r="AT71" s="601"/>
      <c r="AU71" s="601"/>
      <c r="AV71" s="576" t="str">
        <f t="shared" si="7"/>
        <v/>
      </c>
      <c r="AW71" s="577" t="str">
        <f>IFERROR(IF(tbl_DCFC[[#This Row], [F Montant HT]]="","",tbl_DCFC[[#This Row], [Marge]]/tbl_DCFC[[#This Row], [F Montant HT]]),"")</f>
        <v/>
      </c>
      <c r="AX71" s="8"/>
      <c r="AY71" s="3"/>
      <c r="AZ71" s="3"/>
      <c r="BA71" s="8"/>
    </row>
    <row r="72" spans="1:53" ht="15" customHeight="1" x14ac:dyDescent="0.3">
      <c r="A72" s="603">
        <v>25569.042182708334</v>
      </c>
      <c r="B72" s="558" t="str">
        <f>IFERROR(INDEX(Tabelle2[BU],MATCH(tbl_DCFC[[#This Row], [Categorie]],CAT,0)),"")</f>
        <v>SER</v>
      </c>
      <c r="C72" s="604" t="str">
        <f t="shared" si="8"/>
        <v>S01</v>
      </c>
      <c r="D72" s="603">
        <v>25569.042182708334</v>
      </c>
      <c r="E72" s="588">
        <v>4713</v>
      </c>
      <c r="F72" s="591" t="s">
        <v>641</v>
      </c>
      <c r="G72" s="591" t="s">
        <v>760</v>
      </c>
      <c r="H72" s="591"/>
      <c r="I72" s="588">
        <v>660</v>
      </c>
      <c r="J72" s="591" t="s">
        <v>281</v>
      </c>
      <c r="K72" s="591" t="s">
        <v>548</v>
      </c>
      <c r="L72" s="605" t="s">
        <v>646</v>
      </c>
      <c r="M72" s="579"/>
      <c r="N72" s="66" t="str">
        <f t="shared" si="6"/>
        <v>S01</v>
      </c>
      <c r="O72" s="66" t="str">
        <f>IF(Data!$Q63="","",YEAR(Data!$Q63))</f>
        <v/>
      </c>
      <c r="P72" s="66" t="str">
        <f>IF(Data!$Q63="","",MONTH(Data!$Q63))</f>
        <v/>
      </c>
      <c r="Q72" s="43">
        <v>25569.042182719906</v>
      </c>
      <c r="R72" s="3" t="s">
        <v>848</v>
      </c>
      <c r="S72" s="9">
        <v>660</v>
      </c>
      <c r="T72" s="3"/>
      <c r="U72" s="3"/>
      <c r="V72" s="579"/>
      <c r="W72" s="31"/>
      <c r="X72" s="66" t="str">
        <f t="shared" si="9"/>
        <v>S01</v>
      </c>
      <c r="Y72" s="66" t="str">
        <f>IF(Data!$AC63="","",YEAR(Data!$AC63))</f>
        <v/>
      </c>
      <c r="Z72" s="66" t="str">
        <f>IF(Data!$AC63="","",MONTH(Data!$AC63))</f>
        <v/>
      </c>
      <c r="AA72" s="43">
        <v>25569.042182777779</v>
      </c>
      <c r="AB72" s="9">
        <v>5194</v>
      </c>
      <c r="AC72" s="43">
        <v>25569.042182777779</v>
      </c>
      <c r="AD72" s="9">
        <v>660</v>
      </c>
      <c r="AE72" s="43">
        <v>25569.042182824072</v>
      </c>
      <c r="AF72" s="562"/>
      <c r="AG72" s="3"/>
      <c r="AH72" s="579"/>
      <c r="AI72" s="598">
        <v>1</v>
      </c>
      <c r="AJ72" s="599" t="s">
        <v>793</v>
      </c>
      <c r="AK72" s="579"/>
      <c r="AL72" s="3"/>
      <c r="AM72" s="579"/>
      <c r="AN72" s="591"/>
      <c r="AO72" s="579"/>
      <c r="AP72" s="599" t="s">
        <v>849</v>
      </c>
      <c r="AQ72" s="579"/>
      <c r="AR72" s="600"/>
      <c r="AS72" s="579"/>
      <c r="AT72" s="601"/>
      <c r="AU72" s="601">
        <v>237.5</v>
      </c>
      <c r="AV72" s="576" t="str">
        <f t="shared" si="7"/>
        <v/>
      </c>
      <c r="AW72" s="577" t="str">
        <f>IFERROR(IF(tbl_DCFC[[#This Row], [F Montant HT]]="","",tbl_DCFC[[#This Row], [Marge]]/tbl_DCFC[[#This Row], [F Montant HT]]),"")</f>
        <v/>
      </c>
      <c r="AX72" s="8"/>
      <c r="AY72" s="3"/>
      <c r="AZ72" s="3"/>
      <c r="BA72" s="8"/>
    </row>
    <row r="73" spans="1:53" ht="15" customHeight="1" x14ac:dyDescent="0.3">
      <c r="A73" s="603">
        <v>25569.0421828125</v>
      </c>
      <c r="B73" s="558" t="str">
        <f>IFERROR(INDEX(Tabelle2[BU],MATCH(tbl_DCFC[[#This Row], [Categorie]],CAT,0)),"")</f>
        <v>SER</v>
      </c>
      <c r="C73" s="604" t="str">
        <f t="shared" si="8"/>
        <v>S01</v>
      </c>
      <c r="D73" s="603">
        <v>25569.0421828125</v>
      </c>
      <c r="E73" s="588">
        <v>4714</v>
      </c>
      <c r="F73" s="591" t="s">
        <v>641</v>
      </c>
      <c r="G73" s="591" t="s">
        <v>645</v>
      </c>
      <c r="H73" s="591" t="s">
        <v>803</v>
      </c>
      <c r="I73" s="588">
        <v>18596</v>
      </c>
      <c r="J73" s="591" t="s">
        <v>721</v>
      </c>
      <c r="K73" s="591" t="s">
        <v>548</v>
      </c>
      <c r="L73" s="605" t="s">
        <v>650</v>
      </c>
      <c r="M73" s="579"/>
      <c r="N73" s="66" t="str">
        <f t="shared" si="6"/>
        <v/>
      </c>
      <c r="O73" s="66">
        <f>IF(Data!$Q67="","",YEAR(Data!$Q67))</f>
        <v>1970</v>
      </c>
      <c r="P73" s="66">
        <f>IF(Data!$Q67="","",MONTH(Data!$Q67))</f>
        <v>1</v>
      </c>
      <c r="Q73" s="626"/>
      <c r="R73" s="3"/>
      <c r="S73" s="8"/>
      <c r="T73" s="3"/>
      <c r="U73" s="3"/>
      <c r="V73" s="579"/>
      <c r="W73" s="31"/>
      <c r="X73" s="66" t="str">
        <f t="shared" si="9"/>
        <v/>
      </c>
      <c r="Y73" s="66">
        <f>IF(Data!$AC67="","",YEAR(Data!$AC67))</f>
        <v>1970</v>
      </c>
      <c r="Z73" s="66">
        <f>IF(Data!$AC67="","",MONTH(Data!$AC67))</f>
        <v>1</v>
      </c>
      <c r="AA73" s="31"/>
      <c r="AB73" s="8"/>
      <c r="AC73" s="626"/>
      <c r="AD73" s="9"/>
      <c r="AE73" s="31"/>
      <c r="AF73" s="562"/>
      <c r="AG73" s="3"/>
      <c r="AH73" s="579"/>
      <c r="AI73" s="598">
        <v>1</v>
      </c>
      <c r="AJ73" s="599" t="s">
        <v>850</v>
      </c>
      <c r="AK73" s="579"/>
      <c r="AL73" s="3" t="s">
        <v>851</v>
      </c>
      <c r="AM73" s="579"/>
      <c r="AN73" s="591"/>
      <c r="AO73" s="579"/>
      <c r="AP73" s="599" t="s">
        <v>852</v>
      </c>
      <c r="AQ73" s="579"/>
      <c r="AR73" s="600"/>
      <c r="AS73" s="579"/>
      <c r="AT73" s="601"/>
      <c r="AU73" s="601"/>
      <c r="AV73" s="576" t="str">
        <f t="shared" si="7"/>
        <v/>
      </c>
      <c r="AW73" s="577" t="str">
        <f>IFERROR(IF(tbl_DCFC[[#This Row], [F Montant HT]]="","",tbl_DCFC[[#This Row], [Marge]]/tbl_DCFC[[#This Row], [F Montant HT]]),"")</f>
        <v/>
      </c>
      <c r="AX73" s="8"/>
      <c r="AY73" s="3"/>
      <c r="AZ73" s="3"/>
      <c r="BA73" s="8"/>
    </row>
    <row r="74" spans="1:53" ht="15" customHeight="1" x14ac:dyDescent="0.3">
      <c r="A74" s="603">
        <v>25569.042182870369</v>
      </c>
      <c r="B74" s="558" t="str">
        <f>IFERROR(INDEX(Tabelle2[BU],MATCH(tbl_DCFC[[#This Row], [Categorie]],CAT,0)),"")</f>
        <v>SER</v>
      </c>
      <c r="C74" s="604" t="str">
        <f t="shared" si="8"/>
        <v>S01</v>
      </c>
      <c r="D74" s="603">
        <v>25569.042182870369</v>
      </c>
      <c r="E74" s="588">
        <v>4714</v>
      </c>
      <c r="F74" s="591" t="s">
        <v>693</v>
      </c>
      <c r="G74" s="591" t="s">
        <v>645</v>
      </c>
      <c r="H74" s="591" t="s">
        <v>803</v>
      </c>
      <c r="I74" s="588">
        <v>4683.5</v>
      </c>
      <c r="J74" s="591" t="s">
        <v>721</v>
      </c>
      <c r="K74" s="591" t="s">
        <v>548</v>
      </c>
      <c r="L74" s="605" t="s">
        <v>646</v>
      </c>
      <c r="M74" s="579"/>
      <c r="N74" s="66" t="str">
        <f t="shared" si="6"/>
        <v>S01</v>
      </c>
      <c r="O74" s="66">
        <f>IF(Data!$Q72="","",YEAR(Data!$Q72))</f>
        <v>1970</v>
      </c>
      <c r="P74" s="66">
        <f>IF(Data!$Q72="","",MONTH(Data!$Q72))</f>
        <v>1</v>
      </c>
      <c r="Q74" s="43">
        <v>25569.042183067129</v>
      </c>
      <c r="R74" s="3" t="s">
        <v>853</v>
      </c>
      <c r="S74" s="9">
        <v>4683.5</v>
      </c>
      <c r="T74" s="3"/>
      <c r="U74" s="3"/>
      <c r="V74" s="579"/>
      <c r="W74" s="31"/>
      <c r="X74" s="66" t="str">
        <f t="shared" si="9"/>
        <v>S01</v>
      </c>
      <c r="Y74" s="66">
        <f>IF(Data!$AC72="","",YEAR(Data!$AC72))</f>
        <v>1970</v>
      </c>
      <c r="Z74" s="66">
        <f>IF(Data!$AC72="","",MONTH(Data!$AC72))</f>
        <v>1</v>
      </c>
      <c r="AA74" s="43">
        <v>25569.042183194444</v>
      </c>
      <c r="AB74" s="9">
        <v>5211</v>
      </c>
      <c r="AC74" s="43">
        <v>25569.04218320602</v>
      </c>
      <c r="AD74" s="9">
        <v>4683.5</v>
      </c>
      <c r="AE74" s="43">
        <v>25569.042183217593</v>
      </c>
      <c r="AF74" s="562"/>
      <c r="AG74" s="3"/>
      <c r="AH74" s="579"/>
      <c r="AI74" s="598">
        <v>1</v>
      </c>
      <c r="AJ74" s="599" t="s">
        <v>850</v>
      </c>
      <c r="AK74" s="579"/>
      <c r="AL74" s="3" t="s">
        <v>854</v>
      </c>
      <c r="AM74" s="579"/>
      <c r="AN74" s="591"/>
      <c r="AO74" s="579"/>
      <c r="AP74" s="599" t="s">
        <v>852</v>
      </c>
      <c r="AQ74" s="579"/>
      <c r="AR74" s="600"/>
      <c r="AS74" s="579"/>
      <c r="AT74" s="601"/>
      <c r="AU74" s="601"/>
      <c r="AV74" s="576" t="str">
        <f t="shared" si="7"/>
        <v/>
      </c>
      <c r="AW74" s="577" t="str">
        <f>IFERROR(IF(tbl_DCFC[[#This Row], [F Montant HT]]="","",tbl_DCFC[[#This Row], [Marge]]/tbl_DCFC[[#This Row], [F Montant HT]]),"")</f>
        <v/>
      </c>
      <c r="AX74" s="8"/>
      <c r="AY74" s="3"/>
      <c r="AZ74" s="3"/>
      <c r="BA74" s="8"/>
    </row>
    <row r="75" spans="1:53" ht="15" customHeight="1" x14ac:dyDescent="0.3">
      <c r="A75" s="603">
        <v>25569.042182870369</v>
      </c>
      <c r="B75" s="558" t="str">
        <f>IFERROR(INDEX(Tabelle2[BU],MATCH(tbl_DCFC[[#This Row], [Categorie]],CAT,0)),"")</f>
        <v>SER</v>
      </c>
      <c r="C75" s="604" t="str">
        <f t="shared" si="8"/>
        <v>S01</v>
      </c>
      <c r="D75" s="603">
        <v>25569.042182870369</v>
      </c>
      <c r="E75" s="588">
        <v>4714</v>
      </c>
      <c r="F75" s="591" t="s">
        <v>855</v>
      </c>
      <c r="G75" s="591" t="s">
        <v>645</v>
      </c>
      <c r="H75" s="591" t="s">
        <v>803</v>
      </c>
      <c r="I75" s="588">
        <v>4683.5</v>
      </c>
      <c r="J75" s="591" t="s">
        <v>721</v>
      </c>
      <c r="K75" s="591" t="s">
        <v>548</v>
      </c>
      <c r="L75" s="605" t="s">
        <v>646</v>
      </c>
      <c r="M75" s="579"/>
      <c r="N75" s="66" t="str">
        <f t="shared" si="6"/>
        <v>S01</v>
      </c>
      <c r="O75" s="66" t="str">
        <f>IF(Data!$Q73="","",YEAR(Data!$Q73))</f>
        <v/>
      </c>
      <c r="P75" s="66" t="str">
        <f>IF(Data!$Q73="","",MONTH(Data!$Q73))</f>
        <v/>
      </c>
      <c r="Q75" s="43">
        <v>25569.042183067129</v>
      </c>
      <c r="R75" s="3" t="s">
        <v>856</v>
      </c>
      <c r="S75" s="9">
        <v>4683.5</v>
      </c>
      <c r="T75" s="3"/>
      <c r="U75" s="3"/>
      <c r="V75" s="579"/>
      <c r="W75" s="31"/>
      <c r="X75" s="66" t="str">
        <f t="shared" si="9"/>
        <v/>
      </c>
      <c r="Y75" s="66" t="str">
        <f>IF(Data!$AC73="","",YEAR(Data!$AC73))</f>
        <v/>
      </c>
      <c r="Z75" s="66" t="str">
        <f>IF(Data!$AC73="","",MONTH(Data!$AC73))</f>
        <v/>
      </c>
      <c r="AA75" s="31"/>
      <c r="AB75" s="8"/>
      <c r="AC75" s="626"/>
      <c r="AD75" s="9"/>
      <c r="AE75" s="43">
        <v>25569.042186643517</v>
      </c>
      <c r="AF75" s="562"/>
      <c r="AG75" s="3"/>
      <c r="AH75" s="579"/>
      <c r="AI75" s="598">
        <v>1</v>
      </c>
      <c r="AJ75" s="599" t="s">
        <v>857</v>
      </c>
      <c r="AK75" s="579"/>
      <c r="AL75" s="3" t="s">
        <v>858</v>
      </c>
      <c r="AM75" s="579"/>
      <c r="AN75" s="591"/>
      <c r="AO75" s="579"/>
      <c r="AP75" s="599" t="s">
        <v>852</v>
      </c>
      <c r="AQ75" s="579"/>
      <c r="AR75" s="600"/>
      <c r="AS75" s="579"/>
      <c r="AT75" s="601"/>
      <c r="AU75" s="601"/>
      <c r="AV75" s="576" t="str">
        <f t="shared" si="7"/>
        <v/>
      </c>
      <c r="AW75" s="577" t="str">
        <f>IFERROR(IF(tbl_DCFC[[#This Row], [F Montant HT]]="","",tbl_DCFC[[#This Row], [Marge]]/tbl_DCFC[[#This Row], [F Montant HT]]),"")</f>
        <v/>
      </c>
      <c r="AX75" s="8"/>
      <c r="AY75" s="3"/>
      <c r="AZ75" s="3"/>
      <c r="BA75" s="8"/>
    </row>
    <row r="76" spans="1:53" ht="15" customHeight="1" x14ac:dyDescent="0.3">
      <c r="A76" s="603">
        <v>25569.042182731482</v>
      </c>
      <c r="B76" s="558" t="str">
        <f>IFERROR(INDEX(Tabelle2[BU],MATCH(tbl_DCFC[[#This Row], [Categorie]],CAT,0)),"")</f>
        <v>SER</v>
      </c>
      <c r="C76" s="604" t="str">
        <f t="shared" si="8"/>
        <v>S01</v>
      </c>
      <c r="D76" s="603">
        <v>25569.042182731482</v>
      </c>
      <c r="E76" s="588">
        <v>4715</v>
      </c>
      <c r="F76" s="591" t="s">
        <v>641</v>
      </c>
      <c r="G76" s="591" t="s">
        <v>859</v>
      </c>
      <c r="H76" s="591"/>
      <c r="I76" s="588"/>
      <c r="J76" s="591" t="s">
        <v>281</v>
      </c>
      <c r="K76" s="591" t="s">
        <v>544</v>
      </c>
      <c r="L76" s="605" t="s">
        <v>774</v>
      </c>
      <c r="M76" s="579"/>
      <c r="N76" s="66" t="str">
        <f t="shared" si="6"/>
        <v/>
      </c>
      <c r="O76" s="66">
        <f>IF(Data!$Q66="","",YEAR(Data!$Q66))</f>
        <v>1970</v>
      </c>
      <c r="P76" s="66">
        <f>IF(Data!$Q66="","",MONTH(Data!$Q66))</f>
        <v>1</v>
      </c>
      <c r="Q76" s="626"/>
      <c r="R76" s="3"/>
      <c r="S76" s="8"/>
      <c r="T76" s="3"/>
      <c r="U76" s="3"/>
      <c r="V76" s="579"/>
      <c r="W76" s="31"/>
      <c r="X76" s="66" t="str">
        <f t="shared" si="9"/>
        <v/>
      </c>
      <c r="Y76" s="66">
        <f>IF(Data!$AC66="","",YEAR(Data!$AC66))</f>
        <v>1970</v>
      </c>
      <c r="Z76" s="66">
        <f>IF(Data!$AC66="","",MONTH(Data!$AC66))</f>
        <v>1</v>
      </c>
      <c r="AA76" s="31"/>
      <c r="AB76" s="8"/>
      <c r="AC76" s="626"/>
      <c r="AD76" s="9"/>
      <c r="AE76" s="31"/>
      <c r="AF76" s="562"/>
      <c r="AG76" s="3"/>
      <c r="AH76" s="579"/>
      <c r="AI76" s="598">
        <v>1</v>
      </c>
      <c r="AJ76" s="599" t="s">
        <v>860</v>
      </c>
      <c r="AK76" s="579"/>
      <c r="AL76" s="3"/>
      <c r="AM76" s="579"/>
      <c r="AN76" s="591"/>
      <c r="AO76" s="579"/>
      <c r="AP76" s="599" t="s">
        <v>861</v>
      </c>
      <c r="AQ76" s="579"/>
      <c r="AR76" s="600"/>
      <c r="AS76" s="579"/>
      <c r="AT76" s="601"/>
      <c r="AU76" s="601"/>
      <c r="AV76" s="576" t="str">
        <f t="shared" si="7"/>
        <v/>
      </c>
      <c r="AW76" s="577" t="str">
        <f>IFERROR(IF(tbl_DCFC[[#This Row], [F Montant HT]]="","",tbl_DCFC[[#This Row], [Marge]]/tbl_DCFC[[#This Row], [F Montant HT]]),"")</f>
        <v/>
      </c>
      <c r="AX76" s="8"/>
      <c r="AY76" s="3"/>
      <c r="AZ76" s="3"/>
      <c r="BA76" s="8"/>
    </row>
    <row r="77" spans="1:53" ht="15" customHeight="1" x14ac:dyDescent="0.3">
      <c r="A77" s="603">
        <v>25569.042182824072</v>
      </c>
      <c r="B77" s="558" t="str">
        <f>IFERROR(INDEX(Tabelle2[BU],MATCH(tbl_DCFC[[#This Row], [Categorie]],CAT,0)),"")</f>
        <v>SER</v>
      </c>
      <c r="C77" s="604" t="str">
        <f t="shared" si="8"/>
        <v>S01</v>
      </c>
      <c r="D77" s="603">
        <v>25569.042182824072</v>
      </c>
      <c r="E77" s="588">
        <v>4716</v>
      </c>
      <c r="F77" s="591" t="s">
        <v>641</v>
      </c>
      <c r="G77" s="591" t="s">
        <v>862</v>
      </c>
      <c r="H77" s="591"/>
      <c r="I77" s="588">
        <v>1250</v>
      </c>
      <c r="J77" s="591" t="s">
        <v>280</v>
      </c>
      <c r="K77" s="591" t="s">
        <v>548</v>
      </c>
      <c r="L77" s="605" t="s">
        <v>642</v>
      </c>
      <c r="M77" s="579"/>
      <c r="N77" s="66" t="str">
        <f t="shared" si="6"/>
        <v/>
      </c>
      <c r="O77" s="66">
        <f>IF(Data!$Q68="","",YEAR(Data!$Q68))</f>
        <v>1970</v>
      </c>
      <c r="P77" s="66">
        <f>IF(Data!$Q68="","",MONTH(Data!$Q68))</f>
        <v>1</v>
      </c>
      <c r="Q77" s="626"/>
      <c r="R77" s="3"/>
      <c r="S77" s="8"/>
      <c r="T77" s="3"/>
      <c r="U77" s="3"/>
      <c r="V77" s="579"/>
      <c r="W77" s="31"/>
      <c r="X77" s="66" t="str">
        <f t="shared" si="9"/>
        <v/>
      </c>
      <c r="Y77" s="66">
        <f>IF(Data!$AC68="","",YEAR(Data!$AC68))</f>
        <v>1970</v>
      </c>
      <c r="Z77" s="66">
        <f>IF(Data!$AC68="","",MONTH(Data!$AC68))</f>
        <v>1</v>
      </c>
      <c r="AA77" s="31"/>
      <c r="AB77" s="8"/>
      <c r="AC77" s="626"/>
      <c r="AD77" s="9"/>
      <c r="AE77" s="31"/>
      <c r="AF77" s="562"/>
      <c r="AG77" s="3"/>
      <c r="AH77" s="579"/>
      <c r="AI77" s="598">
        <v>1</v>
      </c>
      <c r="AJ77" s="599" t="s">
        <v>863</v>
      </c>
      <c r="AK77" s="579"/>
      <c r="AL77" s="3"/>
      <c r="AM77" s="579"/>
      <c r="AN77" s="591"/>
      <c r="AO77" s="579"/>
      <c r="AP77" s="599" t="s">
        <v>864</v>
      </c>
      <c r="AQ77" s="579"/>
      <c r="AR77" s="600"/>
      <c r="AS77" s="579"/>
      <c r="AT77" s="601"/>
      <c r="AU77" s="601"/>
      <c r="AV77" s="576" t="str">
        <f t="shared" si="7"/>
        <v/>
      </c>
      <c r="AW77" s="577" t="str">
        <f>IFERROR(IF(tbl_DCFC[[#This Row], [F Montant HT]]="","",tbl_DCFC[[#This Row], [Marge]]/tbl_DCFC[[#This Row], [F Montant HT]]),"")</f>
        <v/>
      </c>
      <c r="AX77" s="8"/>
      <c r="AY77" s="3"/>
      <c r="AZ77" s="3"/>
      <c r="BA77" s="8"/>
    </row>
    <row r="78" spans="1:53" ht="15" customHeight="1" x14ac:dyDescent="0.3">
      <c r="A78" s="603">
        <v>25569.042182824072</v>
      </c>
      <c r="B78" s="558" t="str">
        <f>IFERROR(INDEX(Tabelle2[BU],MATCH(tbl_DCFC[[#This Row], [Categorie]],CAT,0)),"")</f>
        <v>SER</v>
      </c>
      <c r="C78" s="604" t="str">
        <f t="shared" si="8"/>
        <v>S01</v>
      </c>
      <c r="D78" s="603">
        <v>25569.042182824072</v>
      </c>
      <c r="E78" s="588">
        <v>4717</v>
      </c>
      <c r="F78" s="591" t="s">
        <v>641</v>
      </c>
      <c r="G78" s="591" t="s">
        <v>862</v>
      </c>
      <c r="H78" s="591"/>
      <c r="I78" s="588"/>
      <c r="J78" s="591" t="s">
        <v>280</v>
      </c>
      <c r="K78" s="591" t="s">
        <v>548</v>
      </c>
      <c r="L78" s="605" t="s">
        <v>774</v>
      </c>
      <c r="M78" s="579"/>
      <c r="N78" s="66" t="str">
        <f t="shared" si="6"/>
        <v/>
      </c>
      <c r="O78" s="66">
        <f>IF(Data!$Q69="","",YEAR(Data!$Q69))</f>
        <v>1970</v>
      </c>
      <c r="P78" s="66">
        <f>IF(Data!$Q69="","",MONTH(Data!$Q69))</f>
        <v>1</v>
      </c>
      <c r="Q78" s="626"/>
      <c r="R78" s="3"/>
      <c r="S78" s="8"/>
      <c r="T78" s="3"/>
      <c r="U78" s="3"/>
      <c r="V78" s="579"/>
      <c r="W78" s="31"/>
      <c r="X78" s="66" t="str">
        <f t="shared" si="9"/>
        <v/>
      </c>
      <c r="Y78" s="66">
        <f>IF(Data!$AC69="","",YEAR(Data!$AC69))</f>
        <v>1970</v>
      </c>
      <c r="Z78" s="66">
        <f>IF(Data!$AC69="","",MONTH(Data!$AC69))</f>
        <v>1</v>
      </c>
      <c r="AA78" s="31"/>
      <c r="AB78" s="8"/>
      <c r="AC78" s="626"/>
      <c r="AD78" s="9"/>
      <c r="AE78" s="31"/>
      <c r="AF78" s="562"/>
      <c r="AG78" s="3"/>
      <c r="AH78" s="579"/>
      <c r="AI78" s="598">
        <v>2</v>
      </c>
      <c r="AJ78" s="599" t="s">
        <v>865</v>
      </c>
      <c r="AK78" s="579"/>
      <c r="AL78" s="3"/>
      <c r="AM78" s="579"/>
      <c r="AN78" s="591"/>
      <c r="AO78" s="579"/>
      <c r="AP78" s="599" t="s">
        <v>866</v>
      </c>
      <c r="AQ78" s="579"/>
      <c r="AR78" s="600"/>
      <c r="AS78" s="579"/>
      <c r="AT78" s="601"/>
      <c r="AU78" s="601"/>
      <c r="AV78" s="576" t="str">
        <f t="shared" si="7"/>
        <v/>
      </c>
      <c r="AW78" s="577" t="str">
        <f>IFERROR(IF(tbl_DCFC[[#This Row], [F Montant HT]]="","",tbl_DCFC[[#This Row], [Marge]]/tbl_DCFC[[#This Row], [F Montant HT]]),"")</f>
        <v/>
      </c>
      <c r="AX78" s="8"/>
      <c r="AY78" s="3"/>
      <c r="AZ78" s="3"/>
      <c r="BA78" s="8"/>
    </row>
    <row r="79" spans="1:53" ht="15" customHeight="1" x14ac:dyDescent="0.3">
      <c r="A79" s="603">
        <v>25569.042182824072</v>
      </c>
      <c r="B79" s="558" t="str">
        <f>IFERROR(INDEX(Tabelle2[BU],MATCH(tbl_DCFC[[#This Row], [Categorie]],CAT,0)),"")</f>
        <v>SER</v>
      </c>
      <c r="C79" s="604" t="str">
        <f t="shared" si="8"/>
        <v>S01</v>
      </c>
      <c r="D79" s="603">
        <v>25569.042182824072</v>
      </c>
      <c r="E79" s="588">
        <v>4718</v>
      </c>
      <c r="F79" s="591" t="s">
        <v>641</v>
      </c>
      <c r="G79" s="591" t="s">
        <v>862</v>
      </c>
      <c r="H79" s="591"/>
      <c r="I79" s="588">
        <v>1650</v>
      </c>
      <c r="J79" s="591" t="s">
        <v>280</v>
      </c>
      <c r="K79" s="591" t="s">
        <v>548</v>
      </c>
      <c r="L79" s="605" t="s">
        <v>646</v>
      </c>
      <c r="M79" s="579"/>
      <c r="N79" s="66" t="str">
        <f t="shared" si="6"/>
        <v>S01</v>
      </c>
      <c r="O79" s="66">
        <f>IF(Data!$Q70="","",YEAR(Data!$Q70))</f>
        <v>1970</v>
      </c>
      <c r="P79" s="66">
        <f>IF(Data!$Q70="","",MONTH(Data!$Q70))</f>
        <v>1</v>
      </c>
      <c r="Q79" s="43">
        <v>25569.042183356483</v>
      </c>
      <c r="R79" s="3" t="s">
        <v>867</v>
      </c>
      <c r="S79" s="9">
        <v>1740</v>
      </c>
      <c r="T79" s="3"/>
      <c r="U79" s="3"/>
      <c r="V79" s="579"/>
      <c r="W79" s="43">
        <v>25569.042183379628</v>
      </c>
      <c r="X79" s="66" t="str">
        <f t="shared" si="9"/>
        <v/>
      </c>
      <c r="Y79" s="66" t="str">
        <f>IF(Data!$AC70="","",YEAR(Data!$AC70))</f>
        <v/>
      </c>
      <c r="Z79" s="66" t="str">
        <f>IF(Data!$AC70="","",MONTH(Data!$AC70))</f>
        <v/>
      </c>
      <c r="AA79" s="31"/>
      <c r="AB79" s="8"/>
      <c r="AC79" s="626"/>
      <c r="AD79" s="9"/>
      <c r="AE79" s="31"/>
      <c r="AF79" s="562"/>
      <c r="AG79" s="3"/>
      <c r="AH79" s="579"/>
      <c r="AI79" s="598">
        <v>1</v>
      </c>
      <c r="AJ79" s="599" t="s">
        <v>868</v>
      </c>
      <c r="AK79" s="579"/>
      <c r="AL79" s="3"/>
      <c r="AM79" s="579"/>
      <c r="AN79" s="591"/>
      <c r="AO79" s="579"/>
      <c r="AP79" s="599" t="s">
        <v>869</v>
      </c>
      <c r="AQ79" s="579"/>
      <c r="AR79" s="600"/>
      <c r="AS79" s="579"/>
      <c r="AT79" s="601"/>
      <c r="AU79" s="601"/>
      <c r="AV79" s="576" t="str">
        <f t="shared" si="7"/>
        <v/>
      </c>
      <c r="AW79" s="577" t="str">
        <f>IFERROR(IF(tbl_DCFC[[#This Row], [F Montant HT]]="","",tbl_DCFC[[#This Row], [Marge]]/tbl_DCFC[[#This Row], [F Montant HT]]),"")</f>
        <v/>
      </c>
      <c r="AX79" s="8"/>
      <c r="AY79" s="3"/>
      <c r="AZ79" s="3"/>
      <c r="BA79" s="8"/>
    </row>
    <row r="80" spans="1:53" ht="15" customHeight="1" x14ac:dyDescent="0.3">
      <c r="A80" s="603">
        <v>25569.042182824072</v>
      </c>
      <c r="B80" s="558" t="str">
        <f>IFERROR(INDEX(Tabelle2[BU],MATCH(tbl_DCFC[[#This Row], [Categorie]],CAT,0)),"")</f>
        <v>SER</v>
      </c>
      <c r="C80" s="604" t="str">
        <f t="shared" si="8"/>
        <v>S01</v>
      </c>
      <c r="D80" s="603">
        <v>25569.042182824072</v>
      </c>
      <c r="E80" s="588">
        <v>4719</v>
      </c>
      <c r="F80" s="591" t="s">
        <v>641</v>
      </c>
      <c r="G80" s="591" t="s">
        <v>862</v>
      </c>
      <c r="H80" s="591"/>
      <c r="I80" s="588"/>
      <c r="J80" s="591" t="s">
        <v>280</v>
      </c>
      <c r="K80" s="591" t="s">
        <v>548</v>
      </c>
      <c r="L80" s="605" t="s">
        <v>774</v>
      </c>
      <c r="M80" s="579"/>
      <c r="N80" s="66" t="str">
        <f t="shared" si="6"/>
        <v/>
      </c>
      <c r="O80" s="66">
        <f>IF(Data!$Q71="","",YEAR(Data!$Q71))</f>
        <v>1970</v>
      </c>
      <c r="P80" s="66">
        <f>IF(Data!$Q71="","",MONTH(Data!$Q71))</f>
        <v>1</v>
      </c>
      <c r="Q80" s="626"/>
      <c r="R80" s="3"/>
      <c r="S80" s="8"/>
      <c r="T80" s="3"/>
      <c r="U80" s="3"/>
      <c r="V80" s="579"/>
      <c r="W80" s="31"/>
      <c r="X80" s="66" t="str">
        <f t="shared" si="9"/>
        <v/>
      </c>
      <c r="Y80" s="66" t="str">
        <f>IF(Data!$AC71="","",YEAR(Data!$AC71))</f>
        <v/>
      </c>
      <c r="Z80" s="66" t="str">
        <f>IF(Data!$AC71="","",MONTH(Data!$AC71))</f>
        <v/>
      </c>
      <c r="AA80" s="31"/>
      <c r="AB80" s="8"/>
      <c r="AC80" s="626"/>
      <c r="AD80" s="9"/>
      <c r="AE80" s="31"/>
      <c r="AF80" s="562"/>
      <c r="AG80" s="3"/>
      <c r="AH80" s="579"/>
      <c r="AI80" s="598">
        <v>1</v>
      </c>
      <c r="AJ80" s="599" t="s">
        <v>870</v>
      </c>
      <c r="AK80" s="579"/>
      <c r="AL80" s="3" t="s">
        <v>871</v>
      </c>
      <c r="AM80" s="579"/>
      <c r="AN80" s="591"/>
      <c r="AO80" s="579"/>
      <c r="AP80" s="599" t="s">
        <v>872</v>
      </c>
      <c r="AQ80" s="579"/>
      <c r="AR80" s="600"/>
      <c r="AS80" s="579"/>
      <c r="AT80" s="601"/>
      <c r="AU80" s="601"/>
      <c r="AV80" s="576" t="str">
        <f t="shared" si="7"/>
        <v/>
      </c>
      <c r="AW80" s="577" t="str">
        <f>IFERROR(IF(tbl_DCFC[[#This Row], [F Montant HT]]="","",tbl_DCFC[[#This Row], [Marge]]/tbl_DCFC[[#This Row], [F Montant HT]]),"")</f>
        <v/>
      </c>
      <c r="AX80" s="8"/>
      <c r="AY80" s="3"/>
      <c r="AZ80" s="3"/>
      <c r="BA80" s="8"/>
    </row>
    <row r="81" spans="1:53" ht="15" customHeight="1" x14ac:dyDescent="0.3">
      <c r="A81" s="603">
        <v>25569.042182893518</v>
      </c>
      <c r="B81" s="558" t="str">
        <f>IFERROR(INDEX(Tabelle2[BU],MATCH(tbl_DCFC[[#This Row], [Categorie]],CAT,0)),"")</f>
        <v>SER</v>
      </c>
      <c r="C81" s="604" t="str">
        <f t="shared" si="8"/>
        <v>S01</v>
      </c>
      <c r="D81" s="603">
        <v>25569.042182893518</v>
      </c>
      <c r="E81" s="588">
        <v>4720</v>
      </c>
      <c r="F81" s="591" t="s">
        <v>641</v>
      </c>
      <c r="G81" s="591" t="s">
        <v>873</v>
      </c>
      <c r="H81" s="591"/>
      <c r="I81" s="588">
        <v>1520</v>
      </c>
      <c r="J81" s="591" t="s">
        <v>280</v>
      </c>
      <c r="K81" s="591" t="s">
        <v>548</v>
      </c>
      <c r="L81" s="605" t="s">
        <v>642</v>
      </c>
      <c r="M81" s="579"/>
      <c r="N81" s="3"/>
      <c r="O81" s="66">
        <f>IF(Data!$Q79="","",YEAR(Data!$Q79))</f>
        <v>1970</v>
      </c>
      <c r="P81" s="66">
        <f>IF(Data!$Q79="","",MONTH(Data!$Q79))</f>
        <v>1</v>
      </c>
      <c r="Q81" s="626"/>
      <c r="R81" s="3"/>
      <c r="S81" s="8"/>
      <c r="T81" s="3"/>
      <c r="U81" s="3"/>
      <c r="V81" s="579"/>
      <c r="W81" s="31"/>
      <c r="X81" s="66" t="str">
        <f t="shared" si="9"/>
        <v/>
      </c>
      <c r="Y81" s="66" t="str">
        <f>IF(Data!$AC79="","",YEAR(Data!$AC79))</f>
        <v/>
      </c>
      <c r="Z81" s="66" t="str">
        <f>IF(Data!$AC79="","",MONTH(Data!$AC79))</f>
        <v/>
      </c>
      <c r="AA81" s="31"/>
      <c r="AB81" s="8"/>
      <c r="AC81" s="626"/>
      <c r="AD81" s="9"/>
      <c r="AE81" s="31"/>
      <c r="AF81" s="562"/>
      <c r="AG81" s="3"/>
      <c r="AH81" s="579"/>
      <c r="AI81" s="598">
        <v>1</v>
      </c>
      <c r="AJ81" s="599" t="s">
        <v>790</v>
      </c>
      <c r="AK81" s="579"/>
      <c r="AL81" s="3" t="s">
        <v>874</v>
      </c>
      <c r="AM81" s="579"/>
      <c r="AN81" s="591"/>
      <c r="AO81" s="579"/>
      <c r="AP81" s="599" t="s">
        <v>875</v>
      </c>
      <c r="AQ81" s="579"/>
      <c r="AR81" s="600"/>
      <c r="AS81" s="579"/>
      <c r="AT81" s="601"/>
      <c r="AU81" s="601"/>
      <c r="AV81" s="576"/>
      <c r="AW81" s="577"/>
      <c r="AX81" s="8"/>
      <c r="AY81" s="3"/>
      <c r="AZ81" s="3"/>
      <c r="BA81" s="8"/>
    </row>
    <row r="82" spans="1:53" ht="15" customHeight="1" x14ac:dyDescent="0.3">
      <c r="A82" s="603">
        <v>25569.042182893518</v>
      </c>
      <c r="B82" s="558" t="str">
        <f>IFERROR(INDEX(Tabelle2[BU],MATCH(tbl_DCFC[[#This Row], [Categorie]],CAT,0)),"")</f>
        <v>SER</v>
      </c>
      <c r="C82" s="604" t="str">
        <f t="shared" si="8"/>
        <v>S01</v>
      </c>
      <c r="D82" s="603">
        <v>25569.042182893518</v>
      </c>
      <c r="E82" s="588">
        <v>4721</v>
      </c>
      <c r="F82" s="591" t="s">
        <v>641</v>
      </c>
      <c r="G82" s="591" t="s">
        <v>876</v>
      </c>
      <c r="H82" s="591"/>
      <c r="I82" s="588">
        <v>737</v>
      </c>
      <c r="J82" s="591" t="s">
        <v>281</v>
      </c>
      <c r="K82" s="591" t="s">
        <v>548</v>
      </c>
      <c r="L82" s="605" t="s">
        <v>646</v>
      </c>
      <c r="M82" s="579"/>
      <c r="N82" s="66" t="str">
        <f>IF(Q82&lt;&gt;"","S"&amp;TEXT(WEEKNUM(Q82,21),"00"),"")</f>
        <v>S01</v>
      </c>
      <c r="O82" s="66">
        <f>IF(Data!$Q75="","",YEAR(Data!$Q75))</f>
        <v>1970</v>
      </c>
      <c r="P82" s="66">
        <f>IF(Data!$Q75="","",MONTH(Data!$Q75))</f>
        <v>1</v>
      </c>
      <c r="Q82" s="43">
        <v>25569.042182951387</v>
      </c>
      <c r="R82" s="3" t="s">
        <v>877</v>
      </c>
      <c r="S82" s="9">
        <v>737</v>
      </c>
      <c r="T82" s="3"/>
      <c r="U82" s="3"/>
      <c r="V82" s="579"/>
      <c r="W82" s="43">
        <v>25569.042182951387</v>
      </c>
      <c r="X82" s="66" t="str">
        <f t="shared" si="9"/>
        <v>S01</v>
      </c>
      <c r="Y82" s="66" t="str">
        <f>IF(Data!$AC75="","",YEAR(Data!$AC75))</f>
        <v/>
      </c>
      <c r="Z82" s="66" t="str">
        <f>IF(Data!$AC75="","",MONTH(Data!$AC75))</f>
        <v/>
      </c>
      <c r="AA82" s="43">
        <v>25569.042182986112</v>
      </c>
      <c r="AB82" s="9">
        <v>5205</v>
      </c>
      <c r="AC82" s="43">
        <v>25569.042183020832</v>
      </c>
      <c r="AD82" s="9">
        <v>737</v>
      </c>
      <c r="AE82" s="43">
        <v>25569.042183020832</v>
      </c>
      <c r="AF82" s="562"/>
      <c r="AG82" s="3"/>
      <c r="AH82" s="579"/>
      <c r="AI82" s="598">
        <v>1</v>
      </c>
      <c r="AJ82" s="599" t="s">
        <v>878</v>
      </c>
      <c r="AK82" s="579"/>
      <c r="AL82" s="3" t="s">
        <v>879</v>
      </c>
      <c r="AM82" s="579"/>
      <c r="AN82" s="591"/>
      <c r="AO82" s="579"/>
      <c r="AP82" s="599" t="s">
        <v>880</v>
      </c>
      <c r="AQ82" s="579"/>
      <c r="AR82" s="600"/>
      <c r="AS82" s="579"/>
      <c r="AT82" s="601"/>
      <c r="AU82" s="601"/>
      <c r="AV82" s="576" t="str">
        <f>IF(AT82="","",S82-AT82-AU82)</f>
        <v/>
      </c>
      <c r="AW82" s="577" t="str">
        <f>IFERROR(IF(tbl_DCFC[[#This Row], [F Montant HT]]="","",tbl_DCFC[[#This Row], [Marge]]/tbl_DCFC[[#This Row], [F Montant HT]]),"")</f>
        <v/>
      </c>
      <c r="AX82" s="8"/>
      <c r="AY82" s="3"/>
      <c r="AZ82" s="3"/>
      <c r="BA82" s="8"/>
    </row>
    <row r="83" spans="1:53" ht="15" customHeight="1" x14ac:dyDescent="0.3">
      <c r="A83" s="603">
        <v>25569.042182893518</v>
      </c>
      <c r="B83" s="558" t="str">
        <f>IFERROR(INDEX(Tabelle2[BU],MATCH(tbl_DCFC[[#This Row], [Categorie]],CAT,0)),"")</f>
        <v>SER</v>
      </c>
      <c r="C83" s="604" t="str">
        <f t="shared" si="8"/>
        <v>S01</v>
      </c>
      <c r="D83" s="603">
        <v>25569.042182893518</v>
      </c>
      <c r="E83" s="588">
        <v>4721</v>
      </c>
      <c r="F83" s="591" t="s">
        <v>641</v>
      </c>
      <c r="G83" s="591" t="s">
        <v>876</v>
      </c>
      <c r="H83" s="591"/>
      <c r="I83" s="588">
        <v>460</v>
      </c>
      <c r="J83" s="591" t="s">
        <v>281</v>
      </c>
      <c r="K83" s="591" t="s">
        <v>548</v>
      </c>
      <c r="L83" s="605" t="s">
        <v>642</v>
      </c>
      <c r="M83" s="579"/>
      <c r="N83" s="66" t="str">
        <f>IF(Q83&lt;&gt;"","S"&amp;TEXT(WEEKNUM(Q83,21),"00"),"")</f>
        <v/>
      </c>
      <c r="O83" s="66" t="str">
        <f>IF(Data!$Q90="","",YEAR(Data!$Q90))</f>
        <v/>
      </c>
      <c r="P83" s="66" t="str">
        <f>IF(Data!$Q90="","",MONTH(Data!$Q90))</f>
        <v/>
      </c>
      <c r="Q83" s="626"/>
      <c r="R83" s="3"/>
      <c r="S83" s="8"/>
      <c r="T83" s="3"/>
      <c r="U83" s="3"/>
      <c r="V83" s="579"/>
      <c r="W83" s="31"/>
      <c r="X83" s="66" t="str">
        <f t="shared" si="9"/>
        <v/>
      </c>
      <c r="Y83" s="66" t="str">
        <f>IF(Data!$AC90="","",YEAR(Data!$AC90))</f>
        <v/>
      </c>
      <c r="Z83" s="66" t="str">
        <f>IF(Data!$AC90="","",MONTH(Data!$AC90))</f>
        <v/>
      </c>
      <c r="AA83" s="31"/>
      <c r="AB83" s="8"/>
      <c r="AC83" s="626"/>
      <c r="AD83" s="9"/>
      <c r="AE83" s="31"/>
      <c r="AF83" s="562"/>
      <c r="AG83" s="3"/>
      <c r="AH83" s="579"/>
      <c r="AI83" s="608"/>
      <c r="AJ83" s="599"/>
      <c r="AK83" s="579"/>
      <c r="AL83" s="3" t="s">
        <v>881</v>
      </c>
      <c r="AM83" s="579"/>
      <c r="AN83" s="591"/>
      <c r="AO83" s="579"/>
      <c r="AP83" s="599" t="s">
        <v>880</v>
      </c>
      <c r="AQ83" s="579"/>
      <c r="AR83" s="600"/>
      <c r="AS83" s="579"/>
      <c r="AT83" s="601"/>
      <c r="AU83" s="601"/>
      <c r="AV83" s="576"/>
      <c r="AW83" s="577"/>
      <c r="AX83" s="8"/>
      <c r="AY83" s="3"/>
      <c r="AZ83" s="3"/>
      <c r="BA83" s="8"/>
    </row>
    <row r="84" spans="1:53" ht="15" customHeight="1" x14ac:dyDescent="0.3">
      <c r="A84" s="603">
        <v>25569.042182893518</v>
      </c>
      <c r="B84" s="558" t="str">
        <f>IFERROR(INDEX(Tabelle2[BU],MATCH(tbl_DCFC[[#This Row], [Categorie]],CAT,0)),"")</f>
        <v>SER</v>
      </c>
      <c r="C84" s="604" t="str">
        <f t="shared" si="8"/>
        <v>S01</v>
      </c>
      <c r="D84" s="603">
        <v>25569.042182893518</v>
      </c>
      <c r="E84" s="588">
        <v>4722</v>
      </c>
      <c r="F84" s="591" t="s">
        <v>641</v>
      </c>
      <c r="G84" s="591" t="s">
        <v>862</v>
      </c>
      <c r="H84" s="591"/>
      <c r="I84" s="588">
        <v>500</v>
      </c>
      <c r="J84" s="591" t="s">
        <v>280</v>
      </c>
      <c r="K84" s="591" t="s">
        <v>548</v>
      </c>
      <c r="L84" s="605" t="s">
        <v>642</v>
      </c>
      <c r="M84" s="579"/>
      <c r="N84" s="3"/>
      <c r="O84" s="66" t="str">
        <f>IF(Data!$Q76="","",YEAR(Data!$Q76))</f>
        <v/>
      </c>
      <c r="P84" s="66" t="str">
        <f>IF(Data!$Q76="","",MONTH(Data!$Q76))</f>
        <v/>
      </c>
      <c r="Q84" s="626"/>
      <c r="R84" s="3"/>
      <c r="S84" s="8"/>
      <c r="T84" s="3"/>
      <c r="U84" s="3"/>
      <c r="V84" s="579"/>
      <c r="W84" s="31"/>
      <c r="X84" s="66" t="str">
        <f t="shared" si="9"/>
        <v/>
      </c>
      <c r="Y84" s="66" t="str">
        <f>IF(Data!$AC76="","",YEAR(Data!$AC76))</f>
        <v/>
      </c>
      <c r="Z84" s="66" t="str">
        <f>IF(Data!$AC76="","",MONTH(Data!$AC76))</f>
        <v/>
      </c>
      <c r="AA84" s="31"/>
      <c r="AB84" s="8"/>
      <c r="AC84" s="626"/>
      <c r="AD84" s="9"/>
      <c r="AE84" s="31"/>
      <c r="AF84" s="562"/>
      <c r="AG84" s="3"/>
      <c r="AH84" s="579"/>
      <c r="AI84" s="598">
        <v>1</v>
      </c>
      <c r="AJ84" s="599" t="s">
        <v>882</v>
      </c>
      <c r="AK84" s="579"/>
      <c r="AL84" s="3"/>
      <c r="AM84" s="579"/>
      <c r="AN84" s="591"/>
      <c r="AO84" s="579"/>
      <c r="AP84" s="599" t="s">
        <v>883</v>
      </c>
      <c r="AQ84" s="579"/>
      <c r="AR84" s="600"/>
      <c r="AS84" s="579"/>
      <c r="AT84" s="601"/>
      <c r="AU84" s="601"/>
      <c r="AV84" s="576"/>
      <c r="AW84" s="577"/>
      <c r="AX84" s="8"/>
      <c r="AY84" s="3"/>
      <c r="AZ84" s="3"/>
      <c r="BA84" s="8"/>
    </row>
    <row r="85" spans="1:53" ht="15" customHeight="1" x14ac:dyDescent="0.3">
      <c r="A85" s="603">
        <v>25569.042182893518</v>
      </c>
      <c r="B85" s="558" t="str">
        <f>IFERROR(INDEX(Tabelle2[BU],MATCH(tbl_DCFC[[#This Row], [Categorie]],CAT,0)),"")</f>
        <v>SER</v>
      </c>
      <c r="C85" s="604" t="str">
        <f t="shared" si="8"/>
        <v>S01</v>
      </c>
      <c r="D85" s="603">
        <v>25569.042182893518</v>
      </c>
      <c r="E85" s="588">
        <v>4723</v>
      </c>
      <c r="F85" s="591" t="s">
        <v>641</v>
      </c>
      <c r="G85" s="591" t="s">
        <v>862</v>
      </c>
      <c r="H85" s="591"/>
      <c r="I85" s="588">
        <v>180</v>
      </c>
      <c r="J85" s="591" t="s">
        <v>280</v>
      </c>
      <c r="K85" s="591" t="s">
        <v>548</v>
      </c>
      <c r="L85" s="605" t="s">
        <v>642</v>
      </c>
      <c r="M85" s="579"/>
      <c r="N85" s="66" t="str">
        <f t="shared" ref="N85:N116" si="10">IF(Q85&lt;&gt;"","S"&amp;TEXT(WEEKNUM(Q85,21),"00"),"")</f>
        <v/>
      </c>
      <c r="O85" s="66" t="str">
        <f>IF(Data!$Q77="","",YEAR(Data!$Q77))</f>
        <v/>
      </c>
      <c r="P85" s="66" t="str">
        <f>IF(Data!$Q77="","",MONTH(Data!$Q77))</f>
        <v/>
      </c>
      <c r="Q85" s="626"/>
      <c r="R85" s="3"/>
      <c r="S85" s="8"/>
      <c r="T85" s="3"/>
      <c r="U85" s="3"/>
      <c r="V85" s="579"/>
      <c r="W85" s="31"/>
      <c r="X85" s="66" t="str">
        <f t="shared" si="9"/>
        <v/>
      </c>
      <c r="Y85" s="66" t="str">
        <f>IF(Data!$AC77="","",YEAR(Data!$AC77))</f>
        <v/>
      </c>
      <c r="Z85" s="66" t="str">
        <f>IF(Data!$AC77="","",MONTH(Data!$AC77))</f>
        <v/>
      </c>
      <c r="AA85" s="31"/>
      <c r="AB85" s="8"/>
      <c r="AC85" s="626"/>
      <c r="AD85" s="9"/>
      <c r="AE85" s="31"/>
      <c r="AF85" s="562"/>
      <c r="AG85" s="3"/>
      <c r="AH85" s="579"/>
      <c r="AI85" s="598">
        <v>1</v>
      </c>
      <c r="AJ85" s="599" t="s">
        <v>884</v>
      </c>
      <c r="AK85" s="579"/>
      <c r="AL85" s="3" t="s">
        <v>885</v>
      </c>
      <c r="AM85" s="579"/>
      <c r="AN85" s="591"/>
      <c r="AO85" s="579"/>
      <c r="AP85" s="599" t="s">
        <v>886</v>
      </c>
      <c r="AQ85" s="579"/>
      <c r="AR85" s="600"/>
      <c r="AS85" s="579"/>
      <c r="AT85" s="601"/>
      <c r="AU85" s="601"/>
      <c r="AV85" s="576" t="str">
        <f>IF(AT85="","",S85-AT85-AU85)</f>
        <v/>
      </c>
      <c r="AW85" s="577" t="str">
        <f>IFERROR(IF(tbl_DCFC[[#This Row], [F Montant HT]]="","",tbl_DCFC[[#This Row], [Marge]]/tbl_DCFC[[#This Row], [F Montant HT]]),"")</f>
        <v/>
      </c>
      <c r="AX85" s="8"/>
      <c r="AY85" s="3"/>
      <c r="AZ85" s="3"/>
      <c r="BA85" s="8"/>
    </row>
    <row r="86" spans="1:53" ht="15" customHeight="1" x14ac:dyDescent="0.3">
      <c r="A86" s="603">
        <v>25569.042182893518</v>
      </c>
      <c r="B86" s="558" t="str">
        <f>IFERROR(INDEX(Tabelle2[BU],MATCH(tbl_DCFC[[#This Row], [Categorie]],CAT,0)),"")</f>
        <v>SER</v>
      </c>
      <c r="C86" s="604" t="str">
        <f t="shared" si="8"/>
        <v>S01</v>
      </c>
      <c r="D86" s="603">
        <v>25569.042182893518</v>
      </c>
      <c r="E86" s="588">
        <v>4724</v>
      </c>
      <c r="F86" s="591" t="s">
        <v>641</v>
      </c>
      <c r="G86" s="591" t="s">
        <v>862</v>
      </c>
      <c r="H86" s="591"/>
      <c r="I86" s="588">
        <v>720</v>
      </c>
      <c r="J86" s="591" t="s">
        <v>280</v>
      </c>
      <c r="K86" s="591" t="s">
        <v>548</v>
      </c>
      <c r="L86" s="605" t="s">
        <v>642</v>
      </c>
      <c r="M86" s="579"/>
      <c r="N86" s="66" t="str">
        <f t="shared" si="10"/>
        <v/>
      </c>
      <c r="O86" s="66" t="str">
        <f>IF(Data!$Q78="","",YEAR(Data!$Q78))</f>
        <v/>
      </c>
      <c r="P86" s="66" t="str">
        <f>IF(Data!$Q78="","",MONTH(Data!$Q78))</f>
        <v/>
      </c>
      <c r="Q86" s="626"/>
      <c r="R86" s="3"/>
      <c r="S86" s="8"/>
      <c r="T86" s="3"/>
      <c r="U86" s="3"/>
      <c r="V86" s="579"/>
      <c r="W86" s="31"/>
      <c r="X86" s="66" t="str">
        <f t="shared" si="9"/>
        <v/>
      </c>
      <c r="Y86" s="66" t="str">
        <f>IF(Data!$AC78="","",YEAR(Data!$AC78))</f>
        <v/>
      </c>
      <c r="Z86" s="66" t="str">
        <f>IF(Data!$AC78="","",MONTH(Data!$AC78))</f>
        <v/>
      </c>
      <c r="AA86" s="31"/>
      <c r="AB86" s="8"/>
      <c r="AC86" s="626"/>
      <c r="AD86" s="9"/>
      <c r="AE86" s="31"/>
      <c r="AF86" s="562"/>
      <c r="AG86" s="3"/>
      <c r="AH86" s="579"/>
      <c r="AI86" s="598">
        <v>1</v>
      </c>
      <c r="AJ86" s="599" t="s">
        <v>887</v>
      </c>
      <c r="AK86" s="579"/>
      <c r="AL86" s="3" t="s">
        <v>871</v>
      </c>
      <c r="AM86" s="579"/>
      <c r="AN86" s="591"/>
      <c r="AO86" s="579"/>
      <c r="AP86" s="599" t="s">
        <v>888</v>
      </c>
      <c r="AQ86" s="579"/>
      <c r="AR86" s="600"/>
      <c r="AS86" s="579"/>
      <c r="AT86" s="601"/>
      <c r="AU86" s="601"/>
      <c r="AV86" s="576" t="str">
        <f>IF(AT86="","",S86-AT86-AU86)</f>
        <v/>
      </c>
      <c r="AW86" s="577" t="str">
        <f>IFERROR(IF(tbl_DCFC[[#This Row], [F Montant HT]]="","",tbl_DCFC[[#This Row], [Marge]]/tbl_DCFC[[#This Row], [F Montant HT]]),"")</f>
        <v/>
      </c>
      <c r="AX86" s="8"/>
      <c r="AY86" s="3"/>
      <c r="AZ86" s="3"/>
      <c r="BA86" s="8"/>
    </row>
    <row r="87" spans="1:53" ht="15" customHeight="1" x14ac:dyDescent="0.3">
      <c r="A87" s="603">
        <v>25569.042182893518</v>
      </c>
      <c r="B87" s="558" t="str">
        <f>IFERROR(INDEX(Tabelle2[BU],MATCH(tbl_DCFC[[#This Row], [Categorie]],CAT,0)),"")</f>
        <v>GSE</v>
      </c>
      <c r="C87" s="604" t="str">
        <f t="shared" si="8"/>
        <v>S01</v>
      </c>
      <c r="D87" s="603">
        <v>25569.042182939815</v>
      </c>
      <c r="E87" s="588">
        <v>4725</v>
      </c>
      <c r="F87" s="591" t="s">
        <v>641</v>
      </c>
      <c r="G87" s="591" t="s">
        <v>889</v>
      </c>
      <c r="H87" s="591"/>
      <c r="I87" s="588">
        <v>20081.2</v>
      </c>
      <c r="J87" s="591" t="s">
        <v>281</v>
      </c>
      <c r="K87" s="591" t="s">
        <v>553</v>
      </c>
      <c r="L87" s="605" t="s">
        <v>650</v>
      </c>
      <c r="M87" s="579"/>
      <c r="N87" s="66" t="str">
        <f t="shared" si="10"/>
        <v/>
      </c>
      <c r="O87" s="66" t="str">
        <f>IF(Data!$Q80="","",YEAR(Data!$Q80))</f>
        <v/>
      </c>
      <c r="P87" s="66" t="str">
        <f>IF(Data!$Q80="","",MONTH(Data!$Q80))</f>
        <v/>
      </c>
      <c r="Q87" s="626"/>
      <c r="R87" s="3"/>
      <c r="S87" s="8"/>
      <c r="T87" s="3"/>
      <c r="U87" s="3"/>
      <c r="V87" s="579"/>
      <c r="W87" s="31"/>
      <c r="X87" s="66" t="str">
        <f t="shared" si="9"/>
        <v/>
      </c>
      <c r="Y87" s="66" t="str">
        <f>IF(Data!$AC80="","",YEAR(Data!$AC80))</f>
        <v/>
      </c>
      <c r="Z87" s="66" t="str">
        <f>IF(Data!$AC80="","",MONTH(Data!$AC80))</f>
        <v/>
      </c>
      <c r="AA87" s="31"/>
      <c r="AB87" s="8"/>
      <c r="AC87" s="626"/>
      <c r="AD87" s="9"/>
      <c r="AE87" s="31"/>
      <c r="AF87" s="562"/>
      <c r="AG87" s="3"/>
      <c r="AH87" s="579"/>
      <c r="AI87" s="598">
        <v>1</v>
      </c>
      <c r="AJ87" s="599" t="s">
        <v>890</v>
      </c>
      <c r="AK87" s="579"/>
      <c r="AL87" s="3"/>
      <c r="AM87" s="579"/>
      <c r="AN87" s="591"/>
      <c r="AO87" s="579"/>
      <c r="AP87" s="599" t="s">
        <v>891</v>
      </c>
      <c r="AQ87" s="579"/>
      <c r="AR87" s="600"/>
      <c r="AS87" s="579"/>
      <c r="AT87" s="601"/>
      <c r="AU87" s="601"/>
      <c r="AV87" s="576" t="str">
        <f>IF(AT87="","",S87-AT87-AU87)</f>
        <v/>
      </c>
      <c r="AW87" s="577" t="str">
        <f>IFERROR(IF(tbl_DCFC[[#This Row], [F Montant HT]]="","",tbl_DCFC[[#This Row], [Marge]]/tbl_DCFC[[#This Row], [F Montant HT]]),"")</f>
        <v/>
      </c>
      <c r="AX87" s="8"/>
      <c r="AY87" s="3"/>
      <c r="AZ87" s="3"/>
      <c r="BA87" s="8"/>
    </row>
    <row r="88" spans="1:53" ht="15" customHeight="1" x14ac:dyDescent="0.3">
      <c r="A88" s="603">
        <v>25569.042183287038</v>
      </c>
      <c r="B88" s="558" t="str">
        <f>IFERROR(INDEX(Tabelle2[BU],MATCH(tbl_DCFC[[#This Row], [Categorie]],CAT,0)),"")</f>
        <v>GSE</v>
      </c>
      <c r="C88" s="604" t="str">
        <f t="shared" si="8"/>
        <v>S01</v>
      </c>
      <c r="D88" s="603">
        <v>25569.042183287038</v>
      </c>
      <c r="E88" s="588">
        <v>4725</v>
      </c>
      <c r="F88" s="591" t="s">
        <v>679</v>
      </c>
      <c r="G88" s="591" t="s">
        <v>889</v>
      </c>
      <c r="H88" s="591"/>
      <c r="I88" s="588">
        <v>17920</v>
      </c>
      <c r="J88" s="591" t="s">
        <v>281</v>
      </c>
      <c r="K88" s="591" t="s">
        <v>553</v>
      </c>
      <c r="L88" s="605" t="s">
        <v>642</v>
      </c>
      <c r="M88" s="579"/>
      <c r="N88" s="66" t="str">
        <f t="shared" si="10"/>
        <v/>
      </c>
      <c r="O88" s="66" t="str">
        <f>IF(Data!$Q121="","",YEAR(Data!$Q121))</f>
        <v/>
      </c>
      <c r="P88" s="66" t="str">
        <f>IF(Data!$Q121="","",MONTH(Data!$Q121))</f>
        <v/>
      </c>
      <c r="Q88" s="626"/>
      <c r="R88" s="3"/>
      <c r="S88" s="8"/>
      <c r="T88" s="3"/>
      <c r="U88" s="3"/>
      <c r="V88" s="579"/>
      <c r="W88" s="31"/>
      <c r="X88" s="66" t="str">
        <f t="shared" si="9"/>
        <v/>
      </c>
      <c r="Y88" s="66" t="str">
        <f>IF(Data!$AC121="","",YEAR(Data!$AC121))</f>
        <v/>
      </c>
      <c r="Z88" s="66" t="str">
        <f>IF(Data!$AC121="","",MONTH(Data!$AC121))</f>
        <v/>
      </c>
      <c r="AA88" s="31"/>
      <c r="AB88" s="8"/>
      <c r="AC88" s="626"/>
      <c r="AD88" s="9"/>
      <c r="AE88" s="31"/>
      <c r="AF88" s="562"/>
      <c r="AG88" s="3"/>
      <c r="AH88" s="579"/>
      <c r="AI88" s="598">
        <v>1</v>
      </c>
      <c r="AJ88" s="599" t="s">
        <v>890</v>
      </c>
      <c r="AK88" s="579"/>
      <c r="AL88" s="3"/>
      <c r="AM88" s="579"/>
      <c r="AN88" s="591"/>
      <c r="AO88" s="579"/>
      <c r="AP88" s="599" t="s">
        <v>891</v>
      </c>
      <c r="AQ88" s="579"/>
      <c r="AR88" s="600"/>
      <c r="AS88" s="579"/>
      <c r="AT88" s="601"/>
      <c r="AU88" s="601"/>
      <c r="AV88" s="576" t="str">
        <f>IF(AT88="","",S88-AT88-AU88)</f>
        <v/>
      </c>
      <c r="AW88" s="577" t="str">
        <f>IFERROR(IF(tbl_DCFC[[#This Row], [F Montant HT]]="","",tbl_DCFC[[#This Row], [Marge]]/tbl_DCFC[[#This Row], [F Montant HT]]),"")</f>
        <v/>
      </c>
      <c r="AX88" s="8"/>
      <c r="AY88" s="3"/>
      <c r="AZ88" s="3"/>
      <c r="BA88" s="8"/>
    </row>
    <row r="89" spans="1:53" ht="15" customHeight="1" x14ac:dyDescent="0.3">
      <c r="A89" s="603">
        <v>25569.042182939815</v>
      </c>
      <c r="B89" s="558" t="str">
        <f>IFERROR(INDEX(Tabelle2[BU],MATCH(tbl_DCFC[[#This Row], [Categorie]],CAT,0)),"")</f>
        <v>SER</v>
      </c>
      <c r="C89" s="604" t="str">
        <f t="shared" si="8"/>
        <v>S01</v>
      </c>
      <c r="D89" s="603">
        <v>25569.042182939815</v>
      </c>
      <c r="E89" s="588">
        <v>4726</v>
      </c>
      <c r="F89" s="591" t="s">
        <v>641</v>
      </c>
      <c r="G89" s="591" t="s">
        <v>645</v>
      </c>
      <c r="H89" s="591" t="s">
        <v>803</v>
      </c>
      <c r="I89" s="588">
        <v>8628.2000000000007</v>
      </c>
      <c r="J89" s="591" t="s">
        <v>721</v>
      </c>
      <c r="K89" s="591" t="s">
        <v>548</v>
      </c>
      <c r="L89" s="605" t="s">
        <v>642</v>
      </c>
      <c r="M89" s="579"/>
      <c r="N89" s="66" t="str">
        <f t="shared" si="10"/>
        <v/>
      </c>
      <c r="O89" s="66" t="str">
        <f>IF(Data!$Q81="","",YEAR(Data!$Q81))</f>
        <v/>
      </c>
      <c r="P89" s="66" t="str">
        <f>IF(Data!$Q81="","",MONTH(Data!$Q81))</f>
        <v/>
      </c>
      <c r="Q89" s="626"/>
      <c r="R89" s="3"/>
      <c r="S89" s="8"/>
      <c r="T89" s="3"/>
      <c r="U89" s="3"/>
      <c r="V89" s="579"/>
      <c r="W89" s="31"/>
      <c r="X89" s="66" t="str">
        <f t="shared" si="9"/>
        <v/>
      </c>
      <c r="Y89" s="66" t="str">
        <f>IF(Data!$AC81="","",YEAR(Data!$AC81))</f>
        <v/>
      </c>
      <c r="Z89" s="66" t="str">
        <f>IF(Data!$AC81="","",MONTH(Data!$AC81))</f>
        <v/>
      </c>
      <c r="AA89" s="31"/>
      <c r="AB89" s="8"/>
      <c r="AC89" s="626"/>
      <c r="AD89" s="9"/>
      <c r="AE89" s="31"/>
      <c r="AF89" s="562"/>
      <c r="AG89" s="3"/>
      <c r="AH89" s="579"/>
      <c r="AI89" s="598">
        <v>2</v>
      </c>
      <c r="AJ89" s="599" t="s">
        <v>892</v>
      </c>
      <c r="AK89" s="579"/>
      <c r="AL89" s="3"/>
      <c r="AM89" s="579"/>
      <c r="AN89" s="591"/>
      <c r="AO89" s="579"/>
      <c r="AP89" s="599" t="s">
        <v>893</v>
      </c>
      <c r="AQ89" s="579"/>
      <c r="AR89" s="600"/>
      <c r="AS89" s="579"/>
      <c r="AT89" s="601"/>
      <c r="AU89" s="601"/>
      <c r="AV89" s="576" t="str">
        <f>IF(AT89="","",S89-AT89-AU89)</f>
        <v/>
      </c>
      <c r="AW89" s="577" t="str">
        <f>IFERROR(IF(tbl_DCFC[[#This Row], [F Montant HT]]="","",tbl_DCFC[[#This Row], [Marge]]/tbl_DCFC[[#This Row], [F Montant HT]]),"")</f>
        <v/>
      </c>
      <c r="AX89" s="8"/>
      <c r="AY89" s="3"/>
      <c r="AZ89" s="3"/>
      <c r="BA89" s="8"/>
    </row>
    <row r="90" spans="1:53" ht="15" customHeight="1" x14ac:dyDescent="0.3">
      <c r="A90" s="603">
        <v>25569.042182951387</v>
      </c>
      <c r="B90" s="558" t="str">
        <f>IFERROR(INDEX(Tabelle2[BU],MATCH(tbl_DCFC[[#This Row], [Categorie]],CAT,0)),"")</f>
        <v>SER</v>
      </c>
      <c r="C90" s="604" t="str">
        <f t="shared" si="8"/>
        <v>S01</v>
      </c>
      <c r="D90" s="603">
        <v>25569.042182951387</v>
      </c>
      <c r="E90" s="588">
        <v>4727</v>
      </c>
      <c r="F90" s="591" t="s">
        <v>641</v>
      </c>
      <c r="G90" s="591" t="s">
        <v>827</v>
      </c>
      <c r="H90" s="591"/>
      <c r="I90" s="588">
        <v>3200</v>
      </c>
      <c r="J90" s="591" t="s">
        <v>280</v>
      </c>
      <c r="K90" s="591" t="s">
        <v>548</v>
      </c>
      <c r="L90" s="605" t="s">
        <v>642</v>
      </c>
      <c r="M90" s="579"/>
      <c r="N90" s="66" t="str">
        <f t="shared" si="10"/>
        <v/>
      </c>
      <c r="O90" s="66">
        <f>IF(Data!$Q82="","",YEAR(Data!$Q82))</f>
        <v>1970</v>
      </c>
      <c r="P90" s="66">
        <f>IF(Data!$Q82="","",MONTH(Data!$Q82))</f>
        <v>1</v>
      </c>
      <c r="Q90" s="626"/>
      <c r="R90" s="3"/>
      <c r="S90" s="8"/>
      <c r="T90" s="3"/>
      <c r="U90" s="3"/>
      <c r="V90" s="579"/>
      <c r="W90" s="31"/>
      <c r="X90" s="66" t="str">
        <f t="shared" si="9"/>
        <v/>
      </c>
      <c r="Y90" s="66">
        <f>IF(Data!$AC82="","",YEAR(Data!$AC82))</f>
        <v>1970</v>
      </c>
      <c r="Z90" s="66">
        <f>IF(Data!$AC82="","",MONTH(Data!$AC82))</f>
        <v>1</v>
      </c>
      <c r="AA90" s="31"/>
      <c r="AB90" s="8"/>
      <c r="AC90" s="626"/>
      <c r="AD90" s="9"/>
      <c r="AE90" s="31"/>
      <c r="AF90" s="562"/>
      <c r="AG90" s="3"/>
      <c r="AH90" s="579"/>
      <c r="AI90" s="598">
        <v>1</v>
      </c>
      <c r="AJ90" s="599" t="s">
        <v>894</v>
      </c>
      <c r="AK90" s="579"/>
      <c r="AL90" s="3"/>
      <c r="AM90" s="579"/>
      <c r="AN90" s="591"/>
      <c r="AO90" s="579"/>
      <c r="AP90" s="599" t="s">
        <v>895</v>
      </c>
      <c r="AQ90" s="579"/>
      <c r="AR90" s="600"/>
      <c r="AS90" s="579"/>
      <c r="AT90" s="601"/>
      <c r="AU90" s="601"/>
      <c r="AV90" s="576"/>
      <c r="AW90" s="577"/>
      <c r="AX90" s="8"/>
      <c r="AY90" s="3"/>
      <c r="AZ90" s="3"/>
      <c r="BA90" s="8"/>
    </row>
    <row r="91" spans="1:53" ht="15" customHeight="1" x14ac:dyDescent="0.3">
      <c r="A91" s="603">
        <v>25569.042182951387</v>
      </c>
      <c r="B91" s="558" t="str">
        <f>IFERROR(INDEX(Tabelle2[BU],MATCH(tbl_DCFC[[#This Row], [Categorie]],CAT,0)),"")</f>
        <v>SER</v>
      </c>
      <c r="C91" s="604" t="str">
        <f t="shared" si="8"/>
        <v>S01</v>
      </c>
      <c r="D91" s="603">
        <v>25569.042182951387</v>
      </c>
      <c r="E91" s="588">
        <v>4728</v>
      </c>
      <c r="F91" s="591" t="s">
        <v>641</v>
      </c>
      <c r="G91" s="591" t="s">
        <v>876</v>
      </c>
      <c r="H91" s="591"/>
      <c r="I91" s="588">
        <v>6771</v>
      </c>
      <c r="J91" s="591" t="s">
        <v>281</v>
      </c>
      <c r="K91" s="591" t="s">
        <v>548</v>
      </c>
      <c r="L91" s="605" t="s">
        <v>646</v>
      </c>
      <c r="M91" s="579"/>
      <c r="N91" s="66" t="str">
        <f t="shared" si="10"/>
        <v>S01</v>
      </c>
      <c r="O91" s="66" t="str">
        <f>IF(Data!$Q85="","",YEAR(Data!$Q85))</f>
        <v/>
      </c>
      <c r="P91" s="66" t="str">
        <f>IF(Data!$Q85="","",MONTH(Data!$Q85))</f>
        <v/>
      </c>
      <c r="Q91" s="43">
        <v>25569.042182974536</v>
      </c>
      <c r="R91" s="3" t="s">
        <v>896</v>
      </c>
      <c r="S91" s="9">
        <v>6771</v>
      </c>
      <c r="T91" s="3"/>
      <c r="U91" s="3"/>
      <c r="V91" s="579"/>
      <c r="W91" s="31"/>
      <c r="X91" s="66" t="str">
        <f t="shared" si="9"/>
        <v/>
      </c>
      <c r="Y91" s="66" t="str">
        <f>IF(Data!$AC85="","",YEAR(Data!$AC85))</f>
        <v/>
      </c>
      <c r="Z91" s="66" t="str">
        <f>IF(Data!$AC85="","",MONTH(Data!$AC85))</f>
        <v/>
      </c>
      <c r="AA91" s="31"/>
      <c r="AB91" s="8"/>
      <c r="AC91" s="626"/>
      <c r="AD91" s="9"/>
      <c r="AE91" s="43">
        <v>25569.042183599537</v>
      </c>
      <c r="AF91" s="562"/>
      <c r="AG91" s="3"/>
      <c r="AH91" s="579"/>
      <c r="AI91" s="598">
        <v>4</v>
      </c>
      <c r="AJ91" s="599" t="s">
        <v>897</v>
      </c>
      <c r="AK91" s="579"/>
      <c r="AL91" s="3" t="s">
        <v>898</v>
      </c>
      <c r="AM91" s="579"/>
      <c r="AN91" s="591"/>
      <c r="AO91" s="579"/>
      <c r="AP91" s="599" t="s">
        <v>899</v>
      </c>
      <c r="AQ91" s="579"/>
      <c r="AR91" s="600"/>
      <c r="AS91" s="579"/>
      <c r="AT91" s="601"/>
      <c r="AU91" s="601"/>
      <c r="AV91" s="576"/>
      <c r="AW91" s="577"/>
      <c r="AX91" s="8"/>
      <c r="AY91" s="3"/>
      <c r="AZ91" s="3"/>
      <c r="BA91" s="8"/>
    </row>
    <row r="92" spans="1:53" ht="15" customHeight="1" x14ac:dyDescent="0.3">
      <c r="A92" s="603">
        <v>25569.042182962963</v>
      </c>
      <c r="B92" s="558" t="str">
        <f>IFERROR(INDEX(Tabelle2[BU],MATCH(tbl_DCFC[[#This Row], [Categorie]],CAT,0)),"")</f>
        <v>SER</v>
      </c>
      <c r="C92" s="604" t="str">
        <f t="shared" ref="C92:C123" si="11">IF(D92&lt;&gt;"","S"&amp;TEXT(WEEKNUM(D92,21),"00"),"")</f>
        <v>S01</v>
      </c>
      <c r="D92" s="603">
        <v>25569.042182962963</v>
      </c>
      <c r="E92" s="588">
        <v>4729</v>
      </c>
      <c r="F92" s="591" t="s">
        <v>641</v>
      </c>
      <c r="G92" s="591" t="s">
        <v>336</v>
      </c>
      <c r="H92" s="591"/>
      <c r="I92" s="588">
        <v>1060</v>
      </c>
      <c r="J92" s="591" t="s">
        <v>721</v>
      </c>
      <c r="K92" s="591" t="s">
        <v>544</v>
      </c>
      <c r="L92" s="605" t="s">
        <v>646</v>
      </c>
      <c r="M92" s="579"/>
      <c r="N92" s="66" t="str">
        <f t="shared" si="10"/>
        <v>S01</v>
      </c>
      <c r="O92" s="66" t="str">
        <f>IF(Data!$Q86="","",YEAR(Data!$Q86))</f>
        <v/>
      </c>
      <c r="P92" s="66" t="str">
        <f>IF(Data!$Q86="","",MONTH(Data!$Q86))</f>
        <v/>
      </c>
      <c r="Q92" s="43">
        <v>25569.042183182872</v>
      </c>
      <c r="R92" s="3" t="s">
        <v>900</v>
      </c>
      <c r="S92" s="9">
        <v>1060</v>
      </c>
      <c r="T92" s="3"/>
      <c r="U92" s="3"/>
      <c r="V92" s="579"/>
      <c r="W92" s="43">
        <v>25569.042183124999</v>
      </c>
      <c r="X92" s="66" t="str">
        <f t="shared" si="9"/>
        <v/>
      </c>
      <c r="Y92" s="66" t="str">
        <f>IF(Data!$AC86="","",YEAR(Data!$AC86))</f>
        <v/>
      </c>
      <c r="Z92" s="66" t="str">
        <f>IF(Data!$AC86="","",MONTH(Data!$AC86))</f>
        <v/>
      </c>
      <c r="AA92" s="31"/>
      <c r="AB92" s="8"/>
      <c r="AC92" s="626"/>
      <c r="AD92" s="9"/>
      <c r="AE92" s="43">
        <v>25569.04218394676</v>
      </c>
      <c r="AF92" s="562"/>
      <c r="AG92" s="3"/>
      <c r="AH92" s="579"/>
      <c r="AI92" s="598">
        <v>2</v>
      </c>
      <c r="AJ92" s="599" t="s">
        <v>745</v>
      </c>
      <c r="AK92" s="579"/>
      <c r="AL92" s="3" t="s">
        <v>901</v>
      </c>
      <c r="AM92" s="579"/>
      <c r="AN92" s="591"/>
      <c r="AO92" s="579"/>
      <c r="AP92" s="599" t="s">
        <v>902</v>
      </c>
      <c r="AQ92" s="579"/>
      <c r="AR92" s="600"/>
      <c r="AS92" s="579"/>
      <c r="AT92" s="601">
        <v>494.4</v>
      </c>
      <c r="AU92" s="601"/>
      <c r="AV92" s="576"/>
      <c r="AW92" s="577"/>
      <c r="AX92" s="8"/>
      <c r="AY92" s="3"/>
      <c r="AZ92" s="3"/>
      <c r="BA92" s="8"/>
    </row>
    <row r="93" spans="1:53" ht="15" customHeight="1" x14ac:dyDescent="0.3">
      <c r="A93" s="603">
        <v>25569.042182962963</v>
      </c>
      <c r="B93" s="558" t="str">
        <f>IFERROR(INDEX(Tabelle2[BU],MATCH(tbl_DCFC[[#This Row], [Categorie]],CAT,0)),"")</f>
        <v>SER</v>
      </c>
      <c r="C93" s="604" t="str">
        <f t="shared" si="11"/>
        <v>S01</v>
      </c>
      <c r="D93" s="603">
        <v>25569.042182962963</v>
      </c>
      <c r="E93" s="588">
        <v>4729</v>
      </c>
      <c r="F93" s="591" t="s">
        <v>641</v>
      </c>
      <c r="G93" s="591" t="s">
        <v>336</v>
      </c>
      <c r="H93" s="591"/>
      <c r="I93" s="588">
        <v>1590</v>
      </c>
      <c r="J93" s="591"/>
      <c r="K93" s="591" t="s">
        <v>544</v>
      </c>
      <c r="L93" s="605" t="s">
        <v>646</v>
      </c>
      <c r="M93" s="579"/>
      <c r="N93" s="66" t="str">
        <f t="shared" si="10"/>
        <v>S01</v>
      </c>
      <c r="O93" s="66" t="str">
        <f>IF(Data!$Q124="","",YEAR(Data!$Q124))</f>
        <v/>
      </c>
      <c r="P93" s="66" t="str">
        <f>IF(Data!$Q124="","",MONTH(Data!$Q124))</f>
        <v/>
      </c>
      <c r="Q93" s="43">
        <v>25569.042183182872</v>
      </c>
      <c r="R93" s="3" t="s">
        <v>900</v>
      </c>
      <c r="S93" s="9">
        <v>1590</v>
      </c>
      <c r="T93" s="3"/>
      <c r="U93" s="3"/>
      <c r="V93" s="579"/>
      <c r="W93" s="43">
        <v>25569.042183124999</v>
      </c>
      <c r="X93" s="66" t="str">
        <f t="shared" si="9"/>
        <v>S01</v>
      </c>
      <c r="Y93" s="66" t="str">
        <f>IF(Data!$AC124="","",YEAR(Data!$AC124))</f>
        <v/>
      </c>
      <c r="Z93" s="66" t="str">
        <f>IF(Data!$AC124="","",MONTH(Data!$AC124))</f>
        <v/>
      </c>
      <c r="AA93" s="43">
        <v>25569.042183379628</v>
      </c>
      <c r="AB93" s="9">
        <v>5222</v>
      </c>
      <c r="AC93" s="43">
        <v>25569.042183391204</v>
      </c>
      <c r="AD93" s="9">
        <v>1590</v>
      </c>
      <c r="AE93" s="31"/>
      <c r="AF93" s="562"/>
      <c r="AG93" s="3"/>
      <c r="AH93" s="579"/>
      <c r="AI93" s="598">
        <v>3</v>
      </c>
      <c r="AJ93" s="599" t="s">
        <v>745</v>
      </c>
      <c r="AK93" s="579"/>
      <c r="AL93" s="3" t="s">
        <v>903</v>
      </c>
      <c r="AM93" s="579"/>
      <c r="AN93" s="591"/>
      <c r="AO93" s="579"/>
      <c r="AP93" s="599" t="s">
        <v>902</v>
      </c>
      <c r="AQ93" s="579"/>
      <c r="AR93" s="600"/>
      <c r="AS93" s="579"/>
      <c r="AT93" s="601">
        <v>494.4</v>
      </c>
      <c r="AU93" s="601"/>
      <c r="AV93" s="576">
        <f>IF(AT93="","",S93-AT93-AU93)</f>
        <v>1095.5999999999999</v>
      </c>
      <c r="AW93" s="577">
        <f>IFERROR(IF(tbl_DCFC[[#This Row], [F Montant HT]]="","",tbl_DCFC[[#This Row], [Marge]]/tbl_DCFC[[#This Row], [F Montant HT]]),"")</f>
        <v>0.6890566037735848</v>
      </c>
      <c r="AX93" s="8"/>
      <c r="AY93" s="3"/>
      <c r="AZ93" s="3"/>
      <c r="BA93" s="8"/>
    </row>
    <row r="94" spans="1:53" ht="15" customHeight="1" x14ac:dyDescent="0.3">
      <c r="A94" s="603">
        <v>25569.042182962963</v>
      </c>
      <c r="B94" s="558" t="str">
        <f>IFERROR(INDEX(Tabelle2[BU],MATCH(tbl_DCFC[[#This Row], [Categorie]],CAT,0)),"")</f>
        <v>SER</v>
      </c>
      <c r="C94" s="604" t="str">
        <f t="shared" si="11"/>
        <v>S01</v>
      </c>
      <c r="D94" s="603">
        <v>25569.042182962963</v>
      </c>
      <c r="E94" s="588">
        <v>4730</v>
      </c>
      <c r="F94" s="591" t="s">
        <v>641</v>
      </c>
      <c r="G94" s="591" t="s">
        <v>336</v>
      </c>
      <c r="H94" s="591"/>
      <c r="I94" s="588">
        <v>1200</v>
      </c>
      <c r="J94" s="591" t="s">
        <v>721</v>
      </c>
      <c r="K94" s="591" t="s">
        <v>544</v>
      </c>
      <c r="L94" s="605" t="s">
        <v>646</v>
      </c>
      <c r="M94" s="579"/>
      <c r="N94" s="66" t="str">
        <f t="shared" si="10"/>
        <v>S01</v>
      </c>
      <c r="O94" s="66" t="str">
        <f>IF(Data!$Q87="","",YEAR(Data!$Q87))</f>
        <v/>
      </c>
      <c r="P94" s="66" t="str">
        <f>IF(Data!$Q87="","",MONTH(Data!$Q87))</f>
        <v/>
      </c>
      <c r="Q94" s="43">
        <v>25569.04218346065</v>
      </c>
      <c r="R94" s="3" t="s">
        <v>904</v>
      </c>
      <c r="S94" s="9">
        <v>1200</v>
      </c>
      <c r="T94" s="3"/>
      <c r="U94" s="3"/>
      <c r="V94" s="579"/>
      <c r="W94" s="43">
        <v>25569.042183124999</v>
      </c>
      <c r="X94" s="66" t="str">
        <f t="shared" si="9"/>
        <v>S01</v>
      </c>
      <c r="Y94" s="66" t="str">
        <f>IF(Data!$AC87="","",YEAR(Data!$AC87))</f>
        <v/>
      </c>
      <c r="Z94" s="66" t="str">
        <f>IF(Data!$AC87="","",MONTH(Data!$AC87))</f>
        <v/>
      </c>
      <c r="AA94" s="43">
        <v>25569.042183506943</v>
      </c>
      <c r="AB94" s="9">
        <v>5230</v>
      </c>
      <c r="AC94" s="43">
        <v>25569.042183530091</v>
      </c>
      <c r="AD94" s="9">
        <v>1200</v>
      </c>
      <c r="AE94" s="43">
        <v>25569.042183773148</v>
      </c>
      <c r="AF94" s="562"/>
      <c r="AG94" s="3"/>
      <c r="AH94" s="579"/>
      <c r="AI94" s="598">
        <v>2</v>
      </c>
      <c r="AJ94" s="599" t="s">
        <v>750</v>
      </c>
      <c r="AK94" s="579"/>
      <c r="AL94" s="3" t="s">
        <v>905</v>
      </c>
      <c r="AM94" s="579"/>
      <c r="AN94" s="591"/>
      <c r="AO94" s="579"/>
      <c r="AP94" s="599" t="s">
        <v>906</v>
      </c>
      <c r="AQ94" s="579"/>
      <c r="AR94" s="600"/>
      <c r="AS94" s="579"/>
      <c r="AT94" s="601"/>
      <c r="AU94" s="601"/>
      <c r="AV94" s="576"/>
      <c r="AW94" s="577"/>
      <c r="AX94" s="8"/>
      <c r="AY94" s="3"/>
      <c r="AZ94" s="3"/>
      <c r="BA94" s="8"/>
    </row>
    <row r="95" spans="1:53" ht="15" customHeight="1" x14ac:dyDescent="0.3">
      <c r="A95" s="603">
        <v>25569.042182962963</v>
      </c>
      <c r="B95" s="558" t="str">
        <f>IFERROR(INDEX(Tabelle2[BU],MATCH(tbl_DCFC[[#This Row], [Categorie]],CAT,0)),"")</f>
        <v>SER</v>
      </c>
      <c r="C95" s="604" t="str">
        <f t="shared" si="11"/>
        <v>S01</v>
      </c>
      <c r="D95" s="603">
        <v>25569.042182962963</v>
      </c>
      <c r="E95" s="588">
        <v>4731</v>
      </c>
      <c r="F95" s="591" t="s">
        <v>641</v>
      </c>
      <c r="G95" s="591" t="s">
        <v>907</v>
      </c>
      <c r="H95" s="591"/>
      <c r="I95" s="588">
        <v>20580</v>
      </c>
      <c r="J95" s="591" t="s">
        <v>280</v>
      </c>
      <c r="K95" s="591" t="s">
        <v>548</v>
      </c>
      <c r="L95" s="605" t="s">
        <v>642</v>
      </c>
      <c r="M95" s="579"/>
      <c r="N95" s="66" t="str">
        <f t="shared" si="10"/>
        <v/>
      </c>
      <c r="O95" s="66" t="str">
        <f>IF(Data!$Q88="","",YEAR(Data!$Q88))</f>
        <v/>
      </c>
      <c r="P95" s="66" t="str">
        <f>IF(Data!$Q88="","",MONTH(Data!$Q88))</f>
        <v/>
      </c>
      <c r="Q95" s="626"/>
      <c r="R95" s="3"/>
      <c r="S95" s="8"/>
      <c r="T95" s="3"/>
      <c r="U95" s="3"/>
      <c r="V95" s="579"/>
      <c r="W95" s="31"/>
      <c r="X95" s="66" t="str">
        <f t="shared" si="9"/>
        <v/>
      </c>
      <c r="Y95" s="66" t="str">
        <f>IF(Data!$AC88="","",YEAR(Data!$AC88))</f>
        <v/>
      </c>
      <c r="Z95" s="66" t="str">
        <f>IF(Data!$AC88="","",MONTH(Data!$AC88))</f>
        <v/>
      </c>
      <c r="AA95" s="31"/>
      <c r="AB95" s="8"/>
      <c r="AC95" s="626"/>
      <c r="AD95" s="9"/>
      <c r="AE95" s="31"/>
      <c r="AF95" s="562"/>
      <c r="AG95" s="3"/>
      <c r="AH95" s="579"/>
      <c r="AI95" s="598">
        <v>1</v>
      </c>
      <c r="AJ95" s="599" t="s">
        <v>908</v>
      </c>
      <c r="AK95" s="579"/>
      <c r="AL95" s="3"/>
      <c r="AM95" s="579"/>
      <c r="AN95" s="591"/>
      <c r="AO95" s="579"/>
      <c r="AP95" s="599" t="s">
        <v>909</v>
      </c>
      <c r="AQ95" s="579"/>
      <c r="AR95" s="600"/>
      <c r="AS95" s="579"/>
      <c r="AT95" s="601"/>
      <c r="AU95" s="601"/>
      <c r="AV95" s="576"/>
      <c r="AW95" s="577"/>
      <c r="AX95" s="8"/>
      <c r="AY95" s="3"/>
      <c r="AZ95" s="3"/>
      <c r="BA95" s="8"/>
    </row>
    <row r="96" spans="1:53" ht="15" customHeight="1" x14ac:dyDescent="0.3">
      <c r="A96" s="603">
        <v>25569.042182974536</v>
      </c>
      <c r="B96" s="558" t="str">
        <f>IFERROR(INDEX(Tabelle2[BU],MATCH(tbl_DCFC[[#This Row], [Categorie]],CAT,0)),"")</f>
        <v>SER</v>
      </c>
      <c r="C96" s="604" t="str">
        <f t="shared" si="11"/>
        <v>S01</v>
      </c>
      <c r="D96" s="603">
        <v>25569.042182974536</v>
      </c>
      <c r="E96" s="588">
        <v>4732</v>
      </c>
      <c r="F96" s="591" t="s">
        <v>641</v>
      </c>
      <c r="G96" s="591" t="s">
        <v>862</v>
      </c>
      <c r="H96" s="591"/>
      <c r="I96" s="588"/>
      <c r="J96" s="591" t="s">
        <v>280</v>
      </c>
      <c r="K96" s="591" t="s">
        <v>548</v>
      </c>
      <c r="L96" s="605" t="s">
        <v>650</v>
      </c>
      <c r="M96" s="579"/>
      <c r="N96" s="66" t="str">
        <f t="shared" si="10"/>
        <v/>
      </c>
      <c r="O96" s="66" t="str">
        <f>IF(Data!$Q89="","",YEAR(Data!$Q89))</f>
        <v/>
      </c>
      <c r="P96" s="66" t="str">
        <f>IF(Data!$Q89="","",MONTH(Data!$Q89))</f>
        <v/>
      </c>
      <c r="Q96" s="626"/>
      <c r="R96" s="3"/>
      <c r="S96" s="8"/>
      <c r="T96" s="3"/>
      <c r="U96" s="3"/>
      <c r="V96" s="579"/>
      <c r="W96" s="31"/>
      <c r="X96" s="66" t="str">
        <f t="shared" si="9"/>
        <v/>
      </c>
      <c r="Y96" s="66" t="str">
        <f>IF(Data!$AC89="","",YEAR(Data!$AC89))</f>
        <v/>
      </c>
      <c r="Z96" s="66" t="str">
        <f>IF(Data!$AC89="","",MONTH(Data!$AC89))</f>
        <v/>
      </c>
      <c r="AA96" s="31"/>
      <c r="AB96" s="8"/>
      <c r="AC96" s="626"/>
      <c r="AD96" s="9"/>
      <c r="AE96" s="31"/>
      <c r="AF96" s="562"/>
      <c r="AG96" s="3"/>
      <c r="AH96" s="579"/>
      <c r="AI96" s="598">
        <v>1</v>
      </c>
      <c r="AJ96" s="599" t="s">
        <v>887</v>
      </c>
      <c r="AK96" s="579"/>
      <c r="AL96" s="3" t="s">
        <v>910</v>
      </c>
      <c r="AM96" s="579"/>
      <c r="AN96" s="591"/>
      <c r="AO96" s="579"/>
      <c r="AP96" s="599" t="s">
        <v>911</v>
      </c>
      <c r="AQ96" s="579"/>
      <c r="AR96" s="600"/>
      <c r="AS96" s="579"/>
      <c r="AT96" s="601"/>
      <c r="AU96" s="601"/>
      <c r="AV96" s="576" t="str">
        <f t="shared" ref="AV96:AV104" si="12">IF(AT96="","",S96-AT96-AU96)</f>
        <v/>
      </c>
      <c r="AW96" s="577" t="str">
        <f>IFERROR(IF(tbl_DCFC[[#This Row], [F Montant HT]]="","",tbl_DCFC[[#This Row], [Marge]]/tbl_DCFC[[#This Row], [F Montant HT]]),"")</f>
        <v/>
      </c>
      <c r="AX96" s="8"/>
      <c r="AY96" s="3"/>
      <c r="AZ96" s="3"/>
      <c r="BA96" s="8"/>
    </row>
    <row r="97" spans="1:53" ht="15" customHeight="1" x14ac:dyDescent="0.3">
      <c r="A97" s="603">
        <v>25569.042182974536</v>
      </c>
      <c r="B97" s="558" t="str">
        <f>IFERROR(INDEX(Tabelle2[BU],MATCH(tbl_DCFC[[#This Row], [Categorie]],CAT,0)),"")</f>
        <v>SER</v>
      </c>
      <c r="C97" s="604" t="str">
        <f t="shared" si="11"/>
        <v>S01</v>
      </c>
      <c r="D97" s="603">
        <v>25569.042182974536</v>
      </c>
      <c r="E97" s="588">
        <v>4733</v>
      </c>
      <c r="F97" s="591" t="s">
        <v>641</v>
      </c>
      <c r="G97" s="591" t="s">
        <v>876</v>
      </c>
      <c r="H97" s="591"/>
      <c r="I97" s="588">
        <v>460</v>
      </c>
      <c r="J97" s="591" t="s">
        <v>281</v>
      </c>
      <c r="K97" s="591" t="s">
        <v>548</v>
      </c>
      <c r="L97" s="605" t="s">
        <v>646</v>
      </c>
      <c r="M97" s="579"/>
      <c r="N97" s="66" t="str">
        <f t="shared" si="10"/>
        <v>S01</v>
      </c>
      <c r="O97" s="66">
        <f>IF(Data!$Q91="","",YEAR(Data!$Q91))</f>
        <v>1970</v>
      </c>
      <c r="P97" s="66">
        <f>IF(Data!$Q91="","",MONTH(Data!$Q91))</f>
        <v>1</v>
      </c>
      <c r="Q97" s="43">
        <v>25569.042182974536</v>
      </c>
      <c r="R97" s="3" t="s">
        <v>912</v>
      </c>
      <c r="S97" s="9">
        <v>460</v>
      </c>
      <c r="T97" s="3"/>
      <c r="U97" s="3"/>
      <c r="V97" s="579"/>
      <c r="W97" s="43">
        <v>25569.042183032409</v>
      </c>
      <c r="X97" s="66" t="str">
        <f t="shared" si="9"/>
        <v>S01</v>
      </c>
      <c r="Y97" s="66" t="str">
        <f>IF(Data!$AC91="","",YEAR(Data!$AC91))</f>
        <v/>
      </c>
      <c r="Z97" s="66" t="str">
        <f>IF(Data!$AC91="","",MONTH(Data!$AC91))</f>
        <v/>
      </c>
      <c r="AA97" s="43">
        <v>25569.042183055557</v>
      </c>
      <c r="AB97" s="9">
        <v>5207</v>
      </c>
      <c r="AC97" s="43">
        <v>25569.042183067129</v>
      </c>
      <c r="AD97" s="9">
        <v>460</v>
      </c>
      <c r="AE97" s="31"/>
      <c r="AF97" s="562"/>
      <c r="AG97" s="3"/>
      <c r="AH97" s="579"/>
      <c r="AI97" s="598">
        <v>1</v>
      </c>
      <c r="AJ97" s="599" t="s">
        <v>913</v>
      </c>
      <c r="AK97" s="579"/>
      <c r="AL97" s="3" t="s">
        <v>914</v>
      </c>
      <c r="AM97" s="579"/>
      <c r="AN97" s="591"/>
      <c r="AO97" s="579"/>
      <c r="AP97" s="599" t="s">
        <v>915</v>
      </c>
      <c r="AQ97" s="579"/>
      <c r="AR97" s="600"/>
      <c r="AS97" s="579"/>
      <c r="AT97" s="601">
        <v>37.64</v>
      </c>
      <c r="AU97" s="601">
        <v>271.82</v>
      </c>
      <c r="AV97" s="576">
        <f t="shared" si="12"/>
        <v>150.54000000000002</v>
      </c>
      <c r="AW97" s="577">
        <f>IFERROR(IF(tbl_DCFC[[#This Row], [F Montant HT]]="","",tbl_DCFC[[#This Row], [Marge]]/tbl_DCFC[[#This Row], [F Montant HT]]),"")</f>
        <v>0.32726086956521744</v>
      </c>
      <c r="AX97" s="8"/>
      <c r="AY97" s="3"/>
      <c r="AZ97" s="3"/>
      <c r="BA97" s="8"/>
    </row>
    <row r="98" spans="1:53" ht="15" customHeight="1" x14ac:dyDescent="0.3">
      <c r="A98" s="603">
        <v>25569.042182974536</v>
      </c>
      <c r="B98" s="558" t="str">
        <f>IFERROR(INDEX(Tabelle2[BU],MATCH(tbl_DCFC[[#This Row], [Categorie]],CAT,0)),"")</f>
        <v>SER</v>
      </c>
      <c r="C98" s="604" t="str">
        <f t="shared" si="11"/>
        <v>S01</v>
      </c>
      <c r="D98" s="603">
        <v>25569.042182974536</v>
      </c>
      <c r="E98" s="588">
        <v>4733</v>
      </c>
      <c r="F98" s="591" t="s">
        <v>641</v>
      </c>
      <c r="G98" s="591" t="s">
        <v>876</v>
      </c>
      <c r="H98" s="591"/>
      <c r="I98" s="588">
        <v>90</v>
      </c>
      <c r="J98" s="591" t="s">
        <v>281</v>
      </c>
      <c r="K98" s="591" t="s">
        <v>548</v>
      </c>
      <c r="L98" s="605" t="s">
        <v>646</v>
      </c>
      <c r="M98" s="579"/>
      <c r="N98" s="66" t="str">
        <f t="shared" si="10"/>
        <v>S01</v>
      </c>
      <c r="O98" s="66">
        <f>IF(Data!$Q92="","",YEAR(Data!$Q92))</f>
        <v>1970</v>
      </c>
      <c r="P98" s="66">
        <f>IF(Data!$Q92="","",MONTH(Data!$Q92))</f>
        <v>1</v>
      </c>
      <c r="Q98" s="43">
        <v>25569.042182974536</v>
      </c>
      <c r="R98" s="3" t="s">
        <v>912</v>
      </c>
      <c r="S98" s="9">
        <v>90</v>
      </c>
      <c r="T98" s="3"/>
      <c r="U98" s="3"/>
      <c r="V98" s="579"/>
      <c r="W98" s="43">
        <v>25569.042183032409</v>
      </c>
      <c r="X98" s="66" t="str">
        <f t="shared" si="9"/>
        <v>S01</v>
      </c>
      <c r="Y98" s="66" t="str">
        <f>IF(Data!$AC92="","",YEAR(Data!$AC92))</f>
        <v/>
      </c>
      <c r="Z98" s="66" t="str">
        <f>IF(Data!$AC92="","",MONTH(Data!$AC92))</f>
        <v/>
      </c>
      <c r="AA98" s="43">
        <v>25569.042183217593</v>
      </c>
      <c r="AB98" s="9">
        <v>5213</v>
      </c>
      <c r="AC98" s="43">
        <v>25569.042183263889</v>
      </c>
      <c r="AD98" s="9">
        <v>90</v>
      </c>
      <c r="AE98" s="31"/>
      <c r="AF98" s="562"/>
      <c r="AG98" s="3"/>
      <c r="AH98" s="579"/>
      <c r="AI98" s="598">
        <v>1</v>
      </c>
      <c r="AJ98" s="599" t="s">
        <v>916</v>
      </c>
      <c r="AK98" s="579"/>
      <c r="AL98" s="3"/>
      <c r="AM98" s="579"/>
      <c r="AN98" s="591"/>
      <c r="AO98" s="579"/>
      <c r="AP98" s="599" t="s">
        <v>915</v>
      </c>
      <c r="AQ98" s="579"/>
      <c r="AR98" s="600"/>
      <c r="AS98" s="579"/>
      <c r="AT98" s="601">
        <v>7.36</v>
      </c>
      <c r="AU98" s="601">
        <v>53.18</v>
      </c>
      <c r="AV98" s="576">
        <f t="shared" si="12"/>
        <v>29.46</v>
      </c>
      <c r="AW98" s="577">
        <f>IFERROR(IF(tbl_DCFC[[#This Row], [F Montant HT]]="","",tbl_DCFC[[#This Row], [Marge]]/tbl_DCFC[[#This Row], [F Montant HT]]),"")</f>
        <v>0.32733333333333337</v>
      </c>
      <c r="AX98" s="8"/>
      <c r="AY98" s="3"/>
      <c r="AZ98" s="3"/>
      <c r="BA98" s="8"/>
    </row>
    <row r="99" spans="1:53" ht="15" customHeight="1" x14ac:dyDescent="0.3">
      <c r="A99" s="603">
        <v>25569.042182974536</v>
      </c>
      <c r="B99" s="558" t="str">
        <f>IFERROR(INDEX(Tabelle2[BU],MATCH(tbl_DCFC[[#This Row], [Categorie]],CAT,0)),"")</f>
        <v>SER</v>
      </c>
      <c r="C99" s="604" t="str">
        <f t="shared" si="11"/>
        <v>S01</v>
      </c>
      <c r="D99" s="603">
        <v>25569.042182974536</v>
      </c>
      <c r="E99" s="588">
        <v>4734</v>
      </c>
      <c r="F99" s="591" t="s">
        <v>641</v>
      </c>
      <c r="G99" s="591" t="s">
        <v>713</v>
      </c>
      <c r="H99" s="591"/>
      <c r="I99" s="588">
        <v>5939</v>
      </c>
      <c r="J99" s="591" t="s">
        <v>280</v>
      </c>
      <c r="K99" s="591" t="s">
        <v>548</v>
      </c>
      <c r="L99" s="605" t="s">
        <v>646</v>
      </c>
      <c r="M99" s="579"/>
      <c r="N99" s="66" t="str">
        <f t="shared" si="10"/>
        <v>S01</v>
      </c>
      <c r="O99" s="66" t="str">
        <f>IF(Data!$Q96="","",YEAR(Data!$Q96))</f>
        <v/>
      </c>
      <c r="P99" s="66" t="str">
        <f>IF(Data!$Q96="","",MONTH(Data!$Q96))</f>
        <v/>
      </c>
      <c r="Q99" s="43">
        <v>25569.042182986112</v>
      </c>
      <c r="R99" s="3" t="s">
        <v>917</v>
      </c>
      <c r="S99" s="9">
        <v>5939</v>
      </c>
      <c r="T99" s="3"/>
      <c r="U99" s="3"/>
      <c r="V99" s="579"/>
      <c r="W99" s="31"/>
      <c r="X99" s="66" t="str">
        <f t="shared" ref="X99:X130" si="13">IF(AC99&lt;&gt;"","S"&amp;TEXT(WEEKNUM(AC99,21),"00"),"")</f>
        <v/>
      </c>
      <c r="Y99" s="66" t="str">
        <f>IF(Data!$AC96="","",YEAR(Data!$AC96))</f>
        <v/>
      </c>
      <c r="Z99" s="66" t="str">
        <f>IF(Data!$AC96="","",MONTH(Data!$AC96))</f>
        <v/>
      </c>
      <c r="AA99" s="31"/>
      <c r="AB99" s="8"/>
      <c r="AC99" s="626"/>
      <c r="AD99" s="9"/>
      <c r="AE99" s="43">
        <v>25569.042184097223</v>
      </c>
      <c r="AF99" s="562"/>
      <c r="AG99" s="3"/>
      <c r="AH99" s="579"/>
      <c r="AI99" s="598">
        <v>3</v>
      </c>
      <c r="AJ99" s="599" t="s">
        <v>918</v>
      </c>
      <c r="AK99" s="579"/>
      <c r="AL99" s="3"/>
      <c r="AM99" s="579"/>
      <c r="AN99" s="591"/>
      <c r="AO99" s="579"/>
      <c r="AP99" s="599" t="s">
        <v>919</v>
      </c>
      <c r="AQ99" s="579"/>
      <c r="AR99" s="600"/>
      <c r="AS99" s="579"/>
      <c r="AT99" s="601">
        <v>1110</v>
      </c>
      <c r="AU99" s="601">
        <v>510</v>
      </c>
      <c r="AV99" s="576">
        <f t="shared" si="12"/>
        <v>4319</v>
      </c>
      <c r="AW99" s="577" t="str">
        <f>IFERROR(IF(tbl_DCFC[[#This Row], [F Montant HT]]="","",tbl_DCFC[[#This Row], [Marge]]/tbl_DCFC[[#This Row], [F Montant HT]]),"")</f>
        <v/>
      </c>
      <c r="AX99" s="8"/>
      <c r="AY99" s="3"/>
      <c r="AZ99" s="3"/>
      <c r="BA99" s="8"/>
    </row>
    <row r="100" spans="1:53" ht="15" customHeight="1" x14ac:dyDescent="0.3">
      <c r="A100" s="603">
        <v>25569.042182974536</v>
      </c>
      <c r="B100" s="558" t="str">
        <f>IFERROR(INDEX(Tabelle2[BU],MATCH(tbl_DCFC[[#This Row], [Categorie]],CAT,0)),"")</f>
        <v>SER</v>
      </c>
      <c r="C100" s="604" t="str">
        <f t="shared" si="11"/>
        <v>S01</v>
      </c>
      <c r="D100" s="603">
        <v>25569.042182974536</v>
      </c>
      <c r="E100" s="588">
        <v>4734</v>
      </c>
      <c r="F100" s="591" t="s">
        <v>641</v>
      </c>
      <c r="G100" s="591" t="s">
        <v>713</v>
      </c>
      <c r="H100" s="591"/>
      <c r="I100" s="588">
        <v>2393</v>
      </c>
      <c r="J100" s="591" t="s">
        <v>280</v>
      </c>
      <c r="K100" s="591" t="s">
        <v>548</v>
      </c>
      <c r="L100" s="605" t="s">
        <v>646</v>
      </c>
      <c r="M100" s="579"/>
      <c r="N100" s="66" t="str">
        <f t="shared" si="10"/>
        <v>S01</v>
      </c>
      <c r="O100" s="66">
        <f>IF(Data!$Q113="","",YEAR(Data!$Q113))</f>
        <v>1970</v>
      </c>
      <c r="P100" s="66">
        <f>IF(Data!$Q113="","",MONTH(Data!$Q113))</f>
        <v>1</v>
      </c>
      <c r="Q100" s="43">
        <v>25569.042183518519</v>
      </c>
      <c r="R100" s="3" t="s">
        <v>917</v>
      </c>
      <c r="S100" s="9">
        <v>2393</v>
      </c>
      <c r="T100" s="3"/>
      <c r="U100" s="3"/>
      <c r="V100" s="579"/>
      <c r="W100" s="31"/>
      <c r="X100" s="66" t="str">
        <f t="shared" si="13"/>
        <v/>
      </c>
      <c r="Y100" s="66">
        <f>IF(Data!$AC113="","",YEAR(Data!$AC113))</f>
        <v>1970</v>
      </c>
      <c r="Z100" s="66">
        <f>IF(Data!$AC113="","",MONTH(Data!$AC113))</f>
        <v>1</v>
      </c>
      <c r="AA100" s="31"/>
      <c r="AB100" s="8"/>
      <c r="AC100" s="626"/>
      <c r="AD100" s="9"/>
      <c r="AE100" s="43">
        <v>25569.042183958332</v>
      </c>
      <c r="AF100" s="562"/>
      <c r="AG100" s="3"/>
      <c r="AH100" s="579"/>
      <c r="AI100" s="598">
        <v>1</v>
      </c>
      <c r="AJ100" s="599" t="s">
        <v>920</v>
      </c>
      <c r="AK100" s="579"/>
      <c r="AL100" s="3"/>
      <c r="AM100" s="579"/>
      <c r="AN100" s="591"/>
      <c r="AO100" s="579"/>
      <c r="AP100" s="599" t="s">
        <v>919</v>
      </c>
      <c r="AQ100" s="579"/>
      <c r="AR100" s="600"/>
      <c r="AS100" s="579"/>
      <c r="AT100" s="601">
        <v>448</v>
      </c>
      <c r="AU100" s="601">
        <v>205</v>
      </c>
      <c r="AV100" s="576">
        <f t="shared" si="12"/>
        <v>1740</v>
      </c>
      <c r="AW100" s="577" t="str">
        <f>IFERROR(IF(tbl_DCFC[[#This Row], [F Montant HT]]="","",tbl_DCFC[[#This Row], [Marge]]/tbl_DCFC[[#This Row], [F Montant HT]]),"")</f>
        <v/>
      </c>
      <c r="AX100" s="8"/>
      <c r="AY100" s="3"/>
      <c r="AZ100" s="3"/>
      <c r="BA100" s="8"/>
    </row>
    <row r="101" spans="1:53" ht="15" customHeight="1" x14ac:dyDescent="0.3">
      <c r="A101" s="603">
        <v>25569.042182974536</v>
      </c>
      <c r="B101" s="558" t="str">
        <f>IFERROR(INDEX(Tabelle2[BU],MATCH(tbl_DCFC[[#This Row], [Categorie]],CAT,0)),"")</f>
        <v>SER</v>
      </c>
      <c r="C101" s="604" t="str">
        <f t="shared" si="11"/>
        <v>S01</v>
      </c>
      <c r="D101" s="603">
        <v>25569.042182974536</v>
      </c>
      <c r="E101" s="588">
        <v>4734</v>
      </c>
      <c r="F101" s="591" t="s">
        <v>641</v>
      </c>
      <c r="G101" s="591" t="s">
        <v>713</v>
      </c>
      <c r="H101" s="591"/>
      <c r="I101" s="588">
        <v>385</v>
      </c>
      <c r="J101" s="591" t="s">
        <v>280</v>
      </c>
      <c r="K101" s="591" t="s">
        <v>548</v>
      </c>
      <c r="L101" s="605" t="s">
        <v>646</v>
      </c>
      <c r="M101" s="579"/>
      <c r="N101" s="66" t="str">
        <f t="shared" si="10"/>
        <v>S01</v>
      </c>
      <c r="O101" s="66" t="str">
        <f>IF(Data!$Q132="","",YEAR(Data!$Q132))</f>
        <v/>
      </c>
      <c r="P101" s="66" t="str">
        <f>IF(Data!$Q132="","",MONTH(Data!$Q132))</f>
        <v/>
      </c>
      <c r="Q101" s="43">
        <v>25569.042183518519</v>
      </c>
      <c r="R101" s="3" t="s">
        <v>917</v>
      </c>
      <c r="S101" s="9">
        <v>385</v>
      </c>
      <c r="T101" s="3"/>
      <c r="U101" s="3"/>
      <c r="V101" s="579"/>
      <c r="W101" s="31"/>
      <c r="X101" s="66" t="str">
        <f t="shared" si="13"/>
        <v>S01</v>
      </c>
      <c r="Y101" s="66" t="str">
        <f>IF(Data!$AC132="","",YEAR(Data!$AC132))</f>
        <v/>
      </c>
      <c r="Z101" s="66" t="str">
        <f>IF(Data!$AC132="","",MONTH(Data!$AC132))</f>
        <v/>
      </c>
      <c r="AA101" s="43">
        <v>25569.042183530091</v>
      </c>
      <c r="AB101" s="9">
        <v>5232</v>
      </c>
      <c r="AC101" s="43">
        <v>25569.042183587964</v>
      </c>
      <c r="AD101" s="9">
        <v>385</v>
      </c>
      <c r="AE101" s="43">
        <v>25569.04218355324</v>
      </c>
      <c r="AF101" s="562"/>
      <c r="AG101" s="3"/>
      <c r="AH101" s="579"/>
      <c r="AI101" s="598">
        <v>1</v>
      </c>
      <c r="AJ101" s="599" t="s">
        <v>921</v>
      </c>
      <c r="AK101" s="579"/>
      <c r="AL101" s="3"/>
      <c r="AM101" s="579"/>
      <c r="AN101" s="591"/>
      <c r="AO101" s="579"/>
      <c r="AP101" s="599" t="s">
        <v>919</v>
      </c>
      <c r="AQ101" s="579"/>
      <c r="AR101" s="600"/>
      <c r="AS101" s="579"/>
      <c r="AT101" s="601">
        <v>72</v>
      </c>
      <c r="AU101" s="601">
        <v>35</v>
      </c>
      <c r="AV101" s="576">
        <f t="shared" si="12"/>
        <v>278</v>
      </c>
      <c r="AW101" s="577">
        <f>IFERROR(IF(tbl_DCFC[[#This Row], [F Montant HT]]="","",tbl_DCFC[[#This Row], [Marge]]/tbl_DCFC[[#This Row], [F Montant HT]]),"")</f>
        <v>0.7220779220779221</v>
      </c>
      <c r="AX101" s="8"/>
      <c r="AY101" s="3"/>
      <c r="AZ101" s="3"/>
      <c r="BA101" s="8"/>
    </row>
    <row r="102" spans="1:53" ht="15" customHeight="1" x14ac:dyDescent="0.3">
      <c r="A102" s="603">
        <v>25569.042183055557</v>
      </c>
      <c r="B102" s="558" t="str">
        <f>IFERROR(INDEX(Tabelle2[BU],MATCH(tbl_DCFC[[#This Row], [Categorie]],CAT,0)),"")</f>
        <v>SER</v>
      </c>
      <c r="C102" s="604" t="str">
        <f t="shared" si="11"/>
        <v>S01</v>
      </c>
      <c r="D102" s="603">
        <v>25569.042183055557</v>
      </c>
      <c r="E102" s="588">
        <v>4738</v>
      </c>
      <c r="F102" s="591" t="s">
        <v>641</v>
      </c>
      <c r="G102" s="591" t="s">
        <v>922</v>
      </c>
      <c r="H102" s="591"/>
      <c r="I102" s="588">
        <v>1915</v>
      </c>
      <c r="J102" s="591" t="s">
        <v>281</v>
      </c>
      <c r="K102" s="591" t="s">
        <v>548</v>
      </c>
      <c r="L102" s="605" t="s">
        <v>646</v>
      </c>
      <c r="M102" s="579"/>
      <c r="N102" s="66" t="str">
        <f t="shared" si="10"/>
        <v/>
      </c>
      <c r="O102" s="66">
        <f>IF(Data!$Q98="","",YEAR(Data!$Q98))</f>
        <v>1970</v>
      </c>
      <c r="P102" s="66">
        <f>IF(Data!$Q98="","",MONTH(Data!$Q98))</f>
        <v>1</v>
      </c>
      <c r="Q102" s="626"/>
      <c r="R102" s="3" t="s">
        <v>923</v>
      </c>
      <c r="S102" s="9">
        <v>1915</v>
      </c>
      <c r="T102" s="3"/>
      <c r="U102" s="3"/>
      <c r="V102" s="579"/>
      <c r="W102" s="43">
        <v>25569.04218310185</v>
      </c>
      <c r="X102" s="66" t="str">
        <f t="shared" si="13"/>
        <v/>
      </c>
      <c r="Y102" s="66">
        <f>IF(Data!$AC98="","",YEAR(Data!$AC98))</f>
        <v>1970</v>
      </c>
      <c r="Z102" s="66">
        <f>IF(Data!$AC98="","",MONTH(Data!$AC98))</f>
        <v>1</v>
      </c>
      <c r="AA102" s="31"/>
      <c r="AB102" s="8"/>
      <c r="AC102" s="626"/>
      <c r="AD102" s="9"/>
      <c r="AE102" s="43">
        <v>25569.042183715279</v>
      </c>
      <c r="AF102" s="562"/>
      <c r="AG102" s="3"/>
      <c r="AH102" s="579"/>
      <c r="AI102" s="598">
        <v>1</v>
      </c>
      <c r="AJ102" s="599" t="s">
        <v>924</v>
      </c>
      <c r="AK102" s="579"/>
      <c r="AL102" s="3"/>
      <c r="AM102" s="579"/>
      <c r="AN102" s="591"/>
      <c r="AO102" s="579"/>
      <c r="AP102" s="599" t="s">
        <v>925</v>
      </c>
      <c r="AQ102" s="579"/>
      <c r="AR102" s="600"/>
      <c r="AS102" s="579"/>
      <c r="AT102" s="601"/>
      <c r="AU102" s="601"/>
      <c r="AV102" s="576" t="str">
        <f t="shared" si="12"/>
        <v/>
      </c>
      <c r="AW102" s="577" t="str">
        <f>IFERROR(IF(tbl_DCFC[[#This Row], [F Montant HT]]="","",tbl_DCFC[[#This Row], [Marge]]/tbl_DCFC[[#This Row], [F Montant HT]]),"")</f>
        <v/>
      </c>
      <c r="AX102" s="8"/>
      <c r="AY102" s="3"/>
      <c r="AZ102" s="3"/>
      <c r="BA102" s="8"/>
    </row>
    <row r="103" spans="1:53" ht="15" customHeight="1" x14ac:dyDescent="0.3">
      <c r="A103" s="603">
        <v>25569.04218310185</v>
      </c>
      <c r="B103" s="558" t="str">
        <f>IFERROR(INDEX(Tabelle2[BU],MATCH(tbl_DCFC[[#This Row], [Categorie]],CAT,0)),"")</f>
        <v>SER</v>
      </c>
      <c r="C103" s="604" t="str">
        <f t="shared" si="11"/>
        <v>S01</v>
      </c>
      <c r="D103" s="603">
        <v>25569.04218310185</v>
      </c>
      <c r="E103" s="588">
        <v>4739</v>
      </c>
      <c r="F103" s="591" t="s">
        <v>641</v>
      </c>
      <c r="G103" s="591" t="s">
        <v>926</v>
      </c>
      <c r="H103" s="591"/>
      <c r="I103" s="588">
        <v>5885</v>
      </c>
      <c r="J103" s="591" t="s">
        <v>280</v>
      </c>
      <c r="K103" s="591" t="s">
        <v>548</v>
      </c>
      <c r="L103" s="605" t="s">
        <v>642</v>
      </c>
      <c r="M103" s="579"/>
      <c r="N103" s="66" t="str">
        <f t="shared" si="10"/>
        <v/>
      </c>
      <c r="O103" s="66">
        <f>IF(Data!$Q99="","",YEAR(Data!$Q99))</f>
        <v>1970</v>
      </c>
      <c r="P103" s="66">
        <f>IF(Data!$Q99="","",MONTH(Data!$Q99))</f>
        <v>1</v>
      </c>
      <c r="Q103" s="626"/>
      <c r="R103" s="3"/>
      <c r="S103" s="8"/>
      <c r="T103" s="3"/>
      <c r="U103" s="3"/>
      <c r="V103" s="579"/>
      <c r="W103" s="31"/>
      <c r="X103" s="66" t="str">
        <f t="shared" si="13"/>
        <v/>
      </c>
      <c r="Y103" s="66" t="str">
        <f>IF(Data!$AC99="","",YEAR(Data!$AC99))</f>
        <v/>
      </c>
      <c r="Z103" s="66" t="str">
        <f>IF(Data!$AC99="","",MONTH(Data!$AC99))</f>
        <v/>
      </c>
      <c r="AA103" s="31"/>
      <c r="AB103" s="8"/>
      <c r="AC103" s="626"/>
      <c r="AD103" s="9"/>
      <c r="AE103" s="31"/>
      <c r="AF103" s="562"/>
      <c r="AG103" s="3"/>
      <c r="AH103" s="579"/>
      <c r="AI103" s="598">
        <v>1</v>
      </c>
      <c r="AJ103" s="599" t="s">
        <v>927</v>
      </c>
      <c r="AK103" s="579"/>
      <c r="AL103" s="3" t="s">
        <v>928</v>
      </c>
      <c r="AM103" s="579"/>
      <c r="AN103" s="591"/>
      <c r="AO103" s="579"/>
      <c r="AP103" s="599" t="s">
        <v>929</v>
      </c>
      <c r="AQ103" s="579"/>
      <c r="AR103" s="600"/>
      <c r="AS103" s="579"/>
      <c r="AT103" s="601"/>
      <c r="AU103" s="601"/>
      <c r="AV103" s="576" t="str">
        <f t="shared" si="12"/>
        <v/>
      </c>
      <c r="AW103" s="577" t="str">
        <f>IFERROR(IF(tbl_DCFC[[#This Row], [F Montant HT]]="","",tbl_DCFC[[#This Row], [Marge]]/tbl_DCFC[[#This Row], [F Montant HT]]),"")</f>
        <v/>
      </c>
      <c r="AX103" s="8"/>
      <c r="AY103" s="3"/>
      <c r="AZ103" s="3"/>
      <c r="BA103" s="8"/>
    </row>
    <row r="104" spans="1:53" ht="15" customHeight="1" x14ac:dyDescent="0.3">
      <c r="A104" s="603">
        <v>25569.04218310185</v>
      </c>
      <c r="B104" s="558" t="str">
        <f>IFERROR(INDEX(Tabelle2[BU],MATCH(tbl_DCFC[[#This Row], [Categorie]],CAT,0)),"")</f>
        <v>SER</v>
      </c>
      <c r="C104" s="604" t="str">
        <f t="shared" si="11"/>
        <v>S01</v>
      </c>
      <c r="D104" s="603">
        <v>25569.04218310185</v>
      </c>
      <c r="E104" s="588">
        <v>4740</v>
      </c>
      <c r="F104" s="591" t="s">
        <v>641</v>
      </c>
      <c r="G104" s="591" t="s">
        <v>926</v>
      </c>
      <c r="H104" s="591"/>
      <c r="I104" s="588">
        <v>4476</v>
      </c>
      <c r="J104" s="591" t="s">
        <v>280</v>
      </c>
      <c r="K104" s="591" t="s">
        <v>548</v>
      </c>
      <c r="L104" s="605" t="s">
        <v>642</v>
      </c>
      <c r="M104" s="579"/>
      <c r="N104" s="66" t="str">
        <f t="shared" si="10"/>
        <v/>
      </c>
      <c r="O104" s="66">
        <f>IF(Data!$Q100="","",YEAR(Data!$Q100))</f>
        <v>1970</v>
      </c>
      <c r="P104" s="66">
        <f>IF(Data!$Q100="","",MONTH(Data!$Q100))</f>
        <v>1</v>
      </c>
      <c r="Q104" s="626"/>
      <c r="R104" s="3"/>
      <c r="S104" s="8"/>
      <c r="T104" s="3"/>
      <c r="U104" s="3"/>
      <c r="V104" s="579"/>
      <c r="W104" s="31"/>
      <c r="X104" s="66" t="str">
        <f t="shared" si="13"/>
        <v/>
      </c>
      <c r="Y104" s="66" t="str">
        <f>IF(Data!$AC100="","",YEAR(Data!$AC100))</f>
        <v/>
      </c>
      <c r="Z104" s="66" t="str">
        <f>IF(Data!$AC100="","",MONTH(Data!$AC100))</f>
        <v/>
      </c>
      <c r="AA104" s="31"/>
      <c r="AB104" s="8"/>
      <c r="AC104" s="626"/>
      <c r="AD104" s="9"/>
      <c r="AE104" s="31"/>
      <c r="AF104" s="562"/>
      <c r="AG104" s="3"/>
      <c r="AH104" s="579"/>
      <c r="AI104" s="598">
        <v>1</v>
      </c>
      <c r="AJ104" s="599" t="s">
        <v>930</v>
      </c>
      <c r="AK104" s="579"/>
      <c r="AL104" s="3"/>
      <c r="AM104" s="579"/>
      <c r="AN104" s="591"/>
      <c r="AO104" s="579"/>
      <c r="AP104" s="599" t="s">
        <v>931</v>
      </c>
      <c r="AQ104" s="579"/>
      <c r="AR104" s="600"/>
      <c r="AS104" s="579"/>
      <c r="AT104" s="601"/>
      <c r="AU104" s="601"/>
      <c r="AV104" s="576" t="str">
        <f t="shared" si="12"/>
        <v/>
      </c>
      <c r="AW104" s="577" t="str">
        <f>IFERROR(IF(tbl_DCFC[[#This Row], [F Montant HT]]="","",tbl_DCFC[[#This Row], [Marge]]/tbl_DCFC[[#This Row], [F Montant HT]]),"")</f>
        <v/>
      </c>
      <c r="AX104" s="8"/>
      <c r="AY104" s="3"/>
      <c r="AZ104" s="3"/>
      <c r="BA104" s="8"/>
    </row>
    <row r="105" spans="1:53" ht="15" customHeight="1" x14ac:dyDescent="0.3">
      <c r="A105" s="603">
        <v>25569.04218310185</v>
      </c>
      <c r="B105" s="558" t="str">
        <f>IFERROR(INDEX(Tabelle2[BU],MATCH(tbl_DCFC[[#This Row], [Categorie]],CAT,0)),"")</f>
        <v>TOO</v>
      </c>
      <c r="C105" s="604" t="str">
        <f t="shared" si="11"/>
        <v>S01</v>
      </c>
      <c r="D105" s="603">
        <v>25569.04218310185</v>
      </c>
      <c r="E105" s="588">
        <v>4741</v>
      </c>
      <c r="F105" s="591" t="s">
        <v>641</v>
      </c>
      <c r="G105" s="591" t="s">
        <v>336</v>
      </c>
      <c r="H105" s="591"/>
      <c r="I105" s="588">
        <v>186</v>
      </c>
      <c r="J105" s="591" t="s">
        <v>281</v>
      </c>
      <c r="K105" s="591" t="s">
        <v>932</v>
      </c>
      <c r="L105" s="605" t="s">
        <v>646</v>
      </c>
      <c r="M105" s="579"/>
      <c r="N105" s="66" t="str">
        <f t="shared" si="10"/>
        <v>S01</v>
      </c>
      <c r="O105" s="66">
        <f>IF(Data!$Q101="","",YEAR(Data!$Q101))</f>
        <v>1970</v>
      </c>
      <c r="P105" s="66">
        <f>IF(Data!$Q101="","",MONTH(Data!$Q101))</f>
        <v>1</v>
      </c>
      <c r="Q105" s="43">
        <v>25569.042183425925</v>
      </c>
      <c r="R105" s="3" t="s">
        <v>933</v>
      </c>
      <c r="S105" s="9">
        <v>186</v>
      </c>
      <c r="T105" s="3"/>
      <c r="U105" s="3"/>
      <c r="V105" s="579"/>
      <c r="W105" s="31"/>
      <c r="X105" s="66" t="str">
        <f t="shared" si="13"/>
        <v>S01</v>
      </c>
      <c r="Y105" s="66">
        <f>IF(Data!$AC101="","",YEAR(Data!$AC101))</f>
        <v>1970</v>
      </c>
      <c r="Z105" s="66">
        <f>IF(Data!$AC101="","",MONTH(Data!$AC101))</f>
        <v>1</v>
      </c>
      <c r="AA105" s="43">
        <v>25569.042183530091</v>
      </c>
      <c r="AB105" s="9">
        <v>5231</v>
      </c>
      <c r="AC105" s="43">
        <v>25569.04218355324</v>
      </c>
      <c r="AD105" s="9">
        <v>186</v>
      </c>
      <c r="AE105" s="43">
        <v>25569.042183634258</v>
      </c>
      <c r="AF105" s="562"/>
      <c r="AG105" s="3"/>
      <c r="AH105" s="579"/>
      <c r="AI105" s="598">
        <v>3</v>
      </c>
      <c r="AJ105" s="599" t="s">
        <v>934</v>
      </c>
      <c r="AK105" s="579"/>
      <c r="AL105" s="3" t="s">
        <v>935</v>
      </c>
      <c r="AM105" s="579"/>
      <c r="AN105" s="591"/>
      <c r="AO105" s="579"/>
      <c r="AP105" s="599" t="s">
        <v>936</v>
      </c>
      <c r="AQ105" s="579"/>
      <c r="AR105" s="600"/>
      <c r="AS105" s="579"/>
      <c r="AT105" s="601">
        <v>43</v>
      </c>
      <c r="AU105" s="601"/>
      <c r="AV105" s="576"/>
      <c r="AW105" s="577">
        <f>IFERROR(IF(tbl_DCFC[[#This Row], [F Montant HT]]="","",tbl_DCFC[[#This Row], [Marge]]/tbl_DCFC[[#This Row], [F Montant HT]]),"")</f>
        <v>0</v>
      </c>
      <c r="AX105" s="8"/>
      <c r="AY105" s="3"/>
      <c r="AZ105" s="3"/>
      <c r="BA105" s="8"/>
    </row>
    <row r="106" spans="1:53" ht="15" customHeight="1" x14ac:dyDescent="0.3">
      <c r="A106" s="603">
        <v>25569.04218310185</v>
      </c>
      <c r="B106" s="558" t="str">
        <f>IFERROR(INDEX(Tabelle2[BU],MATCH(tbl_DCFC[[#This Row], [Categorie]],CAT,0)),"")</f>
        <v>SER</v>
      </c>
      <c r="C106" s="604" t="str">
        <f t="shared" si="11"/>
        <v>S01</v>
      </c>
      <c r="D106" s="603">
        <v>25569.04218310185</v>
      </c>
      <c r="E106" s="588">
        <v>4742</v>
      </c>
      <c r="F106" s="591" t="s">
        <v>641</v>
      </c>
      <c r="G106" s="591" t="s">
        <v>926</v>
      </c>
      <c r="H106" s="591"/>
      <c r="I106" s="588">
        <v>660</v>
      </c>
      <c r="J106" s="591" t="s">
        <v>280</v>
      </c>
      <c r="K106" s="591" t="s">
        <v>548</v>
      </c>
      <c r="L106" s="605" t="s">
        <v>646</v>
      </c>
      <c r="M106" s="579"/>
      <c r="N106" s="66" t="str">
        <f t="shared" si="10"/>
        <v>S01</v>
      </c>
      <c r="O106" s="66" t="str">
        <f>IF(Data!$Q102="","",YEAR(Data!$Q102))</f>
        <v/>
      </c>
      <c r="P106" s="66" t="str">
        <f>IF(Data!$Q102="","",MONTH(Data!$Q102))</f>
        <v/>
      </c>
      <c r="Q106" s="43">
        <v>25569.042183113426</v>
      </c>
      <c r="R106" s="3" t="s">
        <v>937</v>
      </c>
      <c r="S106" s="9">
        <v>660</v>
      </c>
      <c r="T106" s="3"/>
      <c r="U106" s="3"/>
      <c r="V106" s="579"/>
      <c r="W106" s="31"/>
      <c r="X106" s="66" t="str">
        <f t="shared" si="13"/>
        <v/>
      </c>
      <c r="Y106" s="66" t="str">
        <f>IF(Data!$AC102="","",YEAR(Data!$AC102))</f>
        <v/>
      </c>
      <c r="Z106" s="66" t="str">
        <f>IF(Data!$AC102="","",MONTH(Data!$AC102))</f>
        <v/>
      </c>
      <c r="AA106" s="31"/>
      <c r="AB106" s="8"/>
      <c r="AC106" s="626"/>
      <c r="AD106" s="9"/>
      <c r="AE106" s="43">
        <v>25569.042184479167</v>
      </c>
      <c r="AF106" s="562"/>
      <c r="AG106" s="3"/>
      <c r="AH106" s="579"/>
      <c r="AI106" s="598">
        <v>1</v>
      </c>
      <c r="AJ106" s="599" t="s">
        <v>938</v>
      </c>
      <c r="AK106" s="579"/>
      <c r="AL106" s="3"/>
      <c r="AM106" s="579"/>
      <c r="AN106" s="591"/>
      <c r="AO106" s="579"/>
      <c r="AP106" s="599" t="s">
        <v>939</v>
      </c>
      <c r="AQ106" s="579"/>
      <c r="AR106" s="600"/>
      <c r="AS106" s="579"/>
      <c r="AT106" s="601"/>
      <c r="AU106" s="601"/>
      <c r="AV106" s="576"/>
      <c r="AW106" s="577" t="str">
        <f>IFERROR(IF(tbl_DCFC[[#This Row], [F Montant HT]]="","",tbl_DCFC[[#This Row], [Marge]]/tbl_DCFC[[#This Row], [F Montant HT]]),"")</f>
        <v/>
      </c>
      <c r="AX106" s="8"/>
      <c r="AY106" s="3"/>
      <c r="AZ106" s="3"/>
      <c r="BA106" s="8"/>
    </row>
    <row r="107" spans="1:53" ht="15" customHeight="1" x14ac:dyDescent="0.3">
      <c r="A107" s="603">
        <v>25569.04218310185</v>
      </c>
      <c r="B107" s="558" t="str">
        <f>IFERROR(INDEX(Tabelle2[BU],MATCH(tbl_DCFC[[#This Row], [Categorie]],CAT,0)),"")</f>
        <v>SER</v>
      </c>
      <c r="C107" s="604" t="str">
        <f t="shared" si="11"/>
        <v>S01</v>
      </c>
      <c r="D107" s="603">
        <v>25569.04218310185</v>
      </c>
      <c r="E107" s="588">
        <v>4742</v>
      </c>
      <c r="F107" s="591" t="s">
        <v>641</v>
      </c>
      <c r="G107" s="591" t="s">
        <v>926</v>
      </c>
      <c r="H107" s="591"/>
      <c r="I107" s="588">
        <v>7303</v>
      </c>
      <c r="J107" s="591" t="s">
        <v>280</v>
      </c>
      <c r="K107" s="591" t="s">
        <v>548</v>
      </c>
      <c r="L107" s="605" t="s">
        <v>646</v>
      </c>
      <c r="M107" s="579"/>
      <c r="N107" s="66" t="str">
        <f t="shared" si="10"/>
        <v>S01</v>
      </c>
      <c r="O107" s="66" t="str">
        <f>IF(Data!$Q120="","",YEAR(Data!$Q120))</f>
        <v/>
      </c>
      <c r="P107" s="66" t="str">
        <f>IF(Data!$Q120="","",MONTH(Data!$Q120))</f>
        <v/>
      </c>
      <c r="Q107" s="43">
        <v>25569.042183344907</v>
      </c>
      <c r="R107" s="3" t="s">
        <v>937</v>
      </c>
      <c r="S107" s="9">
        <v>7303</v>
      </c>
      <c r="T107" s="3"/>
      <c r="U107" s="3"/>
      <c r="V107" s="579"/>
      <c r="W107" s="31"/>
      <c r="X107" s="66" t="str">
        <f t="shared" si="13"/>
        <v/>
      </c>
      <c r="Y107" s="66" t="str">
        <f>IF(Data!$AC120="","",YEAR(Data!$AC120))</f>
        <v/>
      </c>
      <c r="Z107" s="66" t="str">
        <f>IF(Data!$AC120="","",MONTH(Data!$AC120))</f>
        <v/>
      </c>
      <c r="AA107" s="31"/>
      <c r="AB107" s="8"/>
      <c r="AC107" s="626"/>
      <c r="AD107" s="9"/>
      <c r="AE107" s="43">
        <v>25569.042184479167</v>
      </c>
      <c r="AF107" s="562"/>
      <c r="AG107" s="3"/>
      <c r="AH107" s="579"/>
      <c r="AI107" s="598">
        <v>1</v>
      </c>
      <c r="AJ107" s="599" t="s">
        <v>940</v>
      </c>
      <c r="AK107" s="579"/>
      <c r="AL107" s="3"/>
      <c r="AM107" s="579"/>
      <c r="AN107" s="591"/>
      <c r="AO107" s="579"/>
      <c r="AP107" s="599" t="s">
        <v>939</v>
      </c>
      <c r="AQ107" s="579"/>
      <c r="AR107" s="600"/>
      <c r="AS107" s="579"/>
      <c r="AT107" s="601"/>
      <c r="AU107" s="601"/>
      <c r="AV107" s="576" t="str">
        <f>IF(AT107="","",S107-AT107-AU107)</f>
        <v/>
      </c>
      <c r="AW107" s="577" t="str">
        <f>IFERROR(IF(tbl_DCFC[[#This Row], [F Montant HT]]="","",tbl_DCFC[[#This Row], [Marge]]/tbl_DCFC[[#This Row], [F Montant HT]]),"")</f>
        <v/>
      </c>
      <c r="AX107" s="8"/>
      <c r="AY107" s="3"/>
      <c r="AZ107" s="3"/>
      <c r="BA107" s="8"/>
    </row>
    <row r="108" spans="1:53" ht="15" customHeight="1" x14ac:dyDescent="0.3">
      <c r="A108" s="603">
        <v>25569.042183113426</v>
      </c>
      <c r="B108" s="558" t="str">
        <f>IFERROR(INDEX(Tabelle2[BU],MATCH(tbl_DCFC[[#This Row], [Categorie]],CAT,0)),"")</f>
        <v>SER</v>
      </c>
      <c r="C108" s="604" t="str">
        <f t="shared" si="11"/>
        <v>S01</v>
      </c>
      <c r="D108" s="603">
        <v>25569.042183113426</v>
      </c>
      <c r="E108" s="588">
        <v>4743</v>
      </c>
      <c r="F108" s="591" t="s">
        <v>641</v>
      </c>
      <c r="G108" s="591" t="s">
        <v>760</v>
      </c>
      <c r="H108" s="591"/>
      <c r="I108" s="588">
        <v>660</v>
      </c>
      <c r="J108" s="591" t="s">
        <v>280</v>
      </c>
      <c r="K108" s="591" t="s">
        <v>548</v>
      </c>
      <c r="L108" s="605" t="s">
        <v>646</v>
      </c>
      <c r="M108" s="579"/>
      <c r="N108" s="66" t="str">
        <f t="shared" si="10"/>
        <v>S01</v>
      </c>
      <c r="O108" s="66" t="str">
        <f>IF(Data!$Q103="","",YEAR(Data!$Q103))</f>
        <v/>
      </c>
      <c r="P108" s="66" t="str">
        <f>IF(Data!$Q103="","",MONTH(Data!$Q103))</f>
        <v/>
      </c>
      <c r="Q108" s="43">
        <v>25569.042183113426</v>
      </c>
      <c r="R108" s="3" t="s">
        <v>941</v>
      </c>
      <c r="S108" s="9">
        <v>660</v>
      </c>
      <c r="T108" s="3"/>
      <c r="U108" s="3"/>
      <c r="V108" s="579"/>
      <c r="W108" s="31"/>
      <c r="X108" s="66" t="str">
        <f t="shared" si="13"/>
        <v>S01</v>
      </c>
      <c r="Y108" s="66" t="str">
        <f>IF(Data!$AC103="","",YEAR(Data!$AC103))</f>
        <v/>
      </c>
      <c r="Z108" s="66" t="str">
        <f>IF(Data!$AC103="","",MONTH(Data!$AC103))</f>
        <v/>
      </c>
      <c r="AA108" s="43">
        <v>25569.042183287038</v>
      </c>
      <c r="AB108" s="9">
        <v>5215</v>
      </c>
      <c r="AC108" s="43">
        <v>25569.042183310186</v>
      </c>
      <c r="AD108" s="9">
        <v>660</v>
      </c>
      <c r="AE108" s="43">
        <v>25569.042183472222</v>
      </c>
      <c r="AF108" s="562"/>
      <c r="AG108" s="3"/>
      <c r="AH108" s="579"/>
      <c r="AI108" s="598">
        <v>1</v>
      </c>
      <c r="AJ108" s="599" t="s">
        <v>942</v>
      </c>
      <c r="AK108" s="579"/>
      <c r="AL108" s="3"/>
      <c r="AM108" s="579"/>
      <c r="AN108" s="591"/>
      <c r="AO108" s="579"/>
      <c r="AP108" s="599" t="s">
        <v>943</v>
      </c>
      <c r="AQ108" s="579"/>
      <c r="AR108" s="600"/>
      <c r="AS108" s="579"/>
      <c r="AT108" s="601">
        <v>45.15</v>
      </c>
      <c r="AU108" s="601"/>
      <c r="AV108" s="576"/>
      <c r="AW108" s="577">
        <f>IFERROR(IF(tbl_DCFC[[#This Row], [F Montant HT]]="","",tbl_DCFC[[#This Row], [Marge]]/tbl_DCFC[[#This Row], [F Montant HT]]),"")</f>
        <v>0</v>
      </c>
      <c r="AX108" s="8"/>
      <c r="AY108" s="3"/>
      <c r="AZ108" s="3"/>
      <c r="BA108" s="8"/>
    </row>
    <row r="109" spans="1:53" ht="15" customHeight="1" x14ac:dyDescent="0.3">
      <c r="A109" s="603">
        <v>25569.042183113426</v>
      </c>
      <c r="B109" s="558" t="str">
        <f>IFERROR(INDEX(Tabelle2[BU],MATCH(tbl_DCFC[[#This Row], [Categorie]],CAT,0)),"")</f>
        <v>SER</v>
      </c>
      <c r="C109" s="604" t="str">
        <f t="shared" si="11"/>
        <v>S01</v>
      </c>
      <c r="D109" s="603">
        <v>25569.042183194444</v>
      </c>
      <c r="E109" s="588">
        <v>4743</v>
      </c>
      <c r="F109" s="591" t="s">
        <v>679</v>
      </c>
      <c r="G109" s="591" t="s">
        <v>760</v>
      </c>
      <c r="H109" s="591"/>
      <c r="I109" s="588">
        <v>597</v>
      </c>
      <c r="J109" s="591" t="s">
        <v>280</v>
      </c>
      <c r="K109" s="591" t="s">
        <v>548</v>
      </c>
      <c r="L109" s="605" t="s">
        <v>646</v>
      </c>
      <c r="M109" s="579"/>
      <c r="N109" s="66" t="str">
        <f t="shared" si="10"/>
        <v>S01</v>
      </c>
      <c r="O109" s="66">
        <f>IF(Data!$Q108="","",YEAR(Data!$Q108))</f>
        <v>1970</v>
      </c>
      <c r="P109" s="66">
        <f>IF(Data!$Q108="","",MONTH(Data!$Q108))</f>
        <v>1</v>
      </c>
      <c r="Q109" s="43">
        <v>25569.042183113426</v>
      </c>
      <c r="R109" s="3" t="s">
        <v>941</v>
      </c>
      <c r="S109" s="9">
        <v>597</v>
      </c>
      <c r="T109" s="3"/>
      <c r="U109" s="3"/>
      <c r="V109" s="579"/>
      <c r="W109" s="31"/>
      <c r="X109" s="66" t="str">
        <f t="shared" si="13"/>
        <v>S01</v>
      </c>
      <c r="Y109" s="66">
        <f>IF(Data!$AC108="","",YEAR(Data!$AC108))</f>
        <v>1970</v>
      </c>
      <c r="Z109" s="66">
        <f>IF(Data!$AC108="","",MONTH(Data!$AC108))</f>
        <v>1</v>
      </c>
      <c r="AA109" s="43">
        <v>25569.042183287038</v>
      </c>
      <c r="AB109" s="9">
        <v>5215</v>
      </c>
      <c r="AC109" s="43">
        <v>25569.042183310186</v>
      </c>
      <c r="AD109" s="9">
        <v>597</v>
      </c>
      <c r="AE109" s="43">
        <v>25569.042183472222</v>
      </c>
      <c r="AF109" s="562"/>
      <c r="AG109" s="3"/>
      <c r="AH109" s="579"/>
      <c r="AI109" s="598">
        <v>1</v>
      </c>
      <c r="AJ109" s="599" t="s">
        <v>944</v>
      </c>
      <c r="AK109" s="579"/>
      <c r="AL109" s="3"/>
      <c r="AM109" s="579"/>
      <c r="AN109" s="591"/>
      <c r="AO109" s="579"/>
      <c r="AP109" s="599" t="s">
        <v>943</v>
      </c>
      <c r="AQ109" s="579"/>
      <c r="AR109" s="600"/>
      <c r="AS109" s="579"/>
      <c r="AT109" s="601">
        <v>40.85</v>
      </c>
      <c r="AU109" s="601"/>
      <c r="AV109" s="576"/>
      <c r="AW109" s="577">
        <f>IFERROR(IF(tbl_DCFC[[#This Row], [F Montant HT]]="","",tbl_DCFC[[#This Row], [Marge]]/tbl_DCFC[[#This Row], [F Montant HT]]),"")</f>
        <v>0</v>
      </c>
      <c r="AX109" s="8"/>
      <c r="AY109" s="3"/>
      <c r="AZ109" s="3"/>
      <c r="BA109" s="8"/>
    </row>
    <row r="110" spans="1:53" ht="15" customHeight="1" x14ac:dyDescent="0.3">
      <c r="A110" s="603">
        <v>25569.042183124999</v>
      </c>
      <c r="B110" s="558" t="str">
        <f>IFERROR(INDEX(Tabelle2[BU],MATCH(tbl_DCFC[[#This Row], [Categorie]],CAT,0)),"")</f>
        <v>SER</v>
      </c>
      <c r="C110" s="604" t="str">
        <f t="shared" si="11"/>
        <v>S01</v>
      </c>
      <c r="D110" s="603">
        <v>25569.042183124999</v>
      </c>
      <c r="E110" s="588">
        <v>4744</v>
      </c>
      <c r="F110" s="591" t="s">
        <v>641</v>
      </c>
      <c r="G110" s="591" t="s">
        <v>945</v>
      </c>
      <c r="H110" s="591"/>
      <c r="I110" s="588">
        <v>2230</v>
      </c>
      <c r="J110" s="591" t="s">
        <v>281</v>
      </c>
      <c r="K110" s="591" t="s">
        <v>548</v>
      </c>
      <c r="L110" s="605" t="s">
        <v>646</v>
      </c>
      <c r="M110" s="579"/>
      <c r="N110" s="66" t="str">
        <f t="shared" si="10"/>
        <v>S01</v>
      </c>
      <c r="O110" s="66">
        <f>IF(Data!$Q106="","",YEAR(Data!$Q106))</f>
        <v>1970</v>
      </c>
      <c r="P110" s="66">
        <f>IF(Data!$Q106="","",MONTH(Data!$Q106))</f>
        <v>1</v>
      </c>
      <c r="Q110" s="43">
        <v>25569.042183217593</v>
      </c>
      <c r="R110" s="3" t="s">
        <v>946</v>
      </c>
      <c r="S110" s="9">
        <v>2230</v>
      </c>
      <c r="T110" s="3"/>
      <c r="U110" s="3"/>
      <c r="V110" s="579"/>
      <c r="W110" s="31"/>
      <c r="X110" s="66" t="str">
        <f t="shared" si="13"/>
        <v>S01</v>
      </c>
      <c r="Y110" s="66" t="str">
        <f>IF(Data!$AC106="","",YEAR(Data!$AC106))</f>
        <v/>
      </c>
      <c r="Z110" s="66" t="str">
        <f>IF(Data!$AC106="","",MONTH(Data!$AC106))</f>
        <v/>
      </c>
      <c r="AA110" s="43">
        <v>25569.042183379628</v>
      </c>
      <c r="AB110" s="9">
        <v>5220</v>
      </c>
      <c r="AC110" s="43">
        <v>25569.042183379628</v>
      </c>
      <c r="AD110" s="9">
        <v>2230</v>
      </c>
      <c r="AE110" s="43">
        <v>25569.042183391204</v>
      </c>
      <c r="AF110" s="562"/>
      <c r="AG110" s="3"/>
      <c r="AH110" s="579"/>
      <c r="AI110" s="598">
        <v>4</v>
      </c>
      <c r="AJ110" s="599" t="s">
        <v>947</v>
      </c>
      <c r="AK110" s="579"/>
      <c r="AL110" s="3"/>
      <c r="AM110" s="579"/>
      <c r="AN110" s="591"/>
      <c r="AO110" s="579"/>
      <c r="AP110" s="599" t="s">
        <v>948</v>
      </c>
      <c r="AQ110" s="579"/>
      <c r="AR110" s="600"/>
      <c r="AS110" s="579"/>
      <c r="AT110" s="601"/>
      <c r="AU110" s="601"/>
      <c r="AV110" s="576"/>
      <c r="AW110" s="577"/>
      <c r="AX110" s="8"/>
      <c r="AY110" s="3"/>
      <c r="AZ110" s="3"/>
      <c r="BA110" s="8"/>
    </row>
    <row r="111" spans="1:53" ht="15" customHeight="1" x14ac:dyDescent="0.3">
      <c r="A111" s="603">
        <v>25569.042183356483</v>
      </c>
      <c r="B111" s="558" t="str">
        <f>IFERROR(INDEX(Tabelle2[BU],MATCH(tbl_DCFC[[#This Row], [Categorie]],CAT,0)),"")</f>
        <v>SER</v>
      </c>
      <c r="C111" s="604" t="str">
        <f t="shared" si="11"/>
        <v>S01</v>
      </c>
      <c r="D111" s="603">
        <v>25569.042183356483</v>
      </c>
      <c r="E111" s="588">
        <v>4744</v>
      </c>
      <c r="F111" s="591" t="s">
        <v>693</v>
      </c>
      <c r="G111" s="591" t="s">
        <v>945</v>
      </c>
      <c r="H111" s="591"/>
      <c r="I111" s="588">
        <v>707</v>
      </c>
      <c r="J111" s="591" t="s">
        <v>281</v>
      </c>
      <c r="K111" s="591" t="s">
        <v>548</v>
      </c>
      <c r="L111" s="605" t="s">
        <v>646</v>
      </c>
      <c r="M111" s="579"/>
      <c r="N111" s="66" t="str">
        <f t="shared" si="10"/>
        <v>S01</v>
      </c>
      <c r="O111" s="66">
        <f>IF(Data!$Q122="","",YEAR(Data!$Q122))</f>
        <v>1970</v>
      </c>
      <c r="P111" s="66">
        <f>IF(Data!$Q122="","",MONTH(Data!$Q122))</f>
        <v>1</v>
      </c>
      <c r="Q111" s="43">
        <v>25569.042183217593</v>
      </c>
      <c r="R111" s="3" t="s">
        <v>946</v>
      </c>
      <c r="S111" s="9">
        <v>707</v>
      </c>
      <c r="T111" s="3"/>
      <c r="U111" s="3"/>
      <c r="V111" s="579"/>
      <c r="W111" s="31"/>
      <c r="X111" s="66" t="str">
        <f t="shared" si="13"/>
        <v/>
      </c>
      <c r="Y111" s="66" t="str">
        <f>IF(Data!$AC122="","",YEAR(Data!$AC122))</f>
        <v/>
      </c>
      <c r="Z111" s="66" t="str">
        <f>IF(Data!$AC122="","",MONTH(Data!$AC122))</f>
        <v/>
      </c>
      <c r="AA111" s="31"/>
      <c r="AB111" s="8"/>
      <c r="AC111" s="626"/>
      <c r="AD111" s="9"/>
      <c r="AE111" s="31"/>
      <c r="AF111" s="562"/>
      <c r="AG111" s="3"/>
      <c r="AH111" s="579"/>
      <c r="AI111" s="598">
        <v>1</v>
      </c>
      <c r="AJ111" s="599" t="s">
        <v>949</v>
      </c>
      <c r="AK111" s="579"/>
      <c r="AL111" s="3"/>
      <c r="AM111" s="579"/>
      <c r="AN111" s="591"/>
      <c r="AO111" s="579"/>
      <c r="AP111" s="599" t="s">
        <v>948</v>
      </c>
      <c r="AQ111" s="579"/>
      <c r="AR111" s="600"/>
      <c r="AS111" s="579"/>
      <c r="AT111" s="601"/>
      <c r="AU111" s="601"/>
      <c r="AV111" s="576" t="str">
        <f>IF(AT111="","",S111-AT111-AU111)</f>
        <v/>
      </c>
      <c r="AW111" s="577" t="str">
        <f>IFERROR(IF(tbl_DCFC[[#This Row], [F Montant HT]]="","",tbl_DCFC[[#This Row], [Marge]]/tbl_DCFC[[#This Row], [F Montant HT]]),"")</f>
        <v/>
      </c>
      <c r="AX111" s="8"/>
      <c r="AY111" s="3"/>
      <c r="AZ111" s="3"/>
      <c r="BA111" s="8"/>
    </row>
    <row r="112" spans="1:53" ht="15" customHeight="1" x14ac:dyDescent="0.3">
      <c r="A112" s="603">
        <v>25569.042183136575</v>
      </c>
      <c r="B112" s="558" t="str">
        <f>IFERROR(INDEX(Tabelle2[BU],MATCH(tbl_DCFC[[#This Row], [Categorie]],CAT,0)),"")</f>
        <v>SER</v>
      </c>
      <c r="C112" s="604" t="str">
        <f t="shared" si="11"/>
        <v>S01</v>
      </c>
      <c r="D112" s="603">
        <v>25569.042183136575</v>
      </c>
      <c r="E112" s="588">
        <v>4747</v>
      </c>
      <c r="F112" s="591" t="s">
        <v>641</v>
      </c>
      <c r="G112" s="591" t="s">
        <v>862</v>
      </c>
      <c r="H112" s="591"/>
      <c r="I112" s="588">
        <v>2365</v>
      </c>
      <c r="J112" s="591" t="s">
        <v>280</v>
      </c>
      <c r="K112" s="591" t="s">
        <v>544</v>
      </c>
      <c r="L112" s="605" t="s">
        <v>642</v>
      </c>
      <c r="M112" s="579"/>
      <c r="N112" s="66" t="str">
        <f t="shared" si="10"/>
        <v/>
      </c>
      <c r="O112" s="66">
        <f>IF(Data!$Q105="","",YEAR(Data!$Q105))</f>
        <v>1970</v>
      </c>
      <c r="P112" s="66">
        <f>IF(Data!$Q105="","",MONTH(Data!$Q105))</f>
        <v>1</v>
      </c>
      <c r="Q112" s="626"/>
      <c r="R112" s="3"/>
      <c r="S112" s="8"/>
      <c r="T112" s="3"/>
      <c r="U112" s="3"/>
      <c r="V112" s="579"/>
      <c r="W112" s="31"/>
      <c r="X112" s="66" t="str">
        <f t="shared" si="13"/>
        <v/>
      </c>
      <c r="Y112" s="66">
        <f>IF(Data!$AC105="","",YEAR(Data!$AC105))</f>
        <v>1970</v>
      </c>
      <c r="Z112" s="66">
        <f>IF(Data!$AC105="","",MONTH(Data!$AC105))</f>
        <v>1</v>
      </c>
      <c r="AA112" s="31"/>
      <c r="AB112" s="8"/>
      <c r="AC112" s="626"/>
      <c r="AD112" s="9"/>
      <c r="AE112" s="31"/>
      <c r="AF112" s="562"/>
      <c r="AG112" s="3"/>
      <c r="AH112" s="579"/>
      <c r="AI112" s="598">
        <v>5</v>
      </c>
      <c r="AJ112" s="599" t="s">
        <v>950</v>
      </c>
      <c r="AK112" s="579"/>
      <c r="AL112" s="3"/>
      <c r="AM112" s="579"/>
      <c r="AN112" s="591"/>
      <c r="AO112" s="579"/>
      <c r="AP112" s="599" t="s">
        <v>951</v>
      </c>
      <c r="AQ112" s="579"/>
      <c r="AR112" s="600"/>
      <c r="AS112" s="579"/>
      <c r="AT112" s="601"/>
      <c r="AU112" s="601"/>
      <c r="AV112" s="576" t="str">
        <f>IF(AT112="","",S112-AT112-AU112)</f>
        <v/>
      </c>
      <c r="AW112" s="577" t="str">
        <f>IFERROR(IF(tbl_DCFC[[#This Row], [F Montant HT]]="","",tbl_DCFC[[#This Row], [Marge]]/tbl_DCFC[[#This Row], [F Montant HT]]),"")</f>
        <v/>
      </c>
      <c r="AX112" s="8"/>
      <c r="AY112" s="3"/>
      <c r="AZ112" s="3"/>
      <c r="BA112" s="8"/>
    </row>
    <row r="113" spans="1:53" ht="15" customHeight="1" x14ac:dyDescent="0.3">
      <c r="A113" s="603">
        <v>25569.042183182872</v>
      </c>
      <c r="B113" s="558" t="str">
        <f>IFERROR(INDEX(Tabelle2[BU],MATCH(tbl_DCFC[[#This Row], [Categorie]],CAT,0)),"")</f>
        <v>SER</v>
      </c>
      <c r="C113" s="604" t="str">
        <f t="shared" si="11"/>
        <v>S01</v>
      </c>
      <c r="D113" s="603">
        <v>25569.042183182872</v>
      </c>
      <c r="E113" s="588">
        <v>4749</v>
      </c>
      <c r="F113" s="591" t="s">
        <v>641</v>
      </c>
      <c r="G113" s="591" t="s">
        <v>876</v>
      </c>
      <c r="H113" s="591"/>
      <c r="I113" s="588">
        <v>460</v>
      </c>
      <c r="J113" s="591" t="s">
        <v>281</v>
      </c>
      <c r="K113" s="591" t="s">
        <v>548</v>
      </c>
      <c r="L113" s="605" t="s">
        <v>646</v>
      </c>
      <c r="M113" s="579"/>
      <c r="N113" s="66" t="str">
        <f t="shared" si="10"/>
        <v>S01</v>
      </c>
      <c r="O113" s="66">
        <f>IF(Data!$Q107="","",YEAR(Data!$Q107))</f>
        <v>1970</v>
      </c>
      <c r="P113" s="66">
        <f>IF(Data!$Q107="","",MONTH(Data!$Q107))</f>
        <v>1</v>
      </c>
      <c r="Q113" s="43">
        <v>25569.042183182872</v>
      </c>
      <c r="R113" s="3" t="s">
        <v>952</v>
      </c>
      <c r="S113" s="9">
        <v>460</v>
      </c>
      <c r="T113" s="3"/>
      <c r="U113" s="3"/>
      <c r="V113" s="579"/>
      <c r="W113" s="43">
        <v>25569.042183287038</v>
      </c>
      <c r="X113" s="66" t="str">
        <f t="shared" si="13"/>
        <v>S01</v>
      </c>
      <c r="Y113" s="66" t="str">
        <f>IF(Data!$AC107="","",YEAR(Data!$AC107))</f>
        <v/>
      </c>
      <c r="Z113" s="66" t="str">
        <f>IF(Data!$AC107="","",MONTH(Data!$AC107))</f>
        <v/>
      </c>
      <c r="AA113" s="43">
        <v>25569.042183356483</v>
      </c>
      <c r="AB113" s="9">
        <v>5217</v>
      </c>
      <c r="AC113" s="43">
        <v>25569.042183356483</v>
      </c>
      <c r="AD113" s="9">
        <v>460</v>
      </c>
      <c r="AE113" s="43">
        <v>25569.042183391204</v>
      </c>
      <c r="AF113" s="562"/>
      <c r="AG113" s="3"/>
      <c r="AH113" s="579"/>
      <c r="AI113" s="598">
        <v>1</v>
      </c>
      <c r="AJ113" s="599" t="s">
        <v>953</v>
      </c>
      <c r="AK113" s="579"/>
      <c r="AL113" s="3"/>
      <c r="AM113" s="579"/>
      <c r="AN113" s="591"/>
      <c r="AO113" s="579"/>
      <c r="AP113" s="599" t="s">
        <v>954</v>
      </c>
      <c r="AQ113" s="579"/>
      <c r="AR113" s="600"/>
      <c r="AS113" s="579"/>
      <c r="AT113" s="601"/>
      <c r="AU113" s="601"/>
      <c r="AV113" s="576"/>
      <c r="AW113" s="577"/>
      <c r="AX113" s="8"/>
      <c r="AY113" s="3"/>
      <c r="AZ113" s="3"/>
      <c r="BA113" s="8"/>
    </row>
    <row r="114" spans="1:53" ht="15" customHeight="1" x14ac:dyDescent="0.3">
      <c r="A114" s="603">
        <v>25569.042183194444</v>
      </c>
      <c r="B114" s="558" t="str">
        <f>IFERROR(INDEX(Tabelle2[BU],MATCH(tbl_DCFC[[#This Row], [Categorie]],CAT,0)),"")</f>
        <v>SER</v>
      </c>
      <c r="C114" s="604" t="str">
        <f t="shared" si="11"/>
        <v>S01</v>
      </c>
      <c r="D114" s="603">
        <v>25569.042183194444</v>
      </c>
      <c r="E114" s="588">
        <v>4750</v>
      </c>
      <c r="F114" s="591" t="s">
        <v>641</v>
      </c>
      <c r="G114" s="591" t="s">
        <v>926</v>
      </c>
      <c r="H114" s="591"/>
      <c r="I114" s="588">
        <v>385</v>
      </c>
      <c r="J114" s="591" t="s">
        <v>280</v>
      </c>
      <c r="K114" s="591" t="s">
        <v>544</v>
      </c>
      <c r="L114" s="605" t="s">
        <v>646</v>
      </c>
      <c r="M114" s="579"/>
      <c r="N114" s="66" t="str">
        <f t="shared" si="10"/>
        <v>S01</v>
      </c>
      <c r="O114" s="66">
        <f>IF(Data!$Q109="","",YEAR(Data!$Q109))</f>
        <v>1970</v>
      </c>
      <c r="P114" s="66">
        <f>IF(Data!$Q109="","",MONTH(Data!$Q109))</f>
        <v>1</v>
      </c>
      <c r="Q114" s="43">
        <v>25569.042183194444</v>
      </c>
      <c r="R114" s="3" t="s">
        <v>955</v>
      </c>
      <c r="S114" s="9">
        <v>385</v>
      </c>
      <c r="T114" s="3"/>
      <c r="U114" s="3"/>
      <c r="V114" s="579"/>
      <c r="W114" s="43">
        <v>25569.042183287038</v>
      </c>
      <c r="X114" s="66" t="str">
        <f t="shared" si="13"/>
        <v>S01</v>
      </c>
      <c r="Y114" s="66">
        <f>IF(Data!$AC109="","",YEAR(Data!$AC109))</f>
        <v>1970</v>
      </c>
      <c r="Z114" s="66">
        <f>IF(Data!$AC109="","",MONTH(Data!$AC109))</f>
        <v>1</v>
      </c>
      <c r="AA114" s="43">
        <v>25569.042183368056</v>
      </c>
      <c r="AB114" s="9">
        <v>5219</v>
      </c>
      <c r="AC114" s="43">
        <v>25569.042183368056</v>
      </c>
      <c r="AD114" s="9">
        <v>385</v>
      </c>
      <c r="AE114" s="43">
        <v>25569.042183391204</v>
      </c>
      <c r="AF114" s="562"/>
      <c r="AG114" s="3"/>
      <c r="AH114" s="579"/>
      <c r="AI114" s="598">
        <v>1</v>
      </c>
      <c r="AJ114" s="599" t="s">
        <v>956</v>
      </c>
      <c r="AK114" s="579"/>
      <c r="AL114" s="3" t="s">
        <v>957</v>
      </c>
      <c r="AM114" s="579"/>
      <c r="AN114" s="591"/>
      <c r="AO114" s="579"/>
      <c r="AP114" s="599" t="s">
        <v>958</v>
      </c>
      <c r="AQ114" s="579"/>
      <c r="AR114" s="600"/>
      <c r="AS114" s="579"/>
      <c r="AT114" s="601"/>
      <c r="AU114" s="601"/>
      <c r="AV114" s="576"/>
      <c r="AW114" s="577"/>
      <c r="AX114" s="8"/>
      <c r="AY114" s="3"/>
      <c r="AZ114" s="3"/>
      <c r="BA114" s="8"/>
    </row>
    <row r="115" spans="1:53" ht="15" customHeight="1" x14ac:dyDescent="0.3">
      <c r="A115" s="603">
        <v>25569.042183194444</v>
      </c>
      <c r="B115" s="558" t="str">
        <f>IFERROR(INDEX(Tabelle2[BU],MATCH(tbl_DCFC[[#This Row], [Categorie]],CAT,0)),"")</f>
        <v>SER</v>
      </c>
      <c r="C115" s="604" t="str">
        <f t="shared" si="11"/>
        <v>S01</v>
      </c>
      <c r="D115" s="603">
        <v>25569.042183194444</v>
      </c>
      <c r="E115" s="588">
        <v>4751</v>
      </c>
      <c r="F115" s="591" t="s">
        <v>641</v>
      </c>
      <c r="G115" s="591" t="s">
        <v>926</v>
      </c>
      <c r="H115" s="591"/>
      <c r="I115" s="588">
        <v>385</v>
      </c>
      <c r="J115" s="591" t="s">
        <v>280</v>
      </c>
      <c r="K115" s="591" t="s">
        <v>544</v>
      </c>
      <c r="L115" s="605" t="s">
        <v>646</v>
      </c>
      <c r="M115" s="579"/>
      <c r="N115" s="66" t="str">
        <f t="shared" si="10"/>
        <v>S01</v>
      </c>
      <c r="O115" s="66">
        <f>IF(Data!$Q110="","",YEAR(Data!$Q110))</f>
        <v>1970</v>
      </c>
      <c r="P115" s="66">
        <f>IF(Data!$Q110="","",MONTH(Data!$Q110))</f>
        <v>1</v>
      </c>
      <c r="Q115" s="43">
        <v>25569.042183194444</v>
      </c>
      <c r="R115" s="3" t="s">
        <v>959</v>
      </c>
      <c r="S115" s="9">
        <v>385</v>
      </c>
      <c r="T115" s="3"/>
      <c r="U115" s="3"/>
      <c r="V115" s="579"/>
      <c r="W115" s="43">
        <v>25569.042183287038</v>
      </c>
      <c r="X115" s="66" t="str">
        <f t="shared" si="13"/>
        <v>S01</v>
      </c>
      <c r="Y115" s="66">
        <f>IF(Data!$AC110="","",YEAR(Data!$AC110))</f>
        <v>1970</v>
      </c>
      <c r="Z115" s="66">
        <f>IF(Data!$AC110="","",MONTH(Data!$AC110))</f>
        <v>1</v>
      </c>
      <c r="AA115" s="43">
        <v>25569.042183368056</v>
      </c>
      <c r="AB115" s="9">
        <v>5218</v>
      </c>
      <c r="AC115" s="43">
        <v>25569.042183368056</v>
      </c>
      <c r="AD115" s="9">
        <v>385</v>
      </c>
      <c r="AE115" s="43">
        <v>25569.042183391204</v>
      </c>
      <c r="AF115" s="562"/>
      <c r="AG115" s="3"/>
      <c r="AH115" s="579"/>
      <c r="AI115" s="598">
        <v>1</v>
      </c>
      <c r="AJ115" s="599" t="s">
        <v>956</v>
      </c>
      <c r="AK115" s="579"/>
      <c r="AL115" s="3" t="s">
        <v>957</v>
      </c>
      <c r="AM115" s="579"/>
      <c r="AN115" s="591"/>
      <c r="AO115" s="579"/>
      <c r="AP115" s="599" t="s">
        <v>960</v>
      </c>
      <c r="AQ115" s="579"/>
      <c r="AR115" s="600"/>
      <c r="AS115" s="579"/>
      <c r="AT115" s="601"/>
      <c r="AU115" s="601"/>
      <c r="AV115" s="576"/>
      <c r="AW115" s="577"/>
      <c r="AX115" s="8"/>
      <c r="AY115" s="3"/>
      <c r="AZ115" s="3"/>
      <c r="BA115" s="8"/>
    </row>
    <row r="116" spans="1:53" ht="15" customHeight="1" x14ac:dyDescent="0.3">
      <c r="A116" s="603">
        <v>25569.042183194444</v>
      </c>
      <c r="B116" s="558" t="str">
        <f>IFERROR(INDEX(Tabelle2[BU],MATCH(tbl_DCFC[[#This Row], [Categorie]],CAT,0)),"")</f>
        <v>SER</v>
      </c>
      <c r="C116" s="604" t="str">
        <f t="shared" si="11"/>
        <v>S01</v>
      </c>
      <c r="D116" s="603">
        <v>25569.042183194444</v>
      </c>
      <c r="E116" s="588">
        <v>4752</v>
      </c>
      <c r="F116" s="591" t="s">
        <v>641</v>
      </c>
      <c r="G116" s="591" t="s">
        <v>336</v>
      </c>
      <c r="H116" s="591"/>
      <c r="I116" s="588">
        <v>3180</v>
      </c>
      <c r="J116" s="591" t="s">
        <v>281</v>
      </c>
      <c r="K116" s="591" t="s">
        <v>544</v>
      </c>
      <c r="L116" s="605" t="s">
        <v>646</v>
      </c>
      <c r="M116" s="579"/>
      <c r="N116" s="66" t="str">
        <f t="shared" si="10"/>
        <v>S01</v>
      </c>
      <c r="O116" s="66">
        <f>IF(Data!$Q111="","",YEAR(Data!$Q111))</f>
        <v>1970</v>
      </c>
      <c r="P116" s="66">
        <f>IF(Data!$Q111="","",MONTH(Data!$Q111))</f>
        <v>1</v>
      </c>
      <c r="Q116" s="43">
        <v>25569.042183379628</v>
      </c>
      <c r="R116" s="3" t="s">
        <v>961</v>
      </c>
      <c r="S116" s="9">
        <v>3180</v>
      </c>
      <c r="T116" s="3"/>
      <c r="U116" s="3"/>
      <c r="V116" s="579"/>
      <c r="W116" s="43">
        <v>25569.042183379628</v>
      </c>
      <c r="X116" s="66" t="str">
        <f t="shared" si="13"/>
        <v/>
      </c>
      <c r="Y116" s="66" t="str">
        <f>IF(Data!$AC111="","",YEAR(Data!$AC111))</f>
        <v/>
      </c>
      <c r="Z116" s="66" t="str">
        <f>IF(Data!$AC111="","",MONTH(Data!$AC111))</f>
        <v/>
      </c>
      <c r="AA116" s="31"/>
      <c r="AB116" s="8"/>
      <c r="AC116" s="626"/>
      <c r="AD116" s="9"/>
      <c r="AE116" s="31"/>
      <c r="AF116" s="562"/>
      <c r="AG116" s="3"/>
      <c r="AH116" s="579"/>
      <c r="AI116" s="598">
        <v>6</v>
      </c>
      <c r="AJ116" s="599" t="s">
        <v>745</v>
      </c>
      <c r="AK116" s="579"/>
      <c r="AL116" s="3" t="s">
        <v>962</v>
      </c>
      <c r="AM116" s="579"/>
      <c r="AN116" s="591"/>
      <c r="AO116" s="579"/>
      <c r="AP116" s="599" t="s">
        <v>963</v>
      </c>
      <c r="AQ116" s="579"/>
      <c r="AR116" s="600"/>
      <c r="AS116" s="579"/>
      <c r="AT116" s="601"/>
      <c r="AU116" s="601"/>
      <c r="AV116" s="576"/>
      <c r="AW116" s="577"/>
      <c r="AX116" s="8"/>
      <c r="AY116" s="3"/>
      <c r="AZ116" s="3"/>
      <c r="BA116" s="8"/>
    </row>
    <row r="117" spans="1:53" ht="15" customHeight="1" x14ac:dyDescent="0.3">
      <c r="A117" s="603">
        <v>25569.042183194444</v>
      </c>
      <c r="B117" s="558" t="str">
        <f>IFERROR(INDEX(Tabelle2[BU],MATCH(tbl_DCFC[[#This Row], [Categorie]],CAT,0)),"")</f>
        <v>SER</v>
      </c>
      <c r="C117" s="604" t="str">
        <f t="shared" si="11"/>
        <v>S01</v>
      </c>
      <c r="D117" s="603">
        <v>25569.042183194444</v>
      </c>
      <c r="E117" s="588">
        <v>4753</v>
      </c>
      <c r="F117" s="591" t="s">
        <v>641</v>
      </c>
      <c r="G117" s="591" t="s">
        <v>336</v>
      </c>
      <c r="H117" s="591"/>
      <c r="I117" s="588"/>
      <c r="J117" s="591" t="s">
        <v>281</v>
      </c>
      <c r="K117" s="591" t="s">
        <v>544</v>
      </c>
      <c r="L117" s="605" t="s">
        <v>646</v>
      </c>
      <c r="M117" s="579"/>
      <c r="N117" s="66" t="str">
        <f t="shared" ref="N117:N137" si="14">IF(Q117&lt;&gt;"","S"&amp;TEXT(WEEKNUM(Q117,21),"00"),"")</f>
        <v>S01</v>
      </c>
      <c r="O117" s="66" t="str">
        <f>IF(Data!$Q112="","",YEAR(Data!$Q112))</f>
        <v/>
      </c>
      <c r="P117" s="66" t="str">
        <f>IF(Data!$Q112="","",MONTH(Data!$Q112))</f>
        <v/>
      </c>
      <c r="Q117" s="43">
        <v>25569.042183680554</v>
      </c>
      <c r="R117" s="3" t="s">
        <v>964</v>
      </c>
      <c r="S117" s="9">
        <v>7200</v>
      </c>
      <c r="T117" s="3"/>
      <c r="U117" s="3"/>
      <c r="V117" s="579"/>
      <c r="W117" s="31"/>
      <c r="X117" s="66" t="str">
        <f t="shared" si="13"/>
        <v/>
      </c>
      <c r="Y117" s="66" t="str">
        <f>IF(Data!$AC112="","",YEAR(Data!$AC112))</f>
        <v/>
      </c>
      <c r="Z117" s="66" t="str">
        <f>IF(Data!$AC112="","",MONTH(Data!$AC112))</f>
        <v/>
      </c>
      <c r="AA117" s="31"/>
      <c r="AB117" s="8"/>
      <c r="AC117" s="626"/>
      <c r="AD117" s="9"/>
      <c r="AE117" s="43">
        <v>25569.042183993057</v>
      </c>
      <c r="AF117" s="562"/>
      <c r="AG117" s="3"/>
      <c r="AH117" s="579"/>
      <c r="AI117" s="598">
        <v>6</v>
      </c>
      <c r="AJ117" s="599" t="s">
        <v>750</v>
      </c>
      <c r="AK117" s="579"/>
      <c r="AL117" s="3" t="s">
        <v>965</v>
      </c>
      <c r="AM117" s="579"/>
      <c r="AN117" s="591"/>
      <c r="AO117" s="579"/>
      <c r="AP117" s="599" t="s">
        <v>966</v>
      </c>
      <c r="AQ117" s="579"/>
      <c r="AR117" s="600"/>
      <c r="AS117" s="579"/>
      <c r="AT117" s="601"/>
      <c r="AU117" s="601"/>
      <c r="AV117" s="576"/>
      <c r="AW117" s="577"/>
      <c r="AX117" s="8"/>
      <c r="AY117" s="3"/>
      <c r="AZ117" s="3"/>
      <c r="BA117" s="8"/>
    </row>
    <row r="118" spans="1:53" ht="15" customHeight="1" x14ac:dyDescent="0.3">
      <c r="A118" s="603">
        <v>25569.042183113426</v>
      </c>
      <c r="B118" s="558" t="str">
        <f>IFERROR(INDEX(Tabelle2[BU],MATCH(tbl_DCFC[[#This Row], [Categorie]],CAT,0)),"")</f>
        <v>SER</v>
      </c>
      <c r="C118" s="604" t="str">
        <f t="shared" si="11"/>
        <v>S01</v>
      </c>
      <c r="D118" s="603">
        <v>25569.042183263889</v>
      </c>
      <c r="E118" s="588">
        <v>4754</v>
      </c>
      <c r="F118" s="591" t="s">
        <v>641</v>
      </c>
      <c r="G118" s="591" t="s">
        <v>862</v>
      </c>
      <c r="H118" s="591"/>
      <c r="I118" s="588">
        <v>1350</v>
      </c>
      <c r="J118" s="591" t="s">
        <v>280</v>
      </c>
      <c r="K118" s="591" t="s">
        <v>548</v>
      </c>
      <c r="L118" s="605" t="s">
        <v>642</v>
      </c>
      <c r="M118" s="579"/>
      <c r="N118" s="66" t="str">
        <f t="shared" si="14"/>
        <v/>
      </c>
      <c r="O118" s="66">
        <f>IF(Data!$Q114="","",YEAR(Data!$Q114))</f>
        <v>1970</v>
      </c>
      <c r="P118" s="66">
        <f>IF(Data!$Q114="","",MONTH(Data!$Q114))</f>
        <v>1</v>
      </c>
      <c r="Q118" s="626"/>
      <c r="R118" s="3"/>
      <c r="S118" s="8"/>
      <c r="T118" s="3"/>
      <c r="U118" s="3"/>
      <c r="V118" s="579"/>
      <c r="W118" s="31"/>
      <c r="X118" s="66" t="str">
        <f t="shared" si="13"/>
        <v/>
      </c>
      <c r="Y118" s="66">
        <f>IF(Data!$AC114="","",YEAR(Data!$AC114))</f>
        <v>1970</v>
      </c>
      <c r="Z118" s="66">
        <f>IF(Data!$AC114="","",MONTH(Data!$AC114))</f>
        <v>1</v>
      </c>
      <c r="AA118" s="31"/>
      <c r="AB118" s="8"/>
      <c r="AC118" s="626"/>
      <c r="AD118" s="9"/>
      <c r="AE118" s="31"/>
      <c r="AF118" s="562"/>
      <c r="AG118" s="3"/>
      <c r="AH118" s="579"/>
      <c r="AI118" s="598">
        <v>1</v>
      </c>
      <c r="AJ118" s="599" t="s">
        <v>967</v>
      </c>
      <c r="AK118" s="579"/>
      <c r="AL118" s="3"/>
      <c r="AM118" s="579"/>
      <c r="AN118" s="591"/>
      <c r="AO118" s="579"/>
      <c r="AP118" s="599" t="s">
        <v>968</v>
      </c>
      <c r="AQ118" s="579"/>
      <c r="AR118" s="600"/>
      <c r="AS118" s="579"/>
      <c r="AT118" s="601"/>
      <c r="AU118" s="601"/>
      <c r="AV118" s="576"/>
      <c r="AW118" s="577"/>
      <c r="AX118" s="8"/>
      <c r="AY118" s="3"/>
      <c r="AZ118" s="3"/>
      <c r="BA118" s="8"/>
    </row>
    <row r="119" spans="1:53" ht="15" customHeight="1" x14ac:dyDescent="0.3">
      <c r="A119" s="603">
        <v>25569.042183113426</v>
      </c>
      <c r="B119" s="558" t="str">
        <f>IFERROR(INDEX(Tabelle2[BU],MATCH(tbl_DCFC[[#This Row], [Categorie]],CAT,0)),"")</f>
        <v>SER</v>
      </c>
      <c r="C119" s="604" t="str">
        <f t="shared" si="11"/>
        <v>S01</v>
      </c>
      <c r="D119" s="603">
        <v>25569.042183263889</v>
      </c>
      <c r="E119" s="588">
        <v>4755</v>
      </c>
      <c r="F119" s="591" t="s">
        <v>641</v>
      </c>
      <c r="G119" s="591" t="s">
        <v>862</v>
      </c>
      <c r="H119" s="591"/>
      <c r="I119" s="588">
        <v>825</v>
      </c>
      <c r="J119" s="591" t="s">
        <v>280</v>
      </c>
      <c r="K119" s="591" t="s">
        <v>548</v>
      </c>
      <c r="L119" s="605" t="s">
        <v>642</v>
      </c>
      <c r="M119" s="579"/>
      <c r="N119" s="66" t="str">
        <f t="shared" si="14"/>
        <v/>
      </c>
      <c r="O119" s="66">
        <f>IF(Data!$Q115="","",YEAR(Data!$Q115))</f>
        <v>1970</v>
      </c>
      <c r="P119" s="66">
        <f>IF(Data!$Q115="","",MONTH(Data!$Q115))</f>
        <v>1</v>
      </c>
      <c r="Q119" s="626"/>
      <c r="R119" s="3"/>
      <c r="S119" s="8"/>
      <c r="T119" s="3"/>
      <c r="U119" s="3"/>
      <c r="V119" s="579"/>
      <c r="W119" s="31"/>
      <c r="X119" s="66" t="str">
        <f t="shared" si="13"/>
        <v/>
      </c>
      <c r="Y119" s="66">
        <f>IF(Data!$AC115="","",YEAR(Data!$AC115))</f>
        <v>1970</v>
      </c>
      <c r="Z119" s="66">
        <f>IF(Data!$AC115="","",MONTH(Data!$AC115))</f>
        <v>1</v>
      </c>
      <c r="AA119" s="31"/>
      <c r="AB119" s="8"/>
      <c r="AC119" s="626"/>
      <c r="AD119" s="9"/>
      <c r="AE119" s="31"/>
      <c r="AF119" s="562"/>
      <c r="AG119" s="3"/>
      <c r="AH119" s="579"/>
      <c r="AI119" s="598">
        <v>1</v>
      </c>
      <c r="AJ119" s="599" t="s">
        <v>969</v>
      </c>
      <c r="AK119" s="579"/>
      <c r="AL119" s="3"/>
      <c r="AM119" s="579"/>
      <c r="AN119" s="591"/>
      <c r="AO119" s="579"/>
      <c r="AP119" s="599" t="s">
        <v>970</v>
      </c>
      <c r="AQ119" s="579"/>
      <c r="AR119" s="600"/>
      <c r="AS119" s="579"/>
      <c r="AT119" s="601"/>
      <c r="AU119" s="601"/>
      <c r="AV119" s="576" t="str">
        <f>IF(AT119="","",S119-AT119-AU119)</f>
        <v/>
      </c>
      <c r="AW119" s="577" t="str">
        <f>IFERROR(IF(tbl_DCFC[[#This Row], [F Montant HT]]="","",tbl_DCFC[[#This Row], [Marge]]/tbl_DCFC[[#This Row], [F Montant HT]]),"")</f>
        <v/>
      </c>
      <c r="AX119" s="8"/>
      <c r="AY119" s="3"/>
      <c r="AZ119" s="3"/>
      <c r="BA119" s="8"/>
    </row>
    <row r="120" spans="1:53" ht="15" customHeight="1" x14ac:dyDescent="0.3">
      <c r="A120" s="603">
        <v>25569.042183113426</v>
      </c>
      <c r="B120" s="558" t="str">
        <f>IFERROR(INDEX(Tabelle2[BU],MATCH(tbl_DCFC[[#This Row], [Categorie]],CAT,0)),"")</f>
        <v>SER</v>
      </c>
      <c r="C120" s="604" t="str">
        <f t="shared" si="11"/>
        <v>S01</v>
      </c>
      <c r="D120" s="603">
        <v>25569.042183263889</v>
      </c>
      <c r="E120" s="588">
        <v>4756</v>
      </c>
      <c r="F120" s="591" t="s">
        <v>641</v>
      </c>
      <c r="G120" s="591" t="s">
        <v>862</v>
      </c>
      <c r="H120" s="591"/>
      <c r="I120" s="588">
        <v>1495</v>
      </c>
      <c r="J120" s="591" t="s">
        <v>280</v>
      </c>
      <c r="K120" s="591" t="s">
        <v>548</v>
      </c>
      <c r="L120" s="605" t="s">
        <v>642</v>
      </c>
      <c r="M120" s="579"/>
      <c r="N120" s="66" t="str">
        <f t="shared" si="14"/>
        <v/>
      </c>
      <c r="O120" s="66">
        <f>IF(Data!$Q116="","",YEAR(Data!$Q116))</f>
        <v>1970</v>
      </c>
      <c r="P120" s="66">
        <f>IF(Data!$Q116="","",MONTH(Data!$Q116))</f>
        <v>1</v>
      </c>
      <c r="Q120" s="626"/>
      <c r="R120" s="3"/>
      <c r="S120" s="8"/>
      <c r="T120" s="3"/>
      <c r="U120" s="3"/>
      <c r="V120" s="579"/>
      <c r="W120" s="31"/>
      <c r="X120" s="66" t="str">
        <f t="shared" si="13"/>
        <v/>
      </c>
      <c r="Y120" s="66" t="str">
        <f>IF(Data!$AC116="","",YEAR(Data!$AC116))</f>
        <v/>
      </c>
      <c r="Z120" s="66" t="str">
        <f>IF(Data!$AC116="","",MONTH(Data!$AC116))</f>
        <v/>
      </c>
      <c r="AA120" s="31"/>
      <c r="AB120" s="8"/>
      <c r="AC120" s="626"/>
      <c r="AD120" s="9"/>
      <c r="AE120" s="31"/>
      <c r="AF120" s="562"/>
      <c r="AG120" s="3"/>
      <c r="AH120" s="579"/>
      <c r="AI120" s="598">
        <v>1</v>
      </c>
      <c r="AJ120" s="599" t="s">
        <v>971</v>
      </c>
      <c r="AK120" s="579"/>
      <c r="AL120" s="3"/>
      <c r="AM120" s="579"/>
      <c r="AN120" s="591"/>
      <c r="AO120" s="579"/>
      <c r="AP120" s="599" t="s">
        <v>972</v>
      </c>
      <c r="AQ120" s="579"/>
      <c r="AR120" s="600"/>
      <c r="AS120" s="579"/>
      <c r="AT120" s="601"/>
      <c r="AU120" s="601"/>
      <c r="AV120" s="576"/>
      <c r="AW120" s="577"/>
      <c r="AX120" s="8"/>
      <c r="AY120" s="3"/>
      <c r="AZ120" s="3"/>
      <c r="BA120" s="8"/>
    </row>
    <row r="121" spans="1:53" ht="15" customHeight="1" x14ac:dyDescent="0.3">
      <c r="A121" s="603">
        <v>25569.042183113426</v>
      </c>
      <c r="B121" s="558" t="str">
        <f>IFERROR(INDEX(Tabelle2[BU],MATCH(tbl_DCFC[[#This Row], [Categorie]],CAT,0)),"")</f>
        <v>SER</v>
      </c>
      <c r="C121" s="604" t="str">
        <f t="shared" si="11"/>
        <v>S01</v>
      </c>
      <c r="D121" s="603">
        <v>25569.042183263889</v>
      </c>
      <c r="E121" s="588">
        <v>4757</v>
      </c>
      <c r="F121" s="591" t="s">
        <v>641</v>
      </c>
      <c r="G121" s="591" t="s">
        <v>862</v>
      </c>
      <c r="H121" s="591"/>
      <c r="I121" s="588">
        <v>2750</v>
      </c>
      <c r="J121" s="591" t="s">
        <v>280</v>
      </c>
      <c r="K121" s="591" t="s">
        <v>548</v>
      </c>
      <c r="L121" s="605" t="s">
        <v>642</v>
      </c>
      <c r="M121" s="579"/>
      <c r="N121" s="66" t="str">
        <f t="shared" si="14"/>
        <v/>
      </c>
      <c r="O121" s="66">
        <f>IF(Data!$Q117="","",YEAR(Data!$Q117))</f>
        <v>1970</v>
      </c>
      <c r="P121" s="66">
        <f>IF(Data!$Q117="","",MONTH(Data!$Q117))</f>
        <v>1</v>
      </c>
      <c r="Q121" s="626"/>
      <c r="R121" s="3"/>
      <c r="S121" s="8"/>
      <c r="T121" s="3"/>
      <c r="U121" s="3"/>
      <c r="V121" s="579"/>
      <c r="W121" s="31"/>
      <c r="X121" s="66" t="str">
        <f t="shared" si="13"/>
        <v/>
      </c>
      <c r="Y121" s="66" t="str">
        <f>IF(Data!$AC117="","",YEAR(Data!$AC117))</f>
        <v/>
      </c>
      <c r="Z121" s="66" t="str">
        <f>IF(Data!$AC117="","",MONTH(Data!$AC117))</f>
        <v/>
      </c>
      <c r="AA121" s="31"/>
      <c r="AB121" s="8"/>
      <c r="AC121" s="626"/>
      <c r="AD121" s="9"/>
      <c r="AE121" s="31"/>
      <c r="AF121" s="562"/>
      <c r="AG121" s="3"/>
      <c r="AH121" s="579"/>
      <c r="AI121" s="598">
        <v>1</v>
      </c>
      <c r="AJ121" s="599" t="s">
        <v>973</v>
      </c>
      <c r="AK121" s="579"/>
      <c r="AL121" s="3"/>
      <c r="AM121" s="579"/>
      <c r="AN121" s="591"/>
      <c r="AO121" s="579"/>
      <c r="AP121" s="599" t="s">
        <v>974</v>
      </c>
      <c r="AQ121" s="579"/>
      <c r="AR121" s="600"/>
      <c r="AS121" s="579"/>
      <c r="AT121" s="601"/>
      <c r="AU121" s="601"/>
      <c r="AV121" s="576"/>
      <c r="AW121" s="577"/>
      <c r="AX121" s="8"/>
      <c r="AY121" s="3"/>
      <c r="AZ121" s="3"/>
      <c r="BA121" s="8"/>
    </row>
    <row r="122" spans="1:53" ht="15" customHeight="1" x14ac:dyDescent="0.3">
      <c r="A122" s="603">
        <v>25569.042183263889</v>
      </c>
      <c r="B122" s="558" t="str">
        <f>IFERROR(INDEX(Tabelle2[BU],MATCH(tbl_DCFC[[#This Row], [Categorie]],CAT,0)),"")</f>
        <v>SER</v>
      </c>
      <c r="C122" s="604" t="str">
        <f t="shared" si="11"/>
        <v>S01</v>
      </c>
      <c r="D122" s="603">
        <v>25569.042183263889</v>
      </c>
      <c r="E122" s="588">
        <v>4758</v>
      </c>
      <c r="F122" s="591" t="s">
        <v>641</v>
      </c>
      <c r="G122" s="591" t="s">
        <v>760</v>
      </c>
      <c r="H122" s="591"/>
      <c r="I122" s="588">
        <v>2396</v>
      </c>
      <c r="J122" s="591" t="s">
        <v>281</v>
      </c>
      <c r="K122" s="591" t="s">
        <v>548</v>
      </c>
      <c r="L122" s="605" t="s">
        <v>646</v>
      </c>
      <c r="M122" s="579"/>
      <c r="N122" s="66" t="str">
        <f t="shared" si="14"/>
        <v>S01</v>
      </c>
      <c r="O122" s="66" t="str">
        <f>IF(Data!$Q118="","",YEAR(Data!$Q118))</f>
        <v/>
      </c>
      <c r="P122" s="66" t="str">
        <f>IF(Data!$Q118="","",MONTH(Data!$Q118))</f>
        <v/>
      </c>
      <c r="Q122" s="43">
        <v>25569.042183263889</v>
      </c>
      <c r="R122" s="3" t="s">
        <v>975</v>
      </c>
      <c r="S122" s="9">
        <v>2396</v>
      </c>
      <c r="T122" s="3"/>
      <c r="U122" s="3"/>
      <c r="V122" s="579"/>
      <c r="W122" s="43">
        <v>25569.042183287038</v>
      </c>
      <c r="X122" s="66" t="str">
        <f t="shared" si="13"/>
        <v/>
      </c>
      <c r="Y122" s="66" t="str">
        <f>IF(Data!$AC118="","",YEAR(Data!$AC118))</f>
        <v/>
      </c>
      <c r="Z122" s="66" t="str">
        <f>IF(Data!$AC118="","",MONTH(Data!$AC118))</f>
        <v/>
      </c>
      <c r="AA122" s="31"/>
      <c r="AB122" s="8"/>
      <c r="AC122" s="626"/>
      <c r="AD122" s="9"/>
      <c r="AE122" s="43">
        <v>25569.042183715279</v>
      </c>
      <c r="AF122" s="562"/>
      <c r="AG122" s="3"/>
      <c r="AH122" s="579"/>
      <c r="AI122" s="598">
        <v>1</v>
      </c>
      <c r="AJ122" s="599" t="s">
        <v>976</v>
      </c>
      <c r="AK122" s="579"/>
      <c r="AL122" s="3"/>
      <c r="AM122" s="579"/>
      <c r="AN122" s="591"/>
      <c r="AO122" s="579"/>
      <c r="AP122" s="599" t="s">
        <v>977</v>
      </c>
      <c r="AQ122" s="579"/>
      <c r="AR122" s="600"/>
      <c r="AS122" s="579"/>
      <c r="AT122" s="601"/>
      <c r="AU122" s="601"/>
      <c r="AV122" s="576" t="str">
        <f t="shared" ref="AV122:AV138" si="15">IF(AT122="","",S122-AT122-AU122)</f>
        <v/>
      </c>
      <c r="AW122" s="577" t="str">
        <f>IFERROR(IF(tbl_DCFC[[#This Row], [F Montant HT]]="","",tbl_DCFC[[#This Row], [Marge]]/tbl_DCFC[[#This Row], [F Montant HT]]),"")</f>
        <v/>
      </c>
      <c r="AX122" s="8"/>
      <c r="AY122" s="3"/>
      <c r="AZ122" s="3"/>
      <c r="BA122" s="8"/>
    </row>
    <row r="123" spans="1:53" ht="15" customHeight="1" x14ac:dyDescent="0.3">
      <c r="A123" s="603">
        <v>25569.042183263889</v>
      </c>
      <c r="B123" s="558" t="str">
        <f>IFERROR(INDEX(Tabelle2[BU],MATCH(tbl_DCFC[[#This Row], [Categorie]],CAT,0)),"")</f>
        <v>SER</v>
      </c>
      <c r="C123" s="604" t="str">
        <f t="shared" si="11"/>
        <v>S01</v>
      </c>
      <c r="D123" s="603">
        <v>25569.042183263889</v>
      </c>
      <c r="E123" s="588">
        <v>4759</v>
      </c>
      <c r="F123" s="591" t="s">
        <v>641</v>
      </c>
      <c r="G123" s="591" t="s">
        <v>978</v>
      </c>
      <c r="H123" s="591"/>
      <c r="I123" s="588"/>
      <c r="J123" s="591" t="s">
        <v>280</v>
      </c>
      <c r="K123" s="591" t="s">
        <v>548</v>
      </c>
      <c r="L123" s="605" t="s">
        <v>642</v>
      </c>
      <c r="M123" s="579"/>
      <c r="N123" s="66" t="str">
        <f t="shared" si="14"/>
        <v/>
      </c>
      <c r="O123" s="66" t="str">
        <f>IF(Data!$Q119="","",YEAR(Data!$Q119))</f>
        <v/>
      </c>
      <c r="P123" s="66" t="str">
        <f>IF(Data!$Q119="","",MONTH(Data!$Q119))</f>
        <v/>
      </c>
      <c r="Q123" s="626"/>
      <c r="R123" s="3"/>
      <c r="S123" s="8"/>
      <c r="T123" s="3"/>
      <c r="U123" s="3"/>
      <c r="V123" s="579"/>
      <c r="W123" s="43">
        <v>25569.042183379628</v>
      </c>
      <c r="X123" s="66" t="str">
        <f t="shared" si="13"/>
        <v/>
      </c>
      <c r="Y123" s="66" t="str">
        <f>IF(Data!$AC119="","",YEAR(Data!$AC119))</f>
        <v/>
      </c>
      <c r="Z123" s="66" t="str">
        <f>IF(Data!$AC119="","",MONTH(Data!$AC119))</f>
        <v/>
      </c>
      <c r="AA123" s="31"/>
      <c r="AB123" s="8"/>
      <c r="AC123" s="626"/>
      <c r="AD123" s="9"/>
      <c r="AE123" s="31"/>
      <c r="AF123" s="562"/>
      <c r="AG123" s="3"/>
      <c r="AH123" s="579"/>
      <c r="AI123" s="598">
        <v>2</v>
      </c>
      <c r="AJ123" s="599" t="s">
        <v>979</v>
      </c>
      <c r="AK123" s="579"/>
      <c r="AL123" s="3"/>
      <c r="AM123" s="579"/>
      <c r="AN123" s="591"/>
      <c r="AO123" s="579"/>
      <c r="AP123" s="599" t="s">
        <v>980</v>
      </c>
      <c r="AQ123" s="579"/>
      <c r="AR123" s="600"/>
      <c r="AS123" s="579"/>
      <c r="AT123" s="601"/>
      <c r="AU123" s="601"/>
      <c r="AV123" s="576" t="str">
        <f t="shared" si="15"/>
        <v/>
      </c>
      <c r="AW123" s="577" t="str">
        <f>IFERROR(IF(tbl_DCFC[[#This Row], [F Montant HT]]="","",tbl_DCFC[[#This Row], [Marge]]/tbl_DCFC[[#This Row], [F Montant HT]]),"")</f>
        <v/>
      </c>
      <c r="AX123" s="8"/>
      <c r="AY123" s="3"/>
      <c r="AZ123" s="3"/>
      <c r="BA123" s="8"/>
    </row>
    <row r="124" spans="1:53" ht="15" customHeight="1" x14ac:dyDescent="0.3">
      <c r="A124" s="603">
        <v>25569.042183287038</v>
      </c>
      <c r="B124" s="558" t="str">
        <f>IFERROR(INDEX(Tabelle2[BU],MATCH(tbl_DCFC[[#This Row], [Categorie]],CAT,0)),"")</f>
        <v>SER</v>
      </c>
      <c r="C124" s="604" t="str">
        <f t="shared" ref="C124:C137" si="16">IF(D124&lt;&gt;"","S"&amp;TEXT(WEEKNUM(D124,21),"00"),"")</f>
        <v>S01</v>
      </c>
      <c r="D124" s="603">
        <v>25569.042183287038</v>
      </c>
      <c r="E124" s="588">
        <v>4760</v>
      </c>
      <c r="F124" s="591" t="s">
        <v>641</v>
      </c>
      <c r="G124" s="591" t="s">
        <v>981</v>
      </c>
      <c r="H124" s="591"/>
      <c r="I124" s="588"/>
      <c r="J124" s="591"/>
      <c r="K124" s="591" t="s">
        <v>548</v>
      </c>
      <c r="L124" s="605" t="s">
        <v>774</v>
      </c>
      <c r="M124" s="579"/>
      <c r="N124" s="66" t="str">
        <f t="shared" si="14"/>
        <v/>
      </c>
      <c r="O124" s="66" t="e">
        <f>IF(Data!#REF!="","",YEAR(Data!#REF!))</f>
        <v>#REF!</v>
      </c>
      <c r="P124" s="66" t="e">
        <f>IF(Data!#REF!="","",MONTH(Data!#REF!))</f>
        <v>#REF!</v>
      </c>
      <c r="Q124" s="626"/>
      <c r="R124" s="3"/>
      <c r="S124" s="8"/>
      <c r="T124" s="3"/>
      <c r="U124" s="3"/>
      <c r="V124" s="579"/>
      <c r="W124" s="31"/>
      <c r="X124" s="66" t="str">
        <f t="shared" si="13"/>
        <v/>
      </c>
      <c r="Y124" s="66" t="e">
        <f>IF(Data!#REF!="","",YEAR(Data!#REF!))</f>
        <v>#REF!</v>
      </c>
      <c r="Z124" s="66" t="e">
        <f>IF(Data!#REF!="","",MONTH(Data!#REF!))</f>
        <v>#REF!</v>
      </c>
      <c r="AA124" s="31"/>
      <c r="AB124" s="8"/>
      <c r="AC124" s="626"/>
      <c r="AD124" s="9"/>
      <c r="AE124" s="31"/>
      <c r="AF124" s="562"/>
      <c r="AG124" s="3"/>
      <c r="AH124" s="579"/>
      <c r="AI124" s="598">
        <v>1</v>
      </c>
      <c r="AJ124" s="599" t="s">
        <v>982</v>
      </c>
      <c r="AK124" s="579"/>
      <c r="AL124" s="3"/>
      <c r="AM124" s="579"/>
      <c r="AN124" s="591"/>
      <c r="AO124" s="579"/>
      <c r="AP124" s="599" t="s">
        <v>983</v>
      </c>
      <c r="AQ124" s="579"/>
      <c r="AR124" s="600"/>
      <c r="AS124" s="579"/>
      <c r="AT124" s="601"/>
      <c r="AU124" s="601"/>
      <c r="AV124" s="576" t="str">
        <f t="shared" si="15"/>
        <v/>
      </c>
      <c r="AW124" s="577" t="str">
        <f>IFERROR(IF(tbl_DCFC[[#This Row], [F Montant HT]]="","",tbl_DCFC[[#This Row], [Marge]]/tbl_DCFC[[#This Row], [F Montant HT]]),"")</f>
        <v/>
      </c>
      <c r="AX124" s="8"/>
      <c r="AY124" s="3"/>
      <c r="AZ124" s="3"/>
      <c r="BA124" s="8"/>
    </row>
    <row r="125" spans="1:53" ht="15" customHeight="1" x14ac:dyDescent="0.3">
      <c r="A125" s="603">
        <v>25569.042183425925</v>
      </c>
      <c r="B125" s="558" t="str">
        <f>IFERROR(INDEX(Tabelle2[BU],MATCH(tbl_DCFC[[#This Row], [Categorie]],CAT,0)),"")</f>
        <v>TOO</v>
      </c>
      <c r="C125" s="604" t="str">
        <f t="shared" si="16"/>
        <v>S01</v>
      </c>
      <c r="D125" s="603">
        <v>25569.042183425925</v>
      </c>
      <c r="E125" s="588">
        <v>4761</v>
      </c>
      <c r="F125" s="591" t="s">
        <v>641</v>
      </c>
      <c r="G125" s="591" t="s">
        <v>645</v>
      </c>
      <c r="H125" s="591"/>
      <c r="I125" s="588"/>
      <c r="J125" s="591"/>
      <c r="K125" s="591" t="s">
        <v>550</v>
      </c>
      <c r="L125" s="605" t="s">
        <v>774</v>
      </c>
      <c r="M125" s="579"/>
      <c r="N125" s="66" t="str">
        <f t="shared" si="14"/>
        <v/>
      </c>
      <c r="O125" s="66" t="e">
        <f>IF(Data!#REF!="","",YEAR(Data!#REF!))</f>
        <v>#REF!</v>
      </c>
      <c r="P125" s="66" t="e">
        <f>IF(Data!#REF!="","",MONTH(Data!#REF!))</f>
        <v>#REF!</v>
      </c>
      <c r="Q125" s="626"/>
      <c r="R125" s="3"/>
      <c r="S125" s="8"/>
      <c r="T125" s="3"/>
      <c r="U125" s="3"/>
      <c r="V125" s="579"/>
      <c r="W125" s="31"/>
      <c r="X125" s="66" t="str">
        <f t="shared" si="13"/>
        <v/>
      </c>
      <c r="Y125" s="66" t="e">
        <f>IF(Data!#REF!="","",YEAR(Data!#REF!))</f>
        <v>#REF!</v>
      </c>
      <c r="Z125" s="66" t="e">
        <f>IF(Data!#REF!="","",MONTH(Data!#REF!))</f>
        <v>#REF!</v>
      </c>
      <c r="AA125" s="31"/>
      <c r="AB125" s="8"/>
      <c r="AC125" s="626"/>
      <c r="AD125" s="9"/>
      <c r="AE125" s="31"/>
      <c r="AF125" s="562"/>
      <c r="AG125" s="3"/>
      <c r="AH125" s="579"/>
      <c r="AI125" s="598">
        <v>1</v>
      </c>
      <c r="AJ125" s="599" t="s">
        <v>984</v>
      </c>
      <c r="AK125" s="579"/>
      <c r="AL125" s="3"/>
      <c r="AM125" s="579"/>
      <c r="AN125" s="591"/>
      <c r="AO125" s="579"/>
      <c r="AP125" s="599" t="s">
        <v>985</v>
      </c>
      <c r="AQ125" s="579"/>
      <c r="AR125" s="600"/>
      <c r="AS125" s="579"/>
      <c r="AT125" s="601"/>
      <c r="AU125" s="601"/>
      <c r="AV125" s="576" t="str">
        <f t="shared" si="15"/>
        <v/>
      </c>
      <c r="AW125" s="577" t="str">
        <f>IFERROR(IF(tbl_DCFC[[#This Row], [F Montant HT]]="","",tbl_DCFC[[#This Row], [Marge]]/tbl_DCFC[[#This Row], [F Montant HT]]),"")</f>
        <v/>
      </c>
      <c r="AX125" s="8"/>
      <c r="AY125" s="3"/>
      <c r="AZ125" s="3"/>
      <c r="BA125" s="8"/>
    </row>
    <row r="126" spans="1:53" ht="15" customHeight="1" x14ac:dyDescent="0.3">
      <c r="A126" s="603">
        <v>25569.042183530091</v>
      </c>
      <c r="B126" s="558" t="str">
        <f>IFERROR(INDEX(Tabelle2[BU],MATCH(tbl_DCFC[[#This Row], [Categorie]],CAT,0)),"")</f>
        <v>SER</v>
      </c>
      <c r="C126" s="604" t="str">
        <f t="shared" si="16"/>
        <v>S01</v>
      </c>
      <c r="D126" s="603">
        <v>25569.042183530091</v>
      </c>
      <c r="E126" s="588">
        <v>4762</v>
      </c>
      <c r="F126" s="591" t="s">
        <v>641</v>
      </c>
      <c r="G126" s="591" t="s">
        <v>862</v>
      </c>
      <c r="H126" s="591"/>
      <c r="I126" s="588"/>
      <c r="J126" s="591"/>
      <c r="K126" s="591" t="s">
        <v>548</v>
      </c>
      <c r="L126" s="605" t="s">
        <v>774</v>
      </c>
      <c r="M126" s="579"/>
      <c r="N126" s="66" t="str">
        <f t="shared" si="14"/>
        <v/>
      </c>
      <c r="O126" s="66" t="e">
        <f>IF(Data!#REF!="","",YEAR(Data!#REF!))</f>
        <v>#REF!</v>
      </c>
      <c r="P126" s="66" t="e">
        <f>IF(Data!#REF!="","",MONTH(Data!#REF!))</f>
        <v>#REF!</v>
      </c>
      <c r="Q126" s="626"/>
      <c r="R126" s="3"/>
      <c r="S126" s="8"/>
      <c r="T126" s="3"/>
      <c r="U126" s="3"/>
      <c r="V126" s="579"/>
      <c r="W126" s="31"/>
      <c r="X126" s="66" t="str">
        <f t="shared" si="13"/>
        <v/>
      </c>
      <c r="Y126" s="66" t="e">
        <f>IF(Data!#REF!="","",YEAR(Data!#REF!))</f>
        <v>#REF!</v>
      </c>
      <c r="Z126" s="66" t="e">
        <f>IF(Data!#REF!="","",MONTH(Data!#REF!))</f>
        <v>#REF!</v>
      </c>
      <c r="AA126" s="31"/>
      <c r="AB126" s="8"/>
      <c r="AC126" s="626"/>
      <c r="AD126" s="9"/>
      <c r="AE126" s="31"/>
      <c r="AF126" s="562"/>
      <c r="AG126" s="3"/>
      <c r="AH126" s="579"/>
      <c r="AI126" s="598">
        <v>1</v>
      </c>
      <c r="AJ126" s="599" t="s">
        <v>986</v>
      </c>
      <c r="AK126" s="579"/>
      <c r="AL126" s="3"/>
      <c r="AM126" s="579"/>
      <c r="AN126" s="591"/>
      <c r="AO126" s="579"/>
      <c r="AP126" s="599" t="s">
        <v>987</v>
      </c>
      <c r="AQ126" s="579"/>
      <c r="AR126" s="600"/>
      <c r="AS126" s="579"/>
      <c r="AT126" s="601"/>
      <c r="AU126" s="601"/>
      <c r="AV126" s="576" t="str">
        <f t="shared" si="15"/>
        <v/>
      </c>
      <c r="AW126" s="577" t="str">
        <f>IFERROR(IF(tbl_DCFC[[#This Row], [F Montant HT]]="","",tbl_DCFC[[#This Row], [Marge]]/tbl_DCFC[[#This Row], [F Montant HT]]),"")</f>
        <v/>
      </c>
      <c r="AX126" s="8"/>
      <c r="AY126" s="3"/>
      <c r="AZ126" s="3"/>
      <c r="BA126" s="8"/>
    </row>
    <row r="127" spans="1:53" ht="15" customHeight="1" x14ac:dyDescent="0.3">
      <c r="A127" s="603">
        <v>25569.042183437501</v>
      </c>
      <c r="B127" s="558" t="str">
        <f>IFERROR(INDEX(Tabelle2[BU],MATCH(tbl_DCFC[[#This Row], [Categorie]],CAT,0)),"")</f>
        <v>SER</v>
      </c>
      <c r="C127" s="604" t="str">
        <f t="shared" si="16"/>
        <v>S01</v>
      </c>
      <c r="D127" s="603">
        <v>25569.042183437501</v>
      </c>
      <c r="E127" s="588">
        <v>4763</v>
      </c>
      <c r="F127" s="591" t="s">
        <v>641</v>
      </c>
      <c r="G127" s="591" t="s">
        <v>862</v>
      </c>
      <c r="H127" s="591"/>
      <c r="I127" s="588"/>
      <c r="J127" s="591"/>
      <c r="K127" s="591" t="s">
        <v>548</v>
      </c>
      <c r="L127" s="605" t="s">
        <v>774</v>
      </c>
      <c r="M127" s="579"/>
      <c r="N127" s="66" t="str">
        <f t="shared" si="14"/>
        <v/>
      </c>
      <c r="O127" s="66" t="e">
        <f>IF(Data!#REF!="","",YEAR(Data!#REF!))</f>
        <v>#REF!</v>
      </c>
      <c r="P127" s="66" t="e">
        <f>IF(Data!#REF!="","",MONTH(Data!#REF!))</f>
        <v>#REF!</v>
      </c>
      <c r="Q127" s="626"/>
      <c r="R127" s="3"/>
      <c r="S127" s="8"/>
      <c r="T127" s="3"/>
      <c r="U127" s="3"/>
      <c r="V127" s="579"/>
      <c r="W127" s="31"/>
      <c r="X127" s="66" t="str">
        <f t="shared" si="13"/>
        <v/>
      </c>
      <c r="Y127" s="66" t="e">
        <f>IF(Data!#REF!="","",YEAR(Data!#REF!))</f>
        <v>#REF!</v>
      </c>
      <c r="Z127" s="66" t="e">
        <f>IF(Data!#REF!="","",MONTH(Data!#REF!))</f>
        <v>#REF!</v>
      </c>
      <c r="AA127" s="31"/>
      <c r="AB127" s="8"/>
      <c r="AC127" s="626"/>
      <c r="AD127" s="9"/>
      <c r="AE127" s="31"/>
      <c r="AF127" s="562"/>
      <c r="AG127" s="3"/>
      <c r="AH127" s="579"/>
      <c r="AI127" s="598">
        <v>1</v>
      </c>
      <c r="AJ127" s="599" t="s">
        <v>988</v>
      </c>
      <c r="AK127" s="579"/>
      <c r="AL127" s="3"/>
      <c r="AM127" s="579"/>
      <c r="AN127" s="591"/>
      <c r="AO127" s="579"/>
      <c r="AP127" s="599" t="s">
        <v>989</v>
      </c>
      <c r="AQ127" s="579"/>
      <c r="AR127" s="600"/>
      <c r="AS127" s="579"/>
      <c r="AT127" s="601"/>
      <c r="AU127" s="601"/>
      <c r="AV127" s="576" t="str">
        <f t="shared" si="15"/>
        <v/>
      </c>
      <c r="AW127" s="577" t="str">
        <f>IFERROR(IF(tbl_DCFC[[#This Row], [F Montant HT]]="","",tbl_DCFC[[#This Row], [Marge]]/tbl_DCFC[[#This Row], [F Montant HT]]),"")</f>
        <v/>
      </c>
      <c r="AX127" s="8"/>
      <c r="AY127" s="3"/>
      <c r="AZ127" s="3"/>
      <c r="BA127" s="8"/>
    </row>
    <row r="128" spans="1:53" ht="15" customHeight="1" x14ac:dyDescent="0.3">
      <c r="A128" s="603">
        <v>25569.042183437501</v>
      </c>
      <c r="B128" s="558" t="str">
        <f>IFERROR(INDEX(Tabelle2[BU],MATCH(tbl_DCFC[[#This Row], [Categorie]],CAT,0)),"")</f>
        <v>SER</v>
      </c>
      <c r="C128" s="604" t="str">
        <f t="shared" si="16"/>
        <v>S01</v>
      </c>
      <c r="D128" s="603">
        <v>25569.042183437501</v>
      </c>
      <c r="E128" s="588">
        <v>4764</v>
      </c>
      <c r="F128" s="591" t="s">
        <v>641</v>
      </c>
      <c r="G128" s="591" t="s">
        <v>336</v>
      </c>
      <c r="H128" s="591"/>
      <c r="I128" s="588">
        <v>3180</v>
      </c>
      <c r="J128" s="591" t="s">
        <v>281</v>
      </c>
      <c r="K128" s="591" t="s">
        <v>544</v>
      </c>
      <c r="L128" s="605" t="s">
        <v>646</v>
      </c>
      <c r="M128" s="579"/>
      <c r="N128" s="66" t="str">
        <f t="shared" si="14"/>
        <v>S01</v>
      </c>
      <c r="O128" s="66" t="str">
        <f>IF(Data!$Q126="","",YEAR(Data!$Q126))</f>
        <v/>
      </c>
      <c r="P128" s="66" t="str">
        <f>IF(Data!$Q126="","",MONTH(Data!$Q126))</f>
        <v/>
      </c>
      <c r="Q128" s="43">
        <v>25569.04218355324</v>
      </c>
      <c r="R128" s="3" t="s">
        <v>990</v>
      </c>
      <c r="S128" s="9">
        <v>3180</v>
      </c>
      <c r="T128" s="3"/>
      <c r="U128" s="3"/>
      <c r="V128" s="579"/>
      <c r="W128" s="31"/>
      <c r="X128" s="66" t="str">
        <f t="shared" si="13"/>
        <v/>
      </c>
      <c r="Y128" s="66" t="str">
        <f>IF(Data!$AC126="","",YEAR(Data!$AC126))</f>
        <v/>
      </c>
      <c r="Z128" s="66" t="str">
        <f>IF(Data!$AC126="","",MONTH(Data!$AC126))</f>
        <v/>
      </c>
      <c r="AA128" s="31"/>
      <c r="AB128" s="8"/>
      <c r="AC128" s="626"/>
      <c r="AD128" s="9"/>
      <c r="AE128" s="43">
        <v>25569.042184340276</v>
      </c>
      <c r="AF128" s="562"/>
      <c r="AG128" s="3"/>
      <c r="AH128" s="579"/>
      <c r="AI128" s="598">
        <v>6</v>
      </c>
      <c r="AJ128" s="599" t="s">
        <v>745</v>
      </c>
      <c r="AK128" s="579"/>
      <c r="AL128" s="3" t="s">
        <v>991</v>
      </c>
      <c r="AM128" s="579"/>
      <c r="AN128" s="591"/>
      <c r="AO128" s="579"/>
      <c r="AP128" s="599" t="s">
        <v>992</v>
      </c>
      <c r="AQ128" s="579"/>
      <c r="AR128" s="600"/>
      <c r="AS128" s="579"/>
      <c r="AT128" s="601"/>
      <c r="AU128" s="601"/>
      <c r="AV128" s="576" t="str">
        <f t="shared" si="15"/>
        <v/>
      </c>
      <c r="AW128" s="577" t="str">
        <f>IFERROR(IF(tbl_DCFC[[#This Row], [F Montant HT]]="","",tbl_DCFC[[#This Row], [Marge]]/tbl_DCFC[[#This Row], [F Montant HT]]),"")</f>
        <v/>
      </c>
      <c r="AX128" s="8"/>
      <c r="AY128" s="3"/>
      <c r="AZ128" s="3"/>
      <c r="BA128" s="8"/>
    </row>
    <row r="129" spans="1:53" ht="15" customHeight="1" x14ac:dyDescent="0.3">
      <c r="A129" s="603">
        <v>25569.042183437501</v>
      </c>
      <c r="B129" s="558" t="str">
        <f>IFERROR(INDEX(Tabelle2[BU],MATCH(tbl_DCFC[[#This Row], [Categorie]],CAT,0)),"")</f>
        <v>SER</v>
      </c>
      <c r="C129" s="604" t="str">
        <f t="shared" si="16"/>
        <v>S01</v>
      </c>
      <c r="D129" s="603">
        <v>25569.042183437501</v>
      </c>
      <c r="E129" s="588">
        <v>4765</v>
      </c>
      <c r="F129" s="591" t="s">
        <v>641</v>
      </c>
      <c r="G129" s="591" t="s">
        <v>336</v>
      </c>
      <c r="H129" s="591"/>
      <c r="I129" s="588"/>
      <c r="J129" s="591" t="s">
        <v>281</v>
      </c>
      <c r="K129" s="591" t="s">
        <v>544</v>
      </c>
      <c r="L129" s="605" t="s">
        <v>774</v>
      </c>
      <c r="M129" s="579"/>
      <c r="N129" s="66" t="str">
        <f t="shared" si="14"/>
        <v/>
      </c>
      <c r="O129" s="66" t="str">
        <f>IF(Data!$Q127="","",YEAR(Data!$Q127))</f>
        <v/>
      </c>
      <c r="P129" s="66" t="str">
        <f>IF(Data!$Q127="","",MONTH(Data!$Q127))</f>
        <v/>
      </c>
      <c r="Q129" s="626"/>
      <c r="R129" s="3"/>
      <c r="S129" s="8"/>
      <c r="T129" s="3"/>
      <c r="U129" s="3"/>
      <c r="V129" s="579"/>
      <c r="W129" s="31"/>
      <c r="X129" s="66" t="str">
        <f t="shared" si="13"/>
        <v/>
      </c>
      <c r="Y129" s="66" t="str">
        <f>IF(Data!$AC127="","",YEAR(Data!$AC127))</f>
        <v/>
      </c>
      <c r="Z129" s="66" t="str">
        <f>IF(Data!$AC127="","",MONTH(Data!$AC127))</f>
        <v/>
      </c>
      <c r="AA129" s="31"/>
      <c r="AB129" s="8"/>
      <c r="AC129" s="626"/>
      <c r="AD129" s="9"/>
      <c r="AE129" s="31"/>
      <c r="AF129" s="562"/>
      <c r="AG129" s="3"/>
      <c r="AH129" s="579"/>
      <c r="AI129" s="598">
        <v>6</v>
      </c>
      <c r="AJ129" s="599" t="s">
        <v>750</v>
      </c>
      <c r="AK129" s="579"/>
      <c r="AL129" s="3" t="s">
        <v>993</v>
      </c>
      <c r="AM129" s="579"/>
      <c r="AN129" s="591"/>
      <c r="AO129" s="579"/>
      <c r="AP129" s="599" t="s">
        <v>994</v>
      </c>
      <c r="AQ129" s="579"/>
      <c r="AR129" s="600"/>
      <c r="AS129" s="579"/>
      <c r="AT129" s="601"/>
      <c r="AU129" s="601"/>
      <c r="AV129" s="576" t="str">
        <f t="shared" si="15"/>
        <v/>
      </c>
      <c r="AW129" s="577" t="str">
        <f>IFERROR(IF(tbl_DCFC[[#This Row], [F Montant HT]]="","",tbl_DCFC[[#This Row], [Marge]]/tbl_DCFC[[#This Row], [F Montant HT]]),"")</f>
        <v/>
      </c>
      <c r="AX129" s="8"/>
      <c r="AY129" s="3"/>
      <c r="AZ129" s="3"/>
      <c r="BA129" s="8"/>
    </row>
    <row r="130" spans="1:53" ht="15" customHeight="1" x14ac:dyDescent="0.3">
      <c r="A130" s="603">
        <v>25569.042183437501</v>
      </c>
      <c r="B130" s="558" t="str">
        <f>IFERROR(INDEX(Tabelle2[BU],MATCH(tbl_DCFC[[#This Row], [Categorie]],CAT,0)),"")</f>
        <v>SER</v>
      </c>
      <c r="C130" s="604" t="str">
        <f t="shared" si="16"/>
        <v>S01</v>
      </c>
      <c r="D130" s="603">
        <v>25569.042183437501</v>
      </c>
      <c r="E130" s="588">
        <v>4766</v>
      </c>
      <c r="F130" s="591" t="s">
        <v>641</v>
      </c>
      <c r="G130" s="591" t="s">
        <v>995</v>
      </c>
      <c r="H130" s="591"/>
      <c r="I130" s="588"/>
      <c r="J130" s="591"/>
      <c r="K130" s="591" t="s">
        <v>548</v>
      </c>
      <c r="L130" s="605" t="s">
        <v>774</v>
      </c>
      <c r="M130" s="579"/>
      <c r="N130" s="66" t="str">
        <f t="shared" si="14"/>
        <v/>
      </c>
      <c r="O130" s="66" t="str">
        <f>IF(Data!$Q134="","",YEAR(Data!$Q134))</f>
        <v/>
      </c>
      <c r="P130" s="66" t="str">
        <f>IF(Data!$Q134="","",MONTH(Data!$Q134))</f>
        <v/>
      </c>
      <c r="Q130" s="626"/>
      <c r="R130" s="3"/>
      <c r="S130" s="8"/>
      <c r="T130" s="3"/>
      <c r="U130" s="3"/>
      <c r="V130" s="579"/>
      <c r="W130" s="31"/>
      <c r="X130" s="66" t="str">
        <f t="shared" si="13"/>
        <v/>
      </c>
      <c r="Y130" s="66" t="str">
        <f>IF(Data!$AC134="","",YEAR(Data!$AC134))</f>
        <v/>
      </c>
      <c r="Z130" s="66" t="str">
        <f>IF(Data!$AC134="","",MONTH(Data!$AC134))</f>
        <v/>
      </c>
      <c r="AA130" s="31"/>
      <c r="AB130" s="8"/>
      <c r="AC130" s="626"/>
      <c r="AD130" s="9"/>
      <c r="AE130" s="31"/>
      <c r="AF130" s="562"/>
      <c r="AG130" s="3"/>
      <c r="AH130" s="579"/>
      <c r="AI130" s="598">
        <v>1</v>
      </c>
      <c r="AJ130" s="599" t="s">
        <v>996</v>
      </c>
      <c r="AK130" s="579"/>
      <c r="AL130" s="3"/>
      <c r="AM130" s="579"/>
      <c r="AN130" s="591"/>
      <c r="AO130" s="579"/>
      <c r="AP130" s="599" t="s">
        <v>997</v>
      </c>
      <c r="AQ130" s="579"/>
      <c r="AR130" s="600"/>
      <c r="AS130" s="579"/>
      <c r="AT130" s="601"/>
      <c r="AU130" s="601"/>
      <c r="AV130" s="576" t="str">
        <f t="shared" si="15"/>
        <v/>
      </c>
      <c r="AW130" s="577" t="str">
        <f>IFERROR(IF(tbl_DCFC[[#This Row], [F Montant HT]]="","",tbl_DCFC[[#This Row], [Marge]]/tbl_DCFC[[#This Row], [F Montant HT]]),"")</f>
        <v/>
      </c>
      <c r="AX130" s="8"/>
      <c r="AY130" s="3"/>
      <c r="AZ130" s="3"/>
      <c r="BA130" s="8"/>
    </row>
    <row r="131" spans="1:53" ht="15" customHeight="1" x14ac:dyDescent="0.3">
      <c r="A131" s="603">
        <v>25569.04218346065</v>
      </c>
      <c r="B131" s="558" t="str">
        <f>IFERROR(INDEX(Tabelle2[BU],MATCH(tbl_DCFC[[#This Row], [Categorie]],CAT,0)),"")</f>
        <v>SER</v>
      </c>
      <c r="C131" s="604" t="str">
        <f t="shared" si="16"/>
        <v>S01</v>
      </c>
      <c r="D131" s="603">
        <v>25569.04218346065</v>
      </c>
      <c r="E131" s="588">
        <v>4767</v>
      </c>
      <c r="F131" s="591" t="s">
        <v>641</v>
      </c>
      <c r="G131" s="591" t="s">
        <v>862</v>
      </c>
      <c r="H131" s="591"/>
      <c r="I131" s="588"/>
      <c r="J131" s="591"/>
      <c r="K131" s="591" t="s">
        <v>548</v>
      </c>
      <c r="L131" s="605" t="s">
        <v>774</v>
      </c>
      <c r="M131" s="579"/>
      <c r="N131" s="66" t="str">
        <f t="shared" si="14"/>
        <v/>
      </c>
      <c r="O131" s="66">
        <f>IF(Data!$Q135="","",YEAR(Data!$Q135))</f>
        <v>1970</v>
      </c>
      <c r="P131" s="66">
        <f>IF(Data!$Q135="","",MONTH(Data!$Q135))</f>
        <v>1</v>
      </c>
      <c r="Q131" s="626"/>
      <c r="R131" s="3"/>
      <c r="S131" s="8"/>
      <c r="T131" s="3"/>
      <c r="U131" s="3"/>
      <c r="V131" s="579"/>
      <c r="W131" s="31"/>
      <c r="X131" s="66" t="str">
        <f t="shared" ref="X131:X149" si="17">IF(AC131&lt;&gt;"","S"&amp;TEXT(WEEKNUM(AC131,21),"00"),"")</f>
        <v/>
      </c>
      <c r="Y131" s="66" t="str">
        <f>IF(Data!$AC135="","",YEAR(Data!$AC135))</f>
        <v/>
      </c>
      <c r="Z131" s="66" t="str">
        <f>IF(Data!$AC135="","",MONTH(Data!$AC135))</f>
        <v/>
      </c>
      <c r="AA131" s="31"/>
      <c r="AB131" s="8"/>
      <c r="AC131" s="626"/>
      <c r="AD131" s="9"/>
      <c r="AE131" s="31"/>
      <c r="AF131" s="562"/>
      <c r="AG131" s="3"/>
      <c r="AH131" s="579"/>
      <c r="AI131" s="598">
        <v>1</v>
      </c>
      <c r="AJ131" s="599" t="s">
        <v>998</v>
      </c>
      <c r="AK131" s="579"/>
      <c r="AL131" s="3"/>
      <c r="AM131" s="579"/>
      <c r="AN131" s="591"/>
      <c r="AO131" s="579"/>
      <c r="AP131" s="599" t="s">
        <v>999</v>
      </c>
      <c r="AQ131" s="579"/>
      <c r="AR131" s="600"/>
      <c r="AS131" s="579"/>
      <c r="AT131" s="601"/>
      <c r="AU131" s="601"/>
      <c r="AV131" s="576" t="str">
        <f t="shared" si="15"/>
        <v/>
      </c>
      <c r="AW131" s="577" t="str">
        <f>IFERROR(IF(tbl_DCFC[[#This Row], [F Montant HT]]="","",tbl_DCFC[[#This Row], [Marge]]/tbl_DCFC[[#This Row], [F Montant HT]]),"")</f>
        <v/>
      </c>
      <c r="AX131" s="8"/>
      <c r="AY131" s="3"/>
      <c r="AZ131" s="3"/>
      <c r="BA131" s="8"/>
    </row>
    <row r="132" spans="1:53" ht="15" customHeight="1" x14ac:dyDescent="0.3">
      <c r="A132" s="603">
        <v>25569.04218346065</v>
      </c>
      <c r="B132" s="558" t="str">
        <f>IFERROR(INDEX(Tabelle2[BU],MATCH(tbl_DCFC[[#This Row], [Categorie]],CAT,0)),"")</f>
        <v>SER</v>
      </c>
      <c r="C132" s="604" t="str">
        <f t="shared" si="16"/>
        <v>S01</v>
      </c>
      <c r="D132" s="603">
        <v>25569.04218346065</v>
      </c>
      <c r="E132" s="588">
        <v>4768</v>
      </c>
      <c r="F132" s="591" t="s">
        <v>641</v>
      </c>
      <c r="G132" s="591" t="s">
        <v>926</v>
      </c>
      <c r="H132" s="591"/>
      <c r="I132" s="588"/>
      <c r="J132" s="591"/>
      <c r="K132" s="591" t="s">
        <v>548</v>
      </c>
      <c r="L132" s="605" t="s">
        <v>774</v>
      </c>
      <c r="M132" s="579"/>
      <c r="N132" s="66" t="str">
        <f t="shared" si="14"/>
        <v/>
      </c>
      <c r="O132" s="66" t="str">
        <f>IF(Data!$Q136="","",YEAR(Data!$Q136))</f>
        <v/>
      </c>
      <c r="P132" s="66" t="str">
        <f>IF(Data!$Q136="","",MONTH(Data!$Q136))</f>
        <v/>
      </c>
      <c r="Q132" s="626"/>
      <c r="R132" s="3"/>
      <c r="S132" s="8"/>
      <c r="T132" s="3"/>
      <c r="U132" s="3"/>
      <c r="V132" s="579"/>
      <c r="W132" s="31"/>
      <c r="X132" s="66" t="str">
        <f t="shared" si="17"/>
        <v/>
      </c>
      <c r="Y132" s="66" t="str">
        <f>IF(Data!$AC136="","",YEAR(Data!$AC136))</f>
        <v/>
      </c>
      <c r="Z132" s="66" t="str">
        <f>IF(Data!$AC136="","",MONTH(Data!$AC136))</f>
        <v/>
      </c>
      <c r="AA132" s="31"/>
      <c r="AB132" s="8"/>
      <c r="AC132" s="626"/>
      <c r="AD132" s="9"/>
      <c r="AE132" s="31"/>
      <c r="AF132" s="562"/>
      <c r="AG132" s="3"/>
      <c r="AH132" s="579"/>
      <c r="AI132" s="598">
        <v>1</v>
      </c>
      <c r="AJ132" s="599" t="s">
        <v>1000</v>
      </c>
      <c r="AK132" s="579"/>
      <c r="AL132" s="3" t="s">
        <v>1001</v>
      </c>
      <c r="AM132" s="579"/>
      <c r="AN132" s="591"/>
      <c r="AO132" s="579"/>
      <c r="AP132" s="599" t="s">
        <v>1002</v>
      </c>
      <c r="AQ132" s="579"/>
      <c r="AR132" s="600"/>
      <c r="AS132" s="579"/>
      <c r="AT132" s="601"/>
      <c r="AU132" s="601"/>
      <c r="AV132" s="576" t="str">
        <f t="shared" si="15"/>
        <v/>
      </c>
      <c r="AW132" s="577" t="str">
        <f>IFERROR(IF(tbl_DCFC[[#This Row], [F Montant HT]]="","",tbl_DCFC[[#This Row], [Marge]]/tbl_DCFC[[#This Row], [F Montant HT]]),"")</f>
        <v/>
      </c>
      <c r="AX132" s="8"/>
      <c r="AY132" s="3"/>
      <c r="AZ132" s="3"/>
      <c r="BA132" s="8"/>
    </row>
    <row r="133" spans="1:53" ht="15" customHeight="1" x14ac:dyDescent="0.3">
      <c r="A133" s="603">
        <v>25569.04218346065</v>
      </c>
      <c r="B133" s="558" t="str">
        <f>IFERROR(INDEX(Tabelle2[BU],MATCH(tbl_DCFC[[#This Row], [Categorie]],CAT,0)),"")</f>
        <v>SER</v>
      </c>
      <c r="C133" s="604" t="str">
        <f t="shared" si="16"/>
        <v>S01</v>
      </c>
      <c r="D133" s="603">
        <v>25569.04218346065</v>
      </c>
      <c r="E133" s="588">
        <v>4769</v>
      </c>
      <c r="F133" s="591" t="s">
        <v>641</v>
      </c>
      <c r="G133" s="591" t="s">
        <v>862</v>
      </c>
      <c r="H133" s="591"/>
      <c r="I133" s="588"/>
      <c r="J133" s="591"/>
      <c r="K133" s="591" t="s">
        <v>548</v>
      </c>
      <c r="L133" s="605" t="s">
        <v>650</v>
      </c>
      <c r="M133" s="579"/>
      <c r="N133" s="66" t="str">
        <f t="shared" si="14"/>
        <v/>
      </c>
      <c r="O133" s="66">
        <f>IF(Data!$Q137="","",YEAR(Data!$Q137))</f>
        <v>1970</v>
      </c>
      <c r="P133" s="66">
        <f>IF(Data!$Q137="","",MONTH(Data!$Q137))</f>
        <v>1</v>
      </c>
      <c r="Q133" s="626"/>
      <c r="R133" s="3"/>
      <c r="S133" s="8"/>
      <c r="T133" s="3"/>
      <c r="U133" s="3"/>
      <c r="V133" s="579"/>
      <c r="W133" s="31"/>
      <c r="X133" s="66" t="str">
        <f t="shared" si="17"/>
        <v/>
      </c>
      <c r="Y133" s="66" t="str">
        <f>IF(Data!$AC137="","",YEAR(Data!$AC137))</f>
        <v/>
      </c>
      <c r="Z133" s="66" t="str">
        <f>IF(Data!$AC137="","",MONTH(Data!$AC137))</f>
        <v/>
      </c>
      <c r="AA133" s="31"/>
      <c r="AB133" s="8"/>
      <c r="AC133" s="626"/>
      <c r="AD133" s="9"/>
      <c r="AE133" s="31"/>
      <c r="AF133" s="562"/>
      <c r="AG133" s="3"/>
      <c r="AH133" s="579"/>
      <c r="AI133" s="598">
        <v>1</v>
      </c>
      <c r="AJ133" s="599" t="s">
        <v>870</v>
      </c>
      <c r="AK133" s="579"/>
      <c r="AL133" s="3" t="s">
        <v>1003</v>
      </c>
      <c r="AM133" s="579"/>
      <c r="AN133" s="591"/>
      <c r="AO133" s="579"/>
      <c r="AP133" s="599" t="s">
        <v>1004</v>
      </c>
      <c r="AQ133" s="579"/>
      <c r="AR133" s="600"/>
      <c r="AS133" s="579"/>
      <c r="AT133" s="601"/>
      <c r="AU133" s="601"/>
      <c r="AV133" s="576" t="str">
        <f t="shared" si="15"/>
        <v/>
      </c>
      <c r="AW133" s="577" t="str">
        <f>IFERROR(IF(tbl_DCFC[[#This Row], [F Montant HT]]="","",tbl_DCFC[[#This Row], [Marge]]/tbl_DCFC[[#This Row], [F Montant HT]]),"")</f>
        <v/>
      </c>
      <c r="AX133" s="8"/>
      <c r="AY133" s="3"/>
      <c r="AZ133" s="3"/>
      <c r="BA133" s="8"/>
    </row>
    <row r="134" spans="1:53" ht="15" customHeight="1" x14ac:dyDescent="0.3">
      <c r="A134" s="603">
        <v>25569.042183587964</v>
      </c>
      <c r="B134" s="558" t="str">
        <f>IFERROR(INDEX(Tabelle2[BU],MATCH(tbl_DCFC[[#This Row], [Categorie]],CAT,0)),"")</f>
        <v>SER</v>
      </c>
      <c r="C134" s="604" t="str">
        <f t="shared" si="16"/>
        <v>S01</v>
      </c>
      <c r="D134" s="603">
        <v>25569.042183587964</v>
      </c>
      <c r="E134" s="588">
        <v>4770</v>
      </c>
      <c r="F134" s="591" t="s">
        <v>641</v>
      </c>
      <c r="G134" s="591" t="s">
        <v>1005</v>
      </c>
      <c r="H134" s="591"/>
      <c r="I134" s="588">
        <v>2475</v>
      </c>
      <c r="J134" s="591"/>
      <c r="K134" s="591" t="s">
        <v>548</v>
      </c>
      <c r="L134" s="605" t="s">
        <v>642</v>
      </c>
      <c r="M134" s="579"/>
      <c r="N134" s="66" t="str">
        <f t="shared" si="14"/>
        <v/>
      </c>
      <c r="O134" s="66" t="e">
        <f>IF(Data!#REF!="","",YEAR(Data!#REF!))</f>
        <v>#REF!</v>
      </c>
      <c r="P134" s="66" t="e">
        <f>IF(Data!#REF!="","",MONTH(Data!#REF!))</f>
        <v>#REF!</v>
      </c>
      <c r="Q134" s="626"/>
      <c r="R134" s="3"/>
      <c r="S134" s="8"/>
      <c r="T134" s="3"/>
      <c r="U134" s="3"/>
      <c r="V134" s="579"/>
      <c r="W134" s="31"/>
      <c r="X134" s="66" t="str">
        <f t="shared" si="17"/>
        <v/>
      </c>
      <c r="Y134" s="66" t="e">
        <f>IF(Data!#REF!="","",YEAR(Data!#REF!))</f>
        <v>#REF!</v>
      </c>
      <c r="Z134" s="66" t="e">
        <f>IF(Data!#REF!="","",MONTH(Data!#REF!))</f>
        <v>#REF!</v>
      </c>
      <c r="AA134" s="31"/>
      <c r="AB134" s="8"/>
      <c r="AC134" s="626"/>
      <c r="AD134" s="9"/>
      <c r="AE134" s="31"/>
      <c r="AF134" s="562"/>
      <c r="AG134" s="3"/>
      <c r="AH134" s="579"/>
      <c r="AI134" s="598">
        <v>1</v>
      </c>
      <c r="AJ134" s="599" t="s">
        <v>1006</v>
      </c>
      <c r="AK134" s="579"/>
      <c r="AL134" s="3"/>
      <c r="AM134" s="579"/>
      <c r="AN134" s="591"/>
      <c r="AO134" s="579"/>
      <c r="AP134" s="599" t="s">
        <v>1007</v>
      </c>
      <c r="AQ134" s="579"/>
      <c r="AR134" s="600"/>
      <c r="AS134" s="579"/>
      <c r="AT134" s="601"/>
      <c r="AU134" s="601"/>
      <c r="AV134" s="576" t="str">
        <f t="shared" si="15"/>
        <v/>
      </c>
      <c r="AW134" s="577" t="str">
        <f>IFERROR(IF(tbl_DCFC[[#This Row], [F Montant HT]]="","",tbl_DCFC[[#This Row], [Marge]]/tbl_DCFC[[#This Row], [F Montant HT]]),"")</f>
        <v/>
      </c>
      <c r="AX134" s="8"/>
      <c r="AY134" s="3"/>
      <c r="AZ134" s="3"/>
      <c r="BA134" s="8"/>
    </row>
    <row r="135" spans="1:53" ht="15" customHeight="1" x14ac:dyDescent="0.3">
      <c r="A135" s="603">
        <v>25569.042183599537</v>
      </c>
      <c r="B135" s="558" t="str">
        <f>IFERROR(INDEX(Tabelle2[BU],MATCH(tbl_DCFC[[#This Row], [Categorie]],CAT,0)),"")</f>
        <v>SER</v>
      </c>
      <c r="C135" s="604" t="str">
        <f t="shared" si="16"/>
        <v>S01</v>
      </c>
      <c r="D135" s="603">
        <v>25569.042183599537</v>
      </c>
      <c r="E135" s="588">
        <v>4771</v>
      </c>
      <c r="F135" s="591" t="s">
        <v>641</v>
      </c>
      <c r="G135" s="591" t="s">
        <v>926</v>
      </c>
      <c r="H135" s="591"/>
      <c r="I135" s="588">
        <v>385</v>
      </c>
      <c r="J135" s="591"/>
      <c r="K135" s="591" t="s">
        <v>548</v>
      </c>
      <c r="L135" s="605" t="s">
        <v>646</v>
      </c>
      <c r="M135" s="579"/>
      <c r="N135" s="66" t="str">
        <f t="shared" si="14"/>
        <v>S01</v>
      </c>
      <c r="O135" s="66" t="e">
        <f>IF(Data!#REF!="","",YEAR(Data!#REF!))</f>
        <v>#REF!</v>
      </c>
      <c r="P135" s="66" t="e">
        <f>IF(Data!#REF!="","",MONTH(Data!#REF!))</f>
        <v>#REF!</v>
      </c>
      <c r="Q135" s="43">
        <v>25569.042183599537</v>
      </c>
      <c r="R135" s="3" t="s">
        <v>1008</v>
      </c>
      <c r="S135" s="9">
        <v>385</v>
      </c>
      <c r="T135" s="3"/>
      <c r="U135" s="3"/>
      <c r="V135" s="579"/>
      <c r="W135" s="43">
        <v>25569.042183599537</v>
      </c>
      <c r="X135" s="66" t="str">
        <f t="shared" si="17"/>
        <v/>
      </c>
      <c r="Y135" s="66" t="e">
        <f>IF(Data!#REF!="","",YEAR(Data!#REF!))</f>
        <v>#REF!</v>
      </c>
      <c r="Z135" s="66" t="e">
        <f>IF(Data!#REF!="","",MONTH(Data!#REF!))</f>
        <v>#REF!</v>
      </c>
      <c r="AA135" s="31"/>
      <c r="AB135" s="8"/>
      <c r="AC135" s="626"/>
      <c r="AD135" s="9"/>
      <c r="AE135" s="43">
        <v>25569.042183796297</v>
      </c>
      <c r="AF135" s="562"/>
      <c r="AG135" s="3"/>
      <c r="AH135" s="579"/>
      <c r="AI135" s="598">
        <v>1</v>
      </c>
      <c r="AJ135" s="599" t="s">
        <v>1006</v>
      </c>
      <c r="AK135" s="579"/>
      <c r="AL135" s="3" t="s">
        <v>1009</v>
      </c>
      <c r="AM135" s="579"/>
      <c r="AN135" s="591"/>
      <c r="AO135" s="579"/>
      <c r="AP135" s="599" t="s">
        <v>1010</v>
      </c>
      <c r="AQ135" s="579"/>
      <c r="AR135" s="600"/>
      <c r="AS135" s="579"/>
      <c r="AT135" s="601"/>
      <c r="AU135" s="601"/>
      <c r="AV135" s="576" t="str">
        <f t="shared" si="15"/>
        <v/>
      </c>
      <c r="AW135" s="577" t="str">
        <f>IFERROR(IF(tbl_DCFC[[#This Row], [F Montant HT]]="","",tbl_DCFC[[#This Row], [Marge]]/tbl_DCFC[[#This Row], [F Montant HT]]),"")</f>
        <v/>
      </c>
      <c r="AX135" s="8"/>
      <c r="AY135" s="3"/>
      <c r="AZ135" s="3"/>
      <c r="BA135" s="8"/>
    </row>
    <row r="136" spans="1:53" ht="15" customHeight="1" x14ac:dyDescent="0.3">
      <c r="A136" s="603">
        <v>25569.042183599537</v>
      </c>
      <c r="B136" s="558" t="str">
        <f>IFERROR(INDEX(Tabelle2[BU],MATCH(tbl_DCFC[[#This Row], [Categorie]],CAT,0)),"")</f>
        <v>SER</v>
      </c>
      <c r="C136" s="604" t="str">
        <f t="shared" si="16"/>
        <v>S01</v>
      </c>
      <c r="D136" s="603">
        <v>25569.042183599537</v>
      </c>
      <c r="E136" s="588">
        <v>4772</v>
      </c>
      <c r="F136" s="591" t="s">
        <v>641</v>
      </c>
      <c r="G136" s="591" t="s">
        <v>645</v>
      </c>
      <c r="H136" s="591"/>
      <c r="I136" s="588"/>
      <c r="J136" s="591"/>
      <c r="K136" s="591" t="s">
        <v>548</v>
      </c>
      <c r="L136" s="605" t="s">
        <v>774</v>
      </c>
      <c r="M136" s="579"/>
      <c r="N136" s="66" t="str">
        <f t="shared" si="14"/>
        <v/>
      </c>
      <c r="O136" s="66" t="e">
        <f>IF(Data!#REF!="","",YEAR(Data!#REF!))</f>
        <v>#REF!</v>
      </c>
      <c r="P136" s="66" t="e">
        <f>IF(Data!#REF!="","",MONTH(Data!#REF!))</f>
        <v>#REF!</v>
      </c>
      <c r="Q136" s="626"/>
      <c r="R136" s="3"/>
      <c r="S136" s="8"/>
      <c r="T136" s="3"/>
      <c r="U136" s="3"/>
      <c r="V136" s="579"/>
      <c r="W136" s="31"/>
      <c r="X136" s="66" t="str">
        <f t="shared" si="17"/>
        <v/>
      </c>
      <c r="Y136" s="66" t="e">
        <f>IF(Data!#REF!="","",YEAR(Data!#REF!))</f>
        <v>#REF!</v>
      </c>
      <c r="Z136" s="66" t="e">
        <f>IF(Data!#REF!="","",MONTH(Data!#REF!))</f>
        <v>#REF!</v>
      </c>
      <c r="AA136" s="31"/>
      <c r="AB136" s="8"/>
      <c r="AC136" s="626"/>
      <c r="AD136" s="9"/>
      <c r="AE136" s="31"/>
      <c r="AF136" s="562"/>
      <c r="AG136" s="3"/>
      <c r="AH136" s="579"/>
      <c r="AI136" s="598">
        <v>1</v>
      </c>
      <c r="AJ136" s="599" t="s">
        <v>1011</v>
      </c>
      <c r="AK136" s="579"/>
      <c r="AL136" s="3"/>
      <c r="AM136" s="579"/>
      <c r="AN136" s="591"/>
      <c r="AO136" s="579"/>
      <c r="AP136" s="599" t="s">
        <v>1012</v>
      </c>
      <c r="AQ136" s="579"/>
      <c r="AR136" s="600"/>
      <c r="AS136" s="579"/>
      <c r="AT136" s="601"/>
      <c r="AU136" s="601"/>
      <c r="AV136" s="576" t="str">
        <f t="shared" si="15"/>
        <v/>
      </c>
      <c r="AW136" s="577" t="str">
        <f>IFERROR(IF(tbl_DCFC[[#This Row], [F Montant HT]]="","",tbl_DCFC[[#This Row], [Marge]]/tbl_DCFC[[#This Row], [F Montant HT]]),"")</f>
        <v/>
      </c>
      <c r="AX136" s="8"/>
      <c r="AY136" s="3"/>
      <c r="AZ136" s="3"/>
      <c r="BA136" s="8"/>
    </row>
    <row r="137" spans="1:53" ht="15" customHeight="1" x14ac:dyDescent="0.3">
      <c r="A137" s="603">
        <v>25569.042183622685</v>
      </c>
      <c r="B137" s="558" t="str">
        <f>IFERROR(INDEX(Tabelle2[BU],MATCH(tbl_DCFC[[#This Row], [Categorie]],CAT,0)),"")</f>
        <v>SER</v>
      </c>
      <c r="C137" s="604" t="str">
        <f t="shared" si="16"/>
        <v>S01</v>
      </c>
      <c r="D137" s="603">
        <v>25569.042183622685</v>
      </c>
      <c r="E137" s="588">
        <v>4773</v>
      </c>
      <c r="F137" s="591" t="s">
        <v>641</v>
      </c>
      <c r="G137" s="591" t="s">
        <v>1013</v>
      </c>
      <c r="H137" s="591"/>
      <c r="I137" s="588"/>
      <c r="J137" s="591"/>
      <c r="K137" s="591" t="s">
        <v>548</v>
      </c>
      <c r="L137" s="605" t="s">
        <v>774</v>
      </c>
      <c r="M137" s="579"/>
      <c r="N137" s="66" t="str">
        <f t="shared" si="14"/>
        <v>S01</v>
      </c>
      <c r="O137" s="66" t="e">
        <f>IF(Data!#REF!="","",YEAR(Data!#REF!))</f>
        <v>#REF!</v>
      </c>
      <c r="P137" s="66" t="e">
        <f>IF(Data!#REF!="","",MONTH(Data!#REF!))</f>
        <v>#REF!</v>
      </c>
      <c r="Q137" s="43">
        <v>25569.042183680554</v>
      </c>
      <c r="R137" s="3" t="s">
        <v>1014</v>
      </c>
      <c r="S137" s="8"/>
      <c r="T137" s="3"/>
      <c r="U137" s="3"/>
      <c r="V137" s="579"/>
      <c r="W137" s="43">
        <v>25569.042183622685</v>
      </c>
      <c r="X137" s="66" t="str">
        <f t="shared" si="17"/>
        <v/>
      </c>
      <c r="Y137" s="66" t="e">
        <f>IF(Data!#REF!="","",YEAR(Data!#REF!))</f>
        <v>#REF!</v>
      </c>
      <c r="Z137" s="66" t="e">
        <f>IF(Data!#REF!="","",MONTH(Data!#REF!))</f>
        <v>#REF!</v>
      </c>
      <c r="AA137" s="31"/>
      <c r="AB137" s="8"/>
      <c r="AC137" s="626"/>
      <c r="AD137" s="9"/>
      <c r="AE137" s="43">
        <v>25569.042186643517</v>
      </c>
      <c r="AF137" s="562"/>
      <c r="AG137" s="3"/>
      <c r="AH137" s="579"/>
      <c r="AI137" s="598">
        <v>1</v>
      </c>
      <c r="AJ137" s="599" t="s">
        <v>1015</v>
      </c>
      <c r="AK137" s="579"/>
      <c r="AL137" s="3" t="s">
        <v>1016</v>
      </c>
      <c r="AM137" s="579"/>
      <c r="AN137" s="591"/>
      <c r="AO137" s="579"/>
      <c r="AP137" s="599" t="s">
        <v>1017</v>
      </c>
      <c r="AQ137" s="579"/>
      <c r="AR137" s="600"/>
      <c r="AS137" s="579"/>
      <c r="AT137" s="601"/>
      <c r="AU137" s="601"/>
      <c r="AV137" s="576" t="str">
        <f t="shared" si="15"/>
        <v/>
      </c>
      <c r="AW137" s="577" t="str">
        <f>IFERROR(IF(tbl_DCFC[[#This Row], [F Montant HT]]="","",tbl_DCFC[[#This Row], [Marge]]/tbl_DCFC[[#This Row], [F Montant HT]]),"")</f>
        <v/>
      </c>
      <c r="AX137" s="8"/>
      <c r="AY137" s="3"/>
      <c r="AZ137" s="3"/>
      <c r="BA137" s="8"/>
    </row>
    <row r="138" spans="1:53" ht="14.4" customHeight="1" x14ac:dyDescent="0.3">
      <c r="A138" s="627"/>
      <c r="B138" s="628" t="str">
        <f>IFERROR(INDEX(Tabelle2[BU],MATCH(tbl_DCFC[[#This Row], [Categorie]],CAT,0)),"")</f>
        <v>INT</v>
      </c>
      <c r="C138" s="127"/>
      <c r="D138" s="629">
        <v>25569.042173969909</v>
      </c>
      <c r="E138" s="128"/>
      <c r="F138" s="127"/>
      <c r="G138" s="127" t="s">
        <v>645</v>
      </c>
      <c r="H138" s="127"/>
      <c r="I138" s="133">
        <v>50000</v>
      </c>
      <c r="J138" s="127" t="s">
        <v>1018</v>
      </c>
      <c r="K138" s="127" t="s">
        <v>537</v>
      </c>
      <c r="L138" s="630" t="s">
        <v>646</v>
      </c>
      <c r="M138" s="3"/>
      <c r="N138" s="127"/>
      <c r="O138" s="580" t="str">
        <f>IF(Data!$Q3="","",YEAR(Data!$Q3))</f>
        <v/>
      </c>
      <c r="P138" s="580" t="str">
        <f>IF(Data!$Q3="","",MONTH(Data!$Q3))</f>
        <v/>
      </c>
      <c r="Q138" s="631">
        <v>25569.042178692129</v>
      </c>
      <c r="R138" s="621" t="s">
        <v>1019</v>
      </c>
      <c r="S138" s="133"/>
      <c r="T138" s="622"/>
      <c r="U138" s="623"/>
      <c r="V138" s="3"/>
      <c r="W138" s="42"/>
      <c r="X138" s="60" t="str">
        <f t="shared" si="17"/>
        <v/>
      </c>
      <c r="Y138" s="60" t="str">
        <f>IF(Data!$AC3="","",YEAR(Data!$AC3))</f>
        <v/>
      </c>
      <c r="Z138" s="60" t="str">
        <f>IF(Data!$AC3="","",MONTH(Data!$AC3))</f>
        <v/>
      </c>
      <c r="AA138" s="42"/>
      <c r="AB138" s="620"/>
      <c r="AC138" s="42"/>
      <c r="AD138" s="62"/>
      <c r="AE138" s="42"/>
      <c r="AF138" s="562"/>
      <c r="AG138" s="3"/>
      <c r="AH138" s="3"/>
      <c r="AI138" s="632">
        <v>1</v>
      </c>
      <c r="AJ138" s="27" t="s">
        <v>1020</v>
      </c>
      <c r="AK138" s="3"/>
      <c r="AL138" s="27"/>
      <c r="AM138" s="3"/>
      <c r="AN138" s="3"/>
      <c r="AO138" s="3"/>
      <c r="AP138" s="27"/>
      <c r="AQ138" s="3"/>
      <c r="AR138" s="633"/>
      <c r="AS138" s="3"/>
      <c r="AT138" s="634"/>
      <c r="AU138" s="634"/>
      <c r="AV138" s="635" t="str">
        <f t="shared" si="15"/>
        <v/>
      </c>
      <c r="AW138" s="295" t="str">
        <f>IFERROR(IF(tbl_DCFC[[#This Row], [F Montant HT]]="","",tbl_DCFC[[#This Row], [Marge]]/tbl_DCFC[[#This Row], [F Montant HT]]),"")</f>
        <v/>
      </c>
      <c r="AX138" s="8"/>
      <c r="AY138" s="3"/>
      <c r="AZ138" s="3"/>
      <c r="BA138" s="8"/>
    </row>
    <row r="139" spans="1:53" ht="14.4" customHeight="1" x14ac:dyDescent="0.3">
      <c r="A139" s="636">
        <v>25569.042182743055</v>
      </c>
      <c r="B139" s="628" t="str">
        <f>IFERROR(INDEX(Tabelle2[BU],MATCH(tbl_DCFC[[#This Row], [Categorie]],CAT,0)),"")</f>
        <v/>
      </c>
      <c r="C139" s="637" t="str">
        <f t="shared" ref="C139:C149" si="18">IF(D139&lt;&gt;"","S"&amp;TEXT(WEEKNUM(D139,21),"00"),"")</f>
        <v>S01</v>
      </c>
      <c r="D139" s="636">
        <v>25569.042182743055</v>
      </c>
      <c r="E139" s="638"/>
      <c r="F139" s="41"/>
      <c r="G139" s="41" t="s">
        <v>1021</v>
      </c>
      <c r="H139" s="41"/>
      <c r="I139" s="62"/>
      <c r="J139" s="41" t="s">
        <v>1022</v>
      </c>
      <c r="K139" s="41"/>
      <c r="L139" s="639"/>
      <c r="M139" s="3"/>
      <c r="N139" s="3"/>
      <c r="O139" s="606">
        <f>IF(Data!$Q64="","",YEAR(Data!$Q64))</f>
        <v>1970</v>
      </c>
      <c r="P139" s="606">
        <f>IF(Data!$Q64="","",MONTH(Data!$Q64))</f>
        <v>1</v>
      </c>
      <c r="Q139" s="626"/>
      <c r="R139" s="3" t="s">
        <v>1023</v>
      </c>
      <c r="S139" s="8"/>
      <c r="T139" s="3"/>
      <c r="U139" s="3"/>
      <c r="V139" s="3"/>
      <c r="W139" s="31"/>
      <c r="X139" s="66" t="str">
        <f t="shared" si="17"/>
        <v>S01</v>
      </c>
      <c r="Y139" s="66" t="str">
        <f>IF(Data!$AC64="","",YEAR(Data!$AC64))</f>
        <v/>
      </c>
      <c r="Z139" s="66" t="str">
        <f>IF(Data!$AC64="","",MONTH(Data!$AC64))</f>
        <v/>
      </c>
      <c r="AA139" s="31"/>
      <c r="AB139" s="9">
        <v>5193</v>
      </c>
      <c r="AC139" s="43">
        <v>25569.042182743055</v>
      </c>
      <c r="AD139" s="9">
        <v>395</v>
      </c>
      <c r="AE139" s="31"/>
      <c r="AF139" s="562"/>
      <c r="AG139" s="3"/>
      <c r="AH139" s="3"/>
      <c r="AI139" s="9">
        <v>1</v>
      </c>
      <c r="AJ139" s="3" t="s">
        <v>1024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22"/>
      <c r="AU139" s="22"/>
      <c r="AV139" s="22"/>
      <c r="AW139" s="295"/>
      <c r="AX139" s="8"/>
      <c r="AY139" s="3"/>
      <c r="AZ139" s="3"/>
      <c r="BA139" s="8"/>
    </row>
    <row r="140" spans="1:53" ht="14.4" customHeight="1" x14ac:dyDescent="0.3">
      <c r="A140" s="636">
        <v>25569.042182743055</v>
      </c>
      <c r="B140" s="628" t="str">
        <f>IFERROR(INDEX(Tabelle2[BU],MATCH(tbl_DCFC[[#This Row], [Categorie]],CAT,0)),"")</f>
        <v/>
      </c>
      <c r="C140" s="637" t="str">
        <f t="shared" si="18"/>
        <v>S01</v>
      </c>
      <c r="D140" s="636">
        <v>25569.042182743055</v>
      </c>
      <c r="E140" s="638"/>
      <c r="F140" s="41"/>
      <c r="G140" s="41" t="s">
        <v>1021</v>
      </c>
      <c r="H140" s="41"/>
      <c r="I140" s="62"/>
      <c r="J140" s="41" t="s">
        <v>1022</v>
      </c>
      <c r="K140" s="41"/>
      <c r="L140" s="639"/>
      <c r="M140" s="3"/>
      <c r="N140" s="66" t="str">
        <f t="shared" ref="N140:N149" si="19">IF(Q140&lt;&gt;"","S"&amp;TEXT(WEEKNUM(Q140,21),"00"),"")</f>
        <v/>
      </c>
      <c r="O140" s="606">
        <f>IF(Data!$Q65="","",YEAR(Data!$Q65))</f>
        <v>1970</v>
      </c>
      <c r="P140" s="606">
        <f>IF(Data!$Q65="","",MONTH(Data!$Q65))</f>
        <v>1</v>
      </c>
      <c r="Q140" s="626"/>
      <c r="R140" s="3" t="s">
        <v>1023</v>
      </c>
      <c r="S140" s="8"/>
      <c r="T140" s="3"/>
      <c r="U140" s="3"/>
      <c r="V140" s="3"/>
      <c r="W140" s="31"/>
      <c r="X140" s="66" t="str">
        <f t="shared" si="17"/>
        <v>S01</v>
      </c>
      <c r="Y140" s="66">
        <f>IF(Data!$AC65="","",YEAR(Data!$AC65))</f>
        <v>1970</v>
      </c>
      <c r="Z140" s="66">
        <f>IF(Data!$AC65="","",MONTH(Data!$AC65))</f>
        <v>1</v>
      </c>
      <c r="AA140" s="31"/>
      <c r="AB140" s="9">
        <v>5192</v>
      </c>
      <c r="AC140" s="43">
        <v>25569.042182743055</v>
      </c>
      <c r="AD140" s="9">
        <v>395</v>
      </c>
      <c r="AE140" s="31"/>
      <c r="AF140" s="562"/>
      <c r="AG140" s="3"/>
      <c r="AH140" s="3"/>
      <c r="AI140" s="9">
        <v>1</v>
      </c>
      <c r="AJ140" s="3" t="s">
        <v>1024</v>
      </c>
      <c r="AK140" s="3"/>
      <c r="AL140" s="3"/>
      <c r="AM140" s="3"/>
      <c r="AN140" s="3"/>
      <c r="AO140" s="3"/>
      <c r="AP140" s="3"/>
      <c r="AQ140" s="3"/>
      <c r="AR140" s="3"/>
      <c r="AS140" s="3"/>
      <c r="AT140" s="22"/>
      <c r="AU140" s="22"/>
      <c r="AV140" s="635" t="str">
        <f t="shared" ref="AV140:AV146" si="20">IF(AT140="","",S140-AT140-AU140)</f>
        <v/>
      </c>
      <c r="AW140" s="295" t="str">
        <f>IFERROR(IF(tbl_DCFC[[#This Row], [F Montant HT]]="","",tbl_DCFC[[#This Row], [Marge]]/tbl_DCFC[[#This Row], [F Montant HT]]),"")</f>
        <v/>
      </c>
      <c r="AX140" s="8"/>
      <c r="AY140" s="3"/>
      <c r="AZ140" s="3"/>
      <c r="BA140" s="8"/>
    </row>
    <row r="141" spans="1:53" ht="14.4" customHeight="1" x14ac:dyDescent="0.3">
      <c r="A141" s="636">
        <v>25569.042182777779</v>
      </c>
      <c r="B141" s="628" t="str">
        <f>IFERROR(INDEX(Tabelle2[BU],MATCH(tbl_DCFC[[#This Row], [Categorie]],CAT,0)),"")</f>
        <v/>
      </c>
      <c r="C141" s="637" t="str">
        <f t="shared" si="18"/>
        <v>S01</v>
      </c>
      <c r="D141" s="636">
        <v>25569.042182777779</v>
      </c>
      <c r="E141" s="638"/>
      <c r="F141" s="41"/>
      <c r="G141" s="41" t="s">
        <v>1021</v>
      </c>
      <c r="H141" s="41"/>
      <c r="I141" s="62"/>
      <c r="J141" s="41" t="s">
        <v>1022</v>
      </c>
      <c r="K141" s="41"/>
      <c r="L141" s="639"/>
      <c r="M141" s="3"/>
      <c r="N141" s="66" t="str">
        <f t="shared" si="19"/>
        <v/>
      </c>
      <c r="O141" s="606" t="str">
        <f>IF(Data!$Q95="","",YEAR(Data!$Q95))</f>
        <v/>
      </c>
      <c r="P141" s="606" t="str">
        <f>IF(Data!$Q95="","",MONTH(Data!$Q95))</f>
        <v/>
      </c>
      <c r="Q141" s="626"/>
      <c r="R141" s="3" t="s">
        <v>1025</v>
      </c>
      <c r="S141" s="8"/>
      <c r="T141" s="3"/>
      <c r="U141" s="3"/>
      <c r="V141" s="3"/>
      <c r="W141" s="31"/>
      <c r="X141" s="66" t="str">
        <f t="shared" si="17"/>
        <v>S01</v>
      </c>
      <c r="Y141" s="66" t="str">
        <f>IF(Data!$AC95="","",YEAR(Data!$AC95))</f>
        <v/>
      </c>
      <c r="Z141" s="66" t="str">
        <f>IF(Data!$AC95="","",MONTH(Data!$AC95))</f>
        <v/>
      </c>
      <c r="AA141" s="31"/>
      <c r="AB141" s="9">
        <v>5195</v>
      </c>
      <c r="AC141" s="43">
        <v>25569.042182777779</v>
      </c>
      <c r="AD141" s="9">
        <v>412.5</v>
      </c>
      <c r="AE141" s="31"/>
      <c r="AF141" s="562"/>
      <c r="AG141" s="3"/>
      <c r="AH141" s="3"/>
      <c r="AI141" s="9">
        <v>1</v>
      </c>
      <c r="AJ141" s="3" t="s">
        <v>1026</v>
      </c>
      <c r="AK141" s="3"/>
      <c r="AL141" s="3"/>
      <c r="AM141" s="3"/>
      <c r="AN141" s="3"/>
      <c r="AO141" s="3"/>
      <c r="AP141" s="3"/>
      <c r="AQ141" s="3"/>
      <c r="AR141" s="3"/>
      <c r="AS141" s="3"/>
      <c r="AT141" s="22"/>
      <c r="AU141" s="22"/>
      <c r="AV141" s="635" t="str">
        <f t="shared" si="20"/>
        <v/>
      </c>
      <c r="AW141" s="295" t="str">
        <f>IFERROR(IF(tbl_DCFC[[#This Row], [F Montant HT]]="","",tbl_DCFC[[#This Row], [Marge]]/tbl_DCFC[[#This Row], [F Montant HT]]),"")</f>
        <v/>
      </c>
      <c r="AX141" s="8"/>
      <c r="AY141" s="3"/>
      <c r="AZ141" s="3"/>
      <c r="BA141" s="8"/>
    </row>
    <row r="142" spans="1:53" ht="14.4" customHeight="1" x14ac:dyDescent="0.3">
      <c r="A142" s="636">
        <v>25569.042182893518</v>
      </c>
      <c r="B142" s="628" t="str">
        <f>IFERROR(INDEX(Tabelle2[BU],MATCH(tbl_DCFC[[#This Row], [Categorie]],CAT,0)),"")</f>
        <v/>
      </c>
      <c r="C142" s="637" t="str">
        <f t="shared" si="18"/>
        <v>S01</v>
      </c>
      <c r="D142" s="636">
        <v>25569.042182893518</v>
      </c>
      <c r="E142" s="638"/>
      <c r="F142" s="41"/>
      <c r="G142" s="41" t="s">
        <v>1027</v>
      </c>
      <c r="H142" s="41"/>
      <c r="I142" s="62"/>
      <c r="J142" s="41" t="s">
        <v>1022</v>
      </c>
      <c r="K142" s="41"/>
      <c r="L142" s="639"/>
      <c r="M142" s="3"/>
      <c r="N142" s="66" t="str">
        <f t="shared" si="19"/>
        <v/>
      </c>
      <c r="O142" s="606">
        <f>IF(Data!$Q93="","",YEAR(Data!$Q93))</f>
        <v>1970</v>
      </c>
      <c r="P142" s="606">
        <f>IF(Data!$Q93="","",MONTH(Data!$Q93))</f>
        <v>1</v>
      </c>
      <c r="Q142" s="626"/>
      <c r="R142" s="3" t="s">
        <v>1028</v>
      </c>
      <c r="S142" s="8"/>
      <c r="T142" s="3"/>
      <c r="U142" s="3"/>
      <c r="V142" s="3"/>
      <c r="W142" s="31"/>
      <c r="X142" s="66" t="str">
        <f t="shared" si="17"/>
        <v>S01</v>
      </c>
      <c r="Y142" s="66">
        <f>IF(Data!$AC93="","",YEAR(Data!$AC93))</f>
        <v>1970</v>
      </c>
      <c r="Z142" s="66">
        <f>IF(Data!$AC93="","",MONTH(Data!$AC93))</f>
        <v>1</v>
      </c>
      <c r="AA142" s="31"/>
      <c r="AB142" s="9">
        <v>5200</v>
      </c>
      <c r="AC142" s="43">
        <v>25569.042182893518</v>
      </c>
      <c r="AD142" s="9">
        <v>-3571</v>
      </c>
      <c r="AE142" s="31"/>
      <c r="AF142" s="562"/>
      <c r="AG142" s="3"/>
      <c r="AH142" s="3"/>
      <c r="AI142" s="8"/>
      <c r="AJ142" s="3"/>
      <c r="AK142" s="3"/>
      <c r="AL142" s="3" t="s">
        <v>1029</v>
      </c>
      <c r="AM142" s="3"/>
      <c r="AN142" s="3"/>
      <c r="AO142" s="3"/>
      <c r="AP142" s="3" t="s">
        <v>1030</v>
      </c>
      <c r="AQ142" s="3"/>
      <c r="AR142" s="3"/>
      <c r="AS142" s="3"/>
      <c r="AT142" s="22"/>
      <c r="AU142" s="22"/>
      <c r="AV142" s="635" t="str">
        <f t="shared" si="20"/>
        <v/>
      </c>
      <c r="AW142" s="295" t="str">
        <f>IFERROR(IF(tbl_DCFC[[#This Row], [F Montant HT]]="","",tbl_DCFC[[#This Row], [Marge]]/tbl_DCFC[[#This Row], [F Montant HT]]),"")</f>
        <v/>
      </c>
      <c r="AX142" s="8"/>
      <c r="AY142" s="3"/>
      <c r="AZ142" s="3"/>
      <c r="BA142" s="8"/>
    </row>
    <row r="143" spans="1:53" ht="14.4" customHeight="1" x14ac:dyDescent="0.3">
      <c r="A143" s="636">
        <v>25569.042182893518</v>
      </c>
      <c r="B143" s="628" t="str">
        <f>IFERROR(INDEX(Tabelle2[BU],MATCH(tbl_DCFC[[#This Row], [Categorie]],CAT,0)),"")</f>
        <v/>
      </c>
      <c r="C143" s="637" t="str">
        <f t="shared" si="18"/>
        <v>S01</v>
      </c>
      <c r="D143" s="636">
        <v>25569.042182893518</v>
      </c>
      <c r="E143" s="638"/>
      <c r="F143" s="41"/>
      <c r="G143" s="41" t="s">
        <v>1027</v>
      </c>
      <c r="H143" s="41"/>
      <c r="I143" s="62"/>
      <c r="J143" s="41" t="s">
        <v>1022</v>
      </c>
      <c r="K143" s="41"/>
      <c r="L143" s="639"/>
      <c r="M143" s="3"/>
      <c r="N143" s="66" t="str">
        <f t="shared" si="19"/>
        <v/>
      </c>
      <c r="O143" s="606">
        <f>IF(Data!$Q94="","",YEAR(Data!$Q94))</f>
        <v>1970</v>
      </c>
      <c r="P143" s="606">
        <f>IF(Data!$Q94="","",MONTH(Data!$Q94))</f>
        <v>1</v>
      </c>
      <c r="Q143" s="626"/>
      <c r="R143" s="3" t="s">
        <v>1028</v>
      </c>
      <c r="S143" s="8"/>
      <c r="T143" s="3"/>
      <c r="U143" s="3"/>
      <c r="V143" s="3"/>
      <c r="W143" s="31"/>
      <c r="X143" s="66" t="str">
        <f t="shared" si="17"/>
        <v>S01</v>
      </c>
      <c r="Y143" s="66">
        <f>IF(Data!$AC94="","",YEAR(Data!$AC94))</f>
        <v>1970</v>
      </c>
      <c r="Z143" s="66">
        <f>IF(Data!$AC94="","",MONTH(Data!$AC94))</f>
        <v>1</v>
      </c>
      <c r="AA143" s="31"/>
      <c r="AB143" s="9">
        <v>5201</v>
      </c>
      <c r="AC143" s="43">
        <v>25569.042182893518</v>
      </c>
      <c r="AD143" s="9">
        <v>3571</v>
      </c>
      <c r="AE143" s="31"/>
      <c r="AF143" s="562"/>
      <c r="AG143" s="3"/>
      <c r="AH143" s="3"/>
      <c r="AI143" s="8"/>
      <c r="AJ143" s="3"/>
      <c r="AK143" s="3"/>
      <c r="AL143" s="3" t="s">
        <v>1031</v>
      </c>
      <c r="AM143" s="3"/>
      <c r="AN143" s="3"/>
      <c r="AO143" s="3"/>
      <c r="AP143" s="3" t="s">
        <v>1030</v>
      </c>
      <c r="AQ143" s="3"/>
      <c r="AR143" s="3"/>
      <c r="AS143" s="3"/>
      <c r="AT143" s="22"/>
      <c r="AU143" s="22"/>
      <c r="AV143" s="635" t="str">
        <f t="shared" si="20"/>
        <v/>
      </c>
      <c r="AW143" s="295" t="str">
        <f>IFERROR(IF(tbl_DCFC[[#This Row], [F Montant HT]]="","",tbl_DCFC[[#This Row], [Marge]]/tbl_DCFC[[#This Row], [F Montant HT]]),"")</f>
        <v/>
      </c>
      <c r="AX143" s="8"/>
      <c r="AY143" s="3"/>
      <c r="AZ143" s="3"/>
      <c r="BA143" s="8"/>
    </row>
    <row r="144" spans="1:53" ht="14.4" customHeight="1" x14ac:dyDescent="0.3">
      <c r="A144" s="636">
        <v>25569.042183449073</v>
      </c>
      <c r="B144" s="628" t="str">
        <f>IFERROR(INDEX(Tabelle2[BU],MATCH(tbl_DCFC[[#This Row], [Categorie]],CAT,0)),"")</f>
        <v/>
      </c>
      <c r="C144" s="637" t="str">
        <f t="shared" si="18"/>
        <v>S01</v>
      </c>
      <c r="D144" s="636">
        <v>25569.042183449073</v>
      </c>
      <c r="E144" s="638"/>
      <c r="F144" s="41"/>
      <c r="G144" s="41" t="s">
        <v>1021</v>
      </c>
      <c r="H144" s="41"/>
      <c r="I144" s="62"/>
      <c r="J144" s="41" t="s">
        <v>1022</v>
      </c>
      <c r="K144" s="41"/>
      <c r="L144" s="639"/>
      <c r="M144" s="3"/>
      <c r="N144" s="66" t="str">
        <f t="shared" si="19"/>
        <v/>
      </c>
      <c r="O144" s="606">
        <f>IF(Data!$Q128="","",YEAR(Data!$Q128))</f>
        <v>1970</v>
      </c>
      <c r="P144" s="606">
        <f>IF(Data!$Q128="","",MONTH(Data!$Q128))</f>
        <v>1</v>
      </c>
      <c r="Q144" s="626"/>
      <c r="R144" s="3" t="s">
        <v>1032</v>
      </c>
      <c r="S144" s="8"/>
      <c r="T144" s="3"/>
      <c r="U144" s="3"/>
      <c r="V144" s="3"/>
      <c r="W144" s="31"/>
      <c r="X144" s="66" t="str">
        <f t="shared" si="17"/>
        <v>S01</v>
      </c>
      <c r="Y144" s="66" t="str">
        <f>IF(Data!$AC128="","",YEAR(Data!$AC128))</f>
        <v/>
      </c>
      <c r="Z144" s="66" t="str">
        <f>IF(Data!$AC128="","",MONTH(Data!$AC128))</f>
        <v/>
      </c>
      <c r="AA144" s="31"/>
      <c r="AB144" s="9">
        <v>5226</v>
      </c>
      <c r="AC144" s="43">
        <v>25569.042183449073</v>
      </c>
      <c r="AD144" s="9">
        <v>1380</v>
      </c>
      <c r="AE144" s="31"/>
      <c r="AF144" s="562"/>
      <c r="AG144" s="3"/>
      <c r="AH144" s="3"/>
      <c r="AI144" s="9">
        <v>1</v>
      </c>
      <c r="AJ144" s="3" t="s">
        <v>1033</v>
      </c>
      <c r="AK144" s="3"/>
      <c r="AL144" s="3"/>
      <c r="AM144" s="3"/>
      <c r="AN144" s="3"/>
      <c r="AO144" s="3"/>
      <c r="AP144" s="3"/>
      <c r="AQ144" s="3"/>
      <c r="AR144" s="3"/>
      <c r="AS144" s="3"/>
      <c r="AT144" s="22"/>
      <c r="AU144" s="22"/>
      <c r="AV144" s="635" t="str">
        <f t="shared" si="20"/>
        <v/>
      </c>
      <c r="AW144" s="295" t="str">
        <f>IFERROR(IF(tbl_DCFC[[#This Row], [F Montant HT]]="","",tbl_DCFC[[#This Row], [Marge]]/tbl_DCFC[[#This Row], [F Montant HT]]),"")</f>
        <v/>
      </c>
      <c r="AX144" s="8"/>
      <c r="AY144" s="3"/>
      <c r="AZ144" s="3"/>
      <c r="BA144" s="8"/>
    </row>
    <row r="145" spans="1:53" ht="14.4" customHeight="1" x14ac:dyDescent="0.3">
      <c r="A145" s="636">
        <v>25569.042183449073</v>
      </c>
      <c r="B145" s="628" t="str">
        <f>IFERROR(INDEX(Tabelle2[BU],MATCH(tbl_DCFC[[#This Row], [Categorie]],CAT,0)),"")</f>
        <v/>
      </c>
      <c r="C145" s="637" t="str">
        <f t="shared" si="18"/>
        <v>S01</v>
      </c>
      <c r="D145" s="636">
        <v>25569.042183449073</v>
      </c>
      <c r="E145" s="638"/>
      <c r="F145" s="41"/>
      <c r="G145" s="41" t="s">
        <v>1021</v>
      </c>
      <c r="H145" s="41"/>
      <c r="I145" s="62"/>
      <c r="J145" s="41" t="s">
        <v>1022</v>
      </c>
      <c r="K145" s="41"/>
      <c r="L145" s="639"/>
      <c r="M145" s="3"/>
      <c r="N145" s="66" t="str">
        <f t="shared" si="19"/>
        <v/>
      </c>
      <c r="O145" s="606" t="str">
        <f>IF(Data!$Q129="","",YEAR(Data!$Q129))</f>
        <v/>
      </c>
      <c r="P145" s="606" t="str">
        <f>IF(Data!$Q129="","",MONTH(Data!$Q129))</f>
        <v/>
      </c>
      <c r="Q145" s="626"/>
      <c r="R145" s="3" t="s">
        <v>1034</v>
      </c>
      <c r="S145" s="8"/>
      <c r="T145" s="3"/>
      <c r="U145" s="3"/>
      <c r="V145" s="3"/>
      <c r="W145" s="31"/>
      <c r="X145" s="66" t="str">
        <f t="shared" si="17"/>
        <v>S01</v>
      </c>
      <c r="Y145" s="66" t="str">
        <f>IF(Data!$AC129="","",YEAR(Data!$AC129))</f>
        <v/>
      </c>
      <c r="Z145" s="66" t="str">
        <f>IF(Data!$AC129="","",MONTH(Data!$AC129))</f>
        <v/>
      </c>
      <c r="AA145" s="31"/>
      <c r="AB145" s="9">
        <v>5225</v>
      </c>
      <c r="AC145" s="43">
        <v>25569.042183449073</v>
      </c>
      <c r="AD145" s="9">
        <v>1380</v>
      </c>
      <c r="AE145" s="31"/>
      <c r="AF145" s="562"/>
      <c r="AG145" s="3"/>
      <c r="AH145" s="3"/>
      <c r="AI145" s="9">
        <v>1</v>
      </c>
      <c r="AJ145" s="3" t="s">
        <v>1033</v>
      </c>
      <c r="AK145" s="3"/>
      <c r="AL145" s="3"/>
      <c r="AM145" s="3"/>
      <c r="AN145" s="3"/>
      <c r="AO145" s="3"/>
      <c r="AP145" s="3"/>
      <c r="AQ145" s="3"/>
      <c r="AR145" s="3"/>
      <c r="AS145" s="3"/>
      <c r="AT145" s="22"/>
      <c r="AU145" s="22"/>
      <c r="AV145" s="635" t="str">
        <f t="shared" si="20"/>
        <v/>
      </c>
      <c r="AW145" s="295" t="str">
        <f>IFERROR(IF(tbl_DCFC[[#This Row], [F Montant HT]]="","",tbl_DCFC[[#This Row], [Marge]]/tbl_DCFC[[#This Row], [F Montant HT]]),"")</f>
        <v/>
      </c>
      <c r="AX145" s="8"/>
      <c r="AY145" s="3"/>
      <c r="AZ145" s="3"/>
      <c r="BA145" s="8"/>
    </row>
    <row r="146" spans="1:53" ht="14.4" customHeight="1" x14ac:dyDescent="0.3">
      <c r="A146" s="603">
        <v>25569.042183449073</v>
      </c>
      <c r="B146" s="558" t="str">
        <f>IFERROR(INDEX(Tabelle2[BU],MATCH(tbl_DCFC[[#This Row], [Categorie]],CAT,0)),"")</f>
        <v/>
      </c>
      <c r="C146" s="604" t="str">
        <f t="shared" si="18"/>
        <v>S01</v>
      </c>
      <c r="D146" s="603">
        <v>25569.042183449073</v>
      </c>
      <c r="E146" s="640"/>
      <c r="F146" s="591"/>
      <c r="G146" s="591" t="s">
        <v>1021</v>
      </c>
      <c r="H146" s="591"/>
      <c r="I146" s="588"/>
      <c r="J146" s="591" t="s">
        <v>1022</v>
      </c>
      <c r="K146" s="591"/>
      <c r="L146" s="605"/>
      <c r="M146" s="579"/>
      <c r="N146" s="606" t="str">
        <f t="shared" si="19"/>
        <v/>
      </c>
      <c r="O146" s="606" t="str">
        <f>IF(Data!$Q130="","",YEAR(Data!$Q130))</f>
        <v/>
      </c>
      <c r="P146" s="606" t="str">
        <f>IF(Data!$Q130="","",MONTH(Data!$Q130))</f>
        <v/>
      </c>
      <c r="Q146" s="607"/>
      <c r="R146" s="599" t="s">
        <v>1035</v>
      </c>
      <c r="S146" s="598"/>
      <c r="T146" s="599"/>
      <c r="U146" s="599"/>
      <c r="V146" s="579"/>
      <c r="W146" s="607"/>
      <c r="X146" s="606" t="str">
        <f t="shared" si="17"/>
        <v>S01</v>
      </c>
      <c r="Y146" s="606" t="str">
        <f>IF(Data!$AC130="","",YEAR(Data!$AC130))</f>
        <v/>
      </c>
      <c r="Z146" s="606" t="str">
        <f>IF(Data!$AC130="","",MONTH(Data!$AC130))</f>
        <v/>
      </c>
      <c r="AA146" s="607"/>
      <c r="AB146" s="598">
        <v>5224</v>
      </c>
      <c r="AC146" s="609">
        <v>25569.042183449073</v>
      </c>
      <c r="AD146" s="598">
        <v>1380</v>
      </c>
      <c r="AE146" s="607"/>
      <c r="AF146" s="579"/>
      <c r="AG146" s="599"/>
      <c r="AH146" s="579"/>
      <c r="AI146" s="598">
        <v>1</v>
      </c>
      <c r="AJ146" s="599" t="s">
        <v>1033</v>
      </c>
      <c r="AK146" s="579"/>
      <c r="AL146" s="599"/>
      <c r="AM146" s="579"/>
      <c r="AN146" s="591"/>
      <c r="AO146" s="579"/>
      <c r="AP146" s="599"/>
      <c r="AQ146" s="579"/>
      <c r="AR146" s="600"/>
      <c r="AS146" s="579"/>
      <c r="AT146" s="601"/>
      <c r="AU146" s="601"/>
      <c r="AV146" s="576" t="str">
        <f t="shared" si="20"/>
        <v/>
      </c>
      <c r="AW146" s="577" t="str">
        <f>IFERROR(IF(tbl_DCFC[[#This Row], [F Montant HT]]="","",tbl_DCFC[[#This Row], [Marge]]/tbl_DCFC[[#This Row], [F Montant HT]]),"")</f>
        <v/>
      </c>
      <c r="AX146" s="8"/>
      <c r="AY146" s="3"/>
      <c r="AZ146" s="3"/>
      <c r="BA146" s="8"/>
    </row>
    <row r="147" spans="1:53" ht="14.4" customHeight="1" x14ac:dyDescent="0.3">
      <c r="A147" s="603">
        <v>25569.042183680554</v>
      </c>
      <c r="B147" s="558" t="str">
        <f>IFERROR(INDEX(Tabelle2[BU],MATCH(tbl_DCFC[[#This Row], [Categorie]],CAT,0)),"")</f>
        <v>SER</v>
      </c>
      <c r="C147" s="564" t="str">
        <f t="shared" si="18"/>
        <v>S01</v>
      </c>
      <c r="D147" s="603">
        <v>25569.042183680554</v>
      </c>
      <c r="E147" s="587">
        <v>4774</v>
      </c>
      <c r="F147" s="591"/>
      <c r="G147" s="591" t="s">
        <v>862</v>
      </c>
      <c r="H147" s="591"/>
      <c r="I147" s="588"/>
      <c r="J147" s="591" t="s">
        <v>280</v>
      </c>
      <c r="K147" s="591" t="s">
        <v>548</v>
      </c>
      <c r="L147" s="591" t="s">
        <v>774</v>
      </c>
      <c r="M147" s="579"/>
      <c r="N147" s="564" t="str">
        <f t="shared" si="19"/>
        <v/>
      </c>
      <c r="O147" s="564" t="str">
        <f>IF(Data!$Q147="","",YEAR(Data!$Q147))</f>
        <v/>
      </c>
      <c r="P147" s="564" t="str">
        <f>IF(Data!$Q147="","",MONTH(Data!$Q147))</f>
        <v/>
      </c>
      <c r="Q147" s="585"/>
      <c r="R147" s="594"/>
      <c r="S147" s="588"/>
      <c r="T147" s="595"/>
      <c r="U147" s="596"/>
      <c r="V147" s="579"/>
      <c r="W147" s="585"/>
      <c r="X147" s="564" t="str">
        <f t="shared" si="17"/>
        <v/>
      </c>
      <c r="Y147" s="564" t="str">
        <f>IF(Data!$AC147="","",YEAR(Data!$AC147))</f>
        <v/>
      </c>
      <c r="Z147" s="564" t="str">
        <f>IF(Data!$AC147="","",MONTH(Data!$AC147))</f>
        <v/>
      </c>
      <c r="AA147" s="585"/>
      <c r="AB147" s="597"/>
      <c r="AC147" s="585"/>
      <c r="AD147" s="588"/>
      <c r="AE147" s="585"/>
      <c r="AF147" s="579"/>
      <c r="AG147" s="599"/>
      <c r="AH147" s="579"/>
      <c r="AI147" s="598">
        <v>2</v>
      </c>
      <c r="AJ147" s="599" t="s">
        <v>1036</v>
      </c>
      <c r="AK147" s="579"/>
      <c r="AL147" s="599"/>
      <c r="AM147" s="579"/>
      <c r="AN147" s="591"/>
      <c r="AO147" s="579"/>
      <c r="AP147" s="599" t="s">
        <v>1037</v>
      </c>
      <c r="AQ147" s="579"/>
      <c r="AR147" s="600"/>
      <c r="AS147" s="579"/>
      <c r="AT147" s="601"/>
      <c r="AU147" s="601"/>
      <c r="AV147" s="576" t="str">
        <f>IF(AT147="","",S147-AT147)</f>
        <v/>
      </c>
      <c r="AW147" s="641" t="str">
        <f>IFERROR(IF(tbl_DCFC[[#This Row], [F Montant HT]]="","",tbl_DCFC[[#This Row], [Marge]]/tbl_DCFC[[#This Row], [F Montant HT]]),"")</f>
        <v/>
      </c>
      <c r="AX147" s="8"/>
      <c r="AY147" s="3"/>
      <c r="AZ147" s="3"/>
      <c r="BA147" s="8"/>
    </row>
    <row r="148" spans="1:53" ht="14.4" customHeight="1" x14ac:dyDescent="0.3">
      <c r="A148" s="603">
        <v>25569.042183680554</v>
      </c>
      <c r="B148" s="558" t="str">
        <f>IFERROR(INDEX(Tabelle2[BU],MATCH(tbl_DCFC[[#This Row], [Categorie]],CAT,0)),"")</f>
        <v>SER</v>
      </c>
      <c r="C148" s="564" t="str">
        <f t="shared" si="18"/>
        <v>S01</v>
      </c>
      <c r="D148" s="603">
        <v>25569.04218369213</v>
      </c>
      <c r="E148" s="587">
        <v>4775</v>
      </c>
      <c r="F148" s="591"/>
      <c r="G148" s="591" t="s">
        <v>713</v>
      </c>
      <c r="H148" s="591"/>
      <c r="I148" s="588">
        <v>5091</v>
      </c>
      <c r="J148" s="591" t="s">
        <v>280</v>
      </c>
      <c r="K148" s="591" t="s">
        <v>548</v>
      </c>
      <c r="L148" s="591" t="s">
        <v>642</v>
      </c>
      <c r="M148" s="579"/>
      <c r="N148" s="564" t="str">
        <f t="shared" si="19"/>
        <v/>
      </c>
      <c r="O148" s="564" t="str">
        <f>IF(Data!$Q148="","",YEAR(Data!$Q148))</f>
        <v/>
      </c>
      <c r="P148" s="564" t="str">
        <f>IF(Data!$Q148="","",MONTH(Data!$Q148))</f>
        <v/>
      </c>
      <c r="Q148" s="585"/>
      <c r="R148" s="594"/>
      <c r="S148" s="588"/>
      <c r="T148" s="595"/>
      <c r="U148" s="596"/>
      <c r="V148" s="579"/>
      <c r="W148" s="585"/>
      <c r="X148" s="564" t="str">
        <f t="shared" si="17"/>
        <v/>
      </c>
      <c r="Y148" s="564" t="str">
        <f>IF(Data!$AC148="","",YEAR(Data!$AC148))</f>
        <v/>
      </c>
      <c r="Z148" s="564" t="str">
        <f>IF(Data!$AC148="","",MONTH(Data!$AC148))</f>
        <v/>
      </c>
      <c r="AA148" s="585"/>
      <c r="AB148" s="597"/>
      <c r="AC148" s="585"/>
      <c r="AD148" s="588"/>
      <c r="AE148" s="585"/>
      <c r="AF148" s="579"/>
      <c r="AG148" s="599"/>
      <c r="AH148" s="579"/>
      <c r="AI148" s="598">
        <v>6</v>
      </c>
      <c r="AJ148" s="599" t="s">
        <v>1038</v>
      </c>
      <c r="AK148" s="579"/>
      <c r="AL148" s="599"/>
      <c r="AM148" s="579"/>
      <c r="AN148" s="591"/>
      <c r="AO148" s="579"/>
      <c r="AP148" s="599" t="s">
        <v>1039</v>
      </c>
      <c r="AQ148" s="579"/>
      <c r="AR148" s="600"/>
      <c r="AS148" s="579"/>
      <c r="AT148" s="601"/>
      <c r="AU148" s="601"/>
      <c r="AV148" s="576" t="str">
        <f>IF(AT148="","",S148-AT148)</f>
        <v/>
      </c>
      <c r="AW148" s="641" t="str">
        <f>IFERROR(IF(tbl_DCFC[[#This Row], [F Montant HT]]="","",tbl_DCFC[[#This Row], [Marge]]/tbl_DCFC[[#This Row], [F Montant HT]]),"")</f>
        <v/>
      </c>
      <c r="AX148" s="8"/>
      <c r="AY148" s="3"/>
      <c r="AZ148" s="3"/>
      <c r="BA148" s="8"/>
    </row>
    <row r="149" spans="1:53" ht="14.4" customHeight="1" x14ac:dyDescent="0.3">
      <c r="A149" s="603">
        <v>25569.042183703703</v>
      </c>
      <c r="B149" s="558" t="str">
        <f>IFERROR(INDEX(Tabelle2[BU],MATCH(tbl_DCFC[[#This Row], [Categorie]],CAT,0)),"")</f>
        <v>SER</v>
      </c>
      <c r="C149" s="564" t="str">
        <f t="shared" si="18"/>
        <v>S01</v>
      </c>
      <c r="D149" s="603">
        <v>25569.042183703703</v>
      </c>
      <c r="E149" s="587">
        <v>4776</v>
      </c>
      <c r="F149" s="591"/>
      <c r="G149" s="591" t="s">
        <v>862</v>
      </c>
      <c r="H149" s="591"/>
      <c r="I149" s="588"/>
      <c r="J149" s="591" t="s">
        <v>280</v>
      </c>
      <c r="K149" s="591" t="s">
        <v>548</v>
      </c>
      <c r="L149" s="591" t="s">
        <v>774</v>
      </c>
      <c r="M149" s="579"/>
      <c r="N149" s="564" t="str">
        <f t="shared" si="19"/>
        <v/>
      </c>
      <c r="O149" s="564" t="str">
        <f>IF(Data!$Q149="","",YEAR(Data!$Q149))</f>
        <v/>
      </c>
      <c r="P149" s="564" t="str">
        <f>IF(Data!$Q149="","",MONTH(Data!$Q149))</f>
        <v/>
      </c>
      <c r="Q149" s="585"/>
      <c r="R149" s="594"/>
      <c r="S149" s="588"/>
      <c r="T149" s="595"/>
      <c r="U149" s="596"/>
      <c r="V149" s="579"/>
      <c r="W149" s="585"/>
      <c r="X149" s="564" t="str">
        <f t="shared" si="17"/>
        <v/>
      </c>
      <c r="Y149" s="564" t="str">
        <f>IF(Data!$AC149="","",YEAR(Data!$AC149))</f>
        <v/>
      </c>
      <c r="Z149" s="564" t="str">
        <f>IF(Data!$AC149="","",MONTH(Data!$AC149))</f>
        <v/>
      </c>
      <c r="AA149" s="585"/>
      <c r="AB149" s="597"/>
      <c r="AC149" s="585"/>
      <c r="AD149" s="588"/>
      <c r="AE149" s="585"/>
      <c r="AF149" s="579"/>
      <c r="AG149" s="599"/>
      <c r="AH149" s="579"/>
      <c r="AI149" s="598">
        <v>1</v>
      </c>
      <c r="AJ149" s="599" t="s">
        <v>1040</v>
      </c>
      <c r="AK149" s="579"/>
      <c r="AL149" s="599"/>
      <c r="AM149" s="579"/>
      <c r="AN149" s="591"/>
      <c r="AO149" s="579"/>
      <c r="AP149" s="599" t="s">
        <v>1041</v>
      </c>
      <c r="AQ149" s="579"/>
      <c r="AR149" s="600"/>
      <c r="AS149" s="579"/>
      <c r="AT149" s="601"/>
      <c r="AU149" s="601"/>
      <c r="AV149" s="576" t="str">
        <f>IF(AT149="","",S149-AT149)</f>
        <v/>
      </c>
      <c r="AW149" s="641" t="str">
        <f>IFERROR(IF(tbl_DCFC[[#This Row], [F Montant HT]]="","",tbl_DCFC[[#This Row], [Marge]]/tbl_DCFC[[#This Row], [F Montant HT]]),"")</f>
        <v/>
      </c>
      <c r="AX149" s="8"/>
      <c r="AY149" s="3"/>
      <c r="AZ149" s="3"/>
      <c r="BA149" s="8"/>
    </row>
    <row r="150" spans="1:53" ht="14.4" customHeight="1" x14ac:dyDescent="0.3">
      <c r="A150" s="636">
        <v>25569.04218375</v>
      </c>
      <c r="B150" s="66"/>
      <c r="C150" s="60" t="e">
        <f>IF(#REF!&lt;&gt;"","S"&amp;TEXT(WEEKNUM(#REF!,21),"00"),"")</f>
        <v>#REF!</v>
      </c>
      <c r="D150" s="636">
        <v>25569.04218375</v>
      </c>
      <c r="E150" s="62">
        <v>4987</v>
      </c>
      <c r="F150" s="41" t="s">
        <v>641</v>
      </c>
      <c r="G150" s="41" t="s">
        <v>336</v>
      </c>
      <c r="H150" s="41"/>
      <c r="I150" s="62">
        <v>4758</v>
      </c>
      <c r="J150" s="41"/>
      <c r="K150" s="41"/>
      <c r="L150" s="41" t="s">
        <v>646</v>
      </c>
      <c r="M150" s="3"/>
      <c r="N150" s="60" t="e">
        <f>IF(#REF!&lt;&gt;"","S"&amp;TEXT(WEEKNUM(#REF!,21),"00"),"")</f>
        <v>#REF!</v>
      </c>
      <c r="O150" s="60" t="e">
        <f>IF(Data!#REF!="","",YEAR(Data!#REF!))</f>
        <v>#REF!</v>
      </c>
      <c r="P150" s="60" t="e">
        <f>IF(Data!#REF!="","",MONTH(Data!#REF!))</f>
        <v>#REF!</v>
      </c>
      <c r="Q150" s="42" t="s">
        <v>1042</v>
      </c>
      <c r="R150" s="618" t="s">
        <v>1043</v>
      </c>
      <c r="S150" s="62">
        <v>3584</v>
      </c>
      <c r="T150" s="45"/>
      <c r="U150" s="619"/>
      <c r="V150" s="3"/>
      <c r="W150" s="31" t="s">
        <v>1044</v>
      </c>
      <c r="X150" s="66" t="e">
        <f>IF(#REF!&lt;&gt;"","S"&amp;TEXT(WEEKNUM(#REF!,21),"00"),"")</f>
        <v>#REF!</v>
      </c>
      <c r="Y150" s="66" t="e">
        <f>IF(Data!#REF!="","",YEAR(Data!#REF!))</f>
        <v>#REF!</v>
      </c>
      <c r="Z150" s="66" t="e">
        <f>IF(Data!#REF!="","",MONTH(Data!#REF!))</f>
        <v>#REF!</v>
      </c>
      <c r="AA150" s="626" t="s">
        <v>1045</v>
      </c>
      <c r="AB150" s="8"/>
      <c r="AC150" s="626" t="s">
        <v>1046</v>
      </c>
      <c r="AD150" s="8"/>
      <c r="AE150" s="31"/>
      <c r="AF150" s="3"/>
      <c r="AG150" s="3"/>
      <c r="AH150" s="3"/>
      <c r="AI150" s="8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22"/>
      <c r="AU150" s="22"/>
      <c r="AV150" s="22"/>
      <c r="AW150" s="22"/>
      <c r="AX150" s="8"/>
      <c r="AY150" s="3"/>
      <c r="AZ150" s="3"/>
      <c r="BA150" s="8"/>
    </row>
    <row r="151" spans="1:53" ht="14.4" customHeigh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</row>
    <row r="152" spans="1:53" ht="14.4" customHeigh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</row>
    <row r="153" spans="1:53" ht="14.4" customHeigh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</row>
    <row r="154" spans="1:53" ht="14.4" customHeigh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</row>
    <row r="155" spans="1:53" ht="14.4" customHeigh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</row>
    <row r="156" spans="1:53" ht="14.4" customHeigh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</row>
    <row r="157" spans="1:53" ht="14.4" customHeigh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</row>
    <row r="158" spans="1:53" ht="14.4" customHeigh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</row>
    <row r="159" spans="1:53" ht="14.4" customHeigh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</row>
    <row r="160" spans="1:53" ht="14.4" customHeigh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</row>
    <row r="161" customFormat="1" ht="14.4" customHeight="1" x14ac:dyDescent="0.3"/>
    <row r="162" customFormat="1" ht="14.4" customHeight="1" x14ac:dyDescent="0.3"/>
    <row r="163" customFormat="1" ht="14.4" customHeight="1" x14ac:dyDescent="0.3"/>
    <row r="164" customFormat="1" ht="14.4" customHeight="1" x14ac:dyDescent="0.3"/>
    <row r="165" customFormat="1" ht="14.4" customHeight="1" x14ac:dyDescent="0.3"/>
    <row r="166" customFormat="1" ht="14.4" customHeight="1" x14ac:dyDescent="0.3"/>
    <row r="167" customFormat="1" ht="14.4" customHeight="1" x14ac:dyDescent="0.3"/>
    <row r="168" customFormat="1" ht="14.4" customHeight="1" x14ac:dyDescent="0.3"/>
    <row r="169" customFormat="1" ht="14.4" customHeight="1" x14ac:dyDescent="0.3"/>
    <row r="170" customFormat="1" ht="14.4" customHeight="1" x14ac:dyDescent="0.3"/>
    <row r="171" customFormat="1" ht="14.4" customHeight="1" x14ac:dyDescent="0.3"/>
    <row r="172" customFormat="1" ht="14.4" customHeight="1" x14ac:dyDescent="0.3"/>
    <row r="173" customFormat="1" ht="14.4" customHeight="1" x14ac:dyDescent="0.3"/>
    <row r="174" customFormat="1" ht="14.4" customHeight="1" x14ac:dyDescent="0.3"/>
    <row r="175" customFormat="1" ht="14.4" customHeight="1" x14ac:dyDescent="0.3"/>
    <row r="176" customFormat="1" ht="14.4" customHeight="1" x14ac:dyDescent="0.3"/>
    <row r="177" customFormat="1" ht="14.4" customHeight="1" x14ac:dyDescent="0.3"/>
    <row r="178" customFormat="1" ht="14.4" customHeight="1" x14ac:dyDescent="0.3"/>
    <row r="179" customFormat="1" ht="14.4" customHeight="1" x14ac:dyDescent="0.3"/>
    <row r="180" customFormat="1" ht="14.4" customHeight="1" x14ac:dyDescent="0.3"/>
    <row r="181" customFormat="1" ht="14.4" customHeight="1" x14ac:dyDescent="0.3"/>
    <row r="182" customFormat="1" ht="14.4" customHeight="1" x14ac:dyDescent="0.3"/>
    <row r="183" customFormat="1" ht="14.4" customHeight="1" x14ac:dyDescent="0.3"/>
    <row r="184" customFormat="1" ht="14.4" customHeight="1" x14ac:dyDescent="0.3"/>
    <row r="185" customFormat="1" ht="14.4" customHeight="1" x14ac:dyDescent="0.3"/>
    <row r="186" customFormat="1" ht="14.4" customHeight="1" x14ac:dyDescent="0.3"/>
    <row r="187" customFormat="1" ht="14.4" customHeight="1" x14ac:dyDescent="0.3"/>
    <row r="188" customFormat="1" ht="14.4" customHeight="1" x14ac:dyDescent="0.3"/>
    <row r="189" customFormat="1" ht="14.4" customHeight="1" x14ac:dyDescent="0.3"/>
    <row r="190" customFormat="1" ht="14.4" customHeight="1" x14ac:dyDescent="0.3"/>
    <row r="191" customFormat="1" ht="14.4" customHeight="1" x14ac:dyDescent="0.3"/>
    <row r="192" customFormat="1" ht="14.4" customHeight="1" x14ac:dyDescent="0.3"/>
    <row r="193" customFormat="1" ht="14.4" customHeight="1" x14ac:dyDescent="0.3"/>
    <row r="194" customFormat="1" ht="14.4" customHeight="1" x14ac:dyDescent="0.3"/>
    <row r="195" customFormat="1" ht="14.4" customHeight="1" x14ac:dyDescent="0.3"/>
    <row r="196" customFormat="1" ht="14.4" customHeight="1" x14ac:dyDescent="0.3"/>
    <row r="197" customFormat="1" ht="14.4" customHeight="1" x14ac:dyDescent="0.3"/>
    <row r="198" customFormat="1" ht="14.4" customHeight="1" x14ac:dyDescent="0.3"/>
    <row r="199" customFormat="1" ht="14.4" customHeight="1" x14ac:dyDescent="0.3"/>
    <row r="200" customFormat="1" ht="14.4" customHeight="1" x14ac:dyDescent="0.3"/>
    <row r="201" customFormat="1" ht="14.4" customHeight="1" x14ac:dyDescent="0.3"/>
    <row r="202" customFormat="1" ht="14.4" customHeight="1" x14ac:dyDescent="0.3"/>
    <row r="203" customFormat="1" ht="14.4" customHeight="1" x14ac:dyDescent="0.3"/>
    <row r="204" customFormat="1" ht="14.4" customHeight="1" x14ac:dyDescent="0.3"/>
    <row r="205" customFormat="1" ht="14.4" customHeight="1" x14ac:dyDescent="0.3"/>
    <row r="206" customFormat="1" ht="14.4" customHeight="1" x14ac:dyDescent="0.3"/>
    <row r="207" customFormat="1" ht="14.4" customHeight="1" x14ac:dyDescent="0.3"/>
    <row r="208" customFormat="1" ht="14.4" customHeight="1" x14ac:dyDescent="0.3"/>
    <row r="209" customFormat="1" ht="14.4" customHeight="1" x14ac:dyDescent="0.3"/>
    <row r="210" customFormat="1" ht="19.5" customHeight="1" x14ac:dyDescent="0.3"/>
    <row r="211" customFormat="1" ht="19.5" customHeight="1" x14ac:dyDescent="0.3"/>
    <row r="212" customFormat="1" ht="19.5" customHeight="1" x14ac:dyDescent="0.3"/>
    <row r="213" customFormat="1" ht="19.5" customHeight="1" x14ac:dyDescent="0.3"/>
    <row r="214" customFormat="1" ht="19.5" customHeight="1" x14ac:dyDescent="0.3"/>
    <row r="215" customFormat="1" ht="19.5" customHeight="1" x14ac:dyDescent="0.3"/>
    <row r="216" customFormat="1" ht="19.5" customHeight="1" x14ac:dyDescent="0.3"/>
    <row r="217" customFormat="1" ht="19.5" customHeight="1" x14ac:dyDescent="0.3"/>
    <row r="218" customFormat="1" ht="19.5" customHeight="1" x14ac:dyDescent="0.3"/>
    <row r="219" customFormat="1" ht="19.5" customHeight="1" x14ac:dyDescent="0.3"/>
    <row r="220" customFormat="1" ht="19.5" customHeight="1" x14ac:dyDescent="0.3"/>
    <row r="221" customFormat="1" ht="19.5" customHeight="1" x14ac:dyDescent="0.3"/>
    <row r="222" customFormat="1" ht="19.5" customHeight="1" x14ac:dyDescent="0.3"/>
    <row r="223" customFormat="1" ht="19.5" customHeight="1" x14ac:dyDescent="0.3"/>
    <row r="224" customFormat="1" ht="19.5" customHeight="1" x14ac:dyDescent="0.3"/>
    <row r="225" customFormat="1" ht="19.5" customHeight="1" x14ac:dyDescent="0.3"/>
    <row r="226" customFormat="1" ht="19.5" customHeight="1" x14ac:dyDescent="0.3"/>
    <row r="227" customFormat="1" ht="19.5" customHeight="1" x14ac:dyDescent="0.3"/>
    <row r="228" customFormat="1" ht="19.5" customHeight="1" x14ac:dyDescent="0.3"/>
    <row r="229" customFormat="1" ht="19.5" customHeight="1" x14ac:dyDescent="0.3"/>
    <row r="230" customFormat="1" ht="14.4" customHeight="1" x14ac:dyDescent="0.3"/>
    <row r="231" customFormat="1" ht="14.4" customHeight="1" x14ac:dyDescent="0.3"/>
    <row r="232" customFormat="1" ht="14.4" customHeight="1" x14ac:dyDescent="0.3"/>
    <row r="233" customFormat="1" ht="14.4" customHeight="1" x14ac:dyDescent="0.3"/>
    <row r="234" customFormat="1" ht="14.4" customHeight="1" x14ac:dyDescent="0.3"/>
    <row r="235" customFormat="1" ht="14.4" customHeight="1" x14ac:dyDescent="0.3"/>
    <row r="236" customFormat="1" ht="14.4" customHeight="1" x14ac:dyDescent="0.3"/>
    <row r="237" customFormat="1" ht="14.4" customHeight="1" x14ac:dyDescent="0.3"/>
    <row r="238" customFormat="1" ht="14.4" customHeight="1" x14ac:dyDescent="0.3"/>
    <row r="239" customFormat="1" ht="14.4" customHeight="1" x14ac:dyDescent="0.3"/>
    <row r="240" customFormat="1" ht="14.4" customHeight="1" x14ac:dyDescent="0.3"/>
    <row r="241" customFormat="1" ht="14.4" customHeight="1" x14ac:dyDescent="0.3"/>
    <row r="242" customFormat="1" ht="14.4" customHeight="1" x14ac:dyDescent="0.3"/>
    <row r="243" customFormat="1" ht="14.4" customHeight="1" x14ac:dyDescent="0.3"/>
    <row r="244" customFormat="1" ht="14.4" customHeight="1" x14ac:dyDescent="0.3"/>
    <row r="245" customFormat="1" ht="14.4" customHeight="1" x14ac:dyDescent="0.3"/>
    <row r="246" customFormat="1" ht="14.4" customHeight="1" x14ac:dyDescent="0.3"/>
    <row r="247" customFormat="1" ht="14.4" customHeight="1" x14ac:dyDescent="0.3"/>
    <row r="248" customFormat="1" ht="14.4" customHeight="1" x14ac:dyDescent="0.3"/>
    <row r="249" customFormat="1" ht="14.4" customHeight="1" x14ac:dyDescent="0.3"/>
    <row r="250" customFormat="1" ht="14.4" customHeight="1" x14ac:dyDescent="0.3"/>
    <row r="251" customFormat="1" ht="14.4" customHeight="1" x14ac:dyDescent="0.3"/>
    <row r="252" customFormat="1" ht="14.4" customHeight="1" x14ac:dyDescent="0.3"/>
    <row r="253" customFormat="1" ht="14.4" customHeight="1" x14ac:dyDescent="0.3"/>
    <row r="254" customFormat="1" ht="14.4" customHeight="1" x14ac:dyDescent="0.3"/>
    <row r="255" customFormat="1" ht="14.4" customHeight="1" x14ac:dyDescent="0.3"/>
    <row r="256" customFormat="1" ht="14.4" customHeight="1" x14ac:dyDescent="0.3"/>
    <row r="257" customFormat="1" ht="14.4" customHeight="1" x14ac:dyDescent="0.3"/>
    <row r="258" customFormat="1" ht="14.4" customHeight="1" x14ac:dyDescent="0.3"/>
    <row r="259" customFormat="1" ht="14.4" customHeight="1" x14ac:dyDescent="0.3"/>
    <row r="260" customFormat="1" ht="14.4" customHeight="1" x14ac:dyDescent="0.3"/>
    <row r="261" customFormat="1" ht="14.4" customHeight="1" x14ac:dyDescent="0.3"/>
    <row r="262" customFormat="1" ht="14.4" customHeight="1" x14ac:dyDescent="0.3"/>
    <row r="263" customFormat="1" ht="14.4" customHeight="1" x14ac:dyDescent="0.3"/>
    <row r="264" customFormat="1" ht="14.4" customHeight="1" x14ac:dyDescent="0.3"/>
    <row r="265" customFormat="1" ht="14.4" customHeight="1" x14ac:dyDescent="0.3"/>
    <row r="266" customFormat="1" ht="14.4" customHeight="1" x14ac:dyDescent="0.3"/>
    <row r="267" customFormat="1" ht="14.4" customHeight="1" x14ac:dyDescent="0.3"/>
    <row r="268" customFormat="1" ht="14.4" customHeight="1" x14ac:dyDescent="0.3"/>
    <row r="269" customFormat="1" ht="14.4" customHeight="1" x14ac:dyDescent="0.3"/>
    <row r="270" customFormat="1" ht="14.4" customHeight="1" x14ac:dyDescent="0.3"/>
    <row r="271" customFormat="1" ht="14.4" customHeight="1" x14ac:dyDescent="0.3"/>
    <row r="272" customFormat="1" ht="14.4" customHeight="1" x14ac:dyDescent="0.3"/>
    <row r="273" customFormat="1" ht="14.4" customHeight="1" x14ac:dyDescent="0.3"/>
    <row r="274" customFormat="1" ht="14.4" customHeight="1" x14ac:dyDescent="0.3"/>
    <row r="275" customFormat="1" ht="14.4" customHeight="1" x14ac:dyDescent="0.3"/>
    <row r="276" customFormat="1" ht="14.4" customHeight="1" x14ac:dyDescent="0.3"/>
    <row r="277" customFormat="1" ht="14.4" customHeight="1" x14ac:dyDescent="0.3"/>
    <row r="278" customFormat="1" ht="14.4" customHeight="1" x14ac:dyDescent="0.3"/>
    <row r="279" customFormat="1" ht="14.4" customHeight="1" x14ac:dyDescent="0.3"/>
    <row r="280" customFormat="1" ht="14.4" customHeight="1" x14ac:dyDescent="0.3"/>
    <row r="281" customFormat="1" ht="14.4" customHeight="1" x14ac:dyDescent="0.3"/>
    <row r="282" customFormat="1" ht="14.4" customHeight="1" x14ac:dyDescent="0.3"/>
    <row r="283" customFormat="1" ht="14.4" customHeight="1" x14ac:dyDescent="0.3"/>
    <row r="284" customFormat="1" ht="14.4" customHeight="1" x14ac:dyDescent="0.3"/>
    <row r="285" customFormat="1" ht="14.4" customHeight="1" x14ac:dyDescent="0.3"/>
    <row r="286" customFormat="1" ht="14.4" customHeight="1" x14ac:dyDescent="0.3"/>
    <row r="287" customFormat="1" ht="14.4" customHeight="1" x14ac:dyDescent="0.3"/>
    <row r="288" customFormat="1" ht="14.4" customHeight="1" x14ac:dyDescent="0.3"/>
    <row r="289" customFormat="1" ht="14.4" customHeight="1" x14ac:dyDescent="0.3"/>
    <row r="290" customFormat="1" ht="14.4" customHeight="1" x14ac:dyDescent="0.3"/>
    <row r="291" customFormat="1" ht="14.4" customHeight="1" x14ac:dyDescent="0.3"/>
    <row r="292" customFormat="1" ht="14.4" customHeight="1" x14ac:dyDescent="0.3"/>
    <row r="293" customFormat="1" ht="14.4" customHeight="1" x14ac:dyDescent="0.3"/>
    <row r="294" customFormat="1" ht="14.4" customHeight="1" x14ac:dyDescent="0.3"/>
    <row r="295" customFormat="1" ht="14.4" customHeight="1" x14ac:dyDescent="0.3"/>
    <row r="296" customFormat="1" ht="14.4" customHeight="1" x14ac:dyDescent="0.3"/>
    <row r="297" customFormat="1" ht="14.4" customHeight="1" x14ac:dyDescent="0.3"/>
    <row r="298" customFormat="1" ht="14.4" customHeight="1" x14ac:dyDescent="0.3"/>
    <row r="299" customFormat="1" ht="14.4" customHeight="1" x14ac:dyDescent="0.3"/>
    <row r="300" customFormat="1" ht="14.4" customHeight="1" x14ac:dyDescent="0.3"/>
    <row r="301" customFormat="1" ht="14.4" customHeight="1" x14ac:dyDescent="0.3"/>
    <row r="302" customFormat="1" ht="14.4" customHeight="1" x14ac:dyDescent="0.3"/>
    <row r="303" customFormat="1" ht="14.4" customHeight="1" x14ac:dyDescent="0.3"/>
    <row r="304" customFormat="1" ht="14.4" customHeight="1" x14ac:dyDescent="0.3"/>
    <row r="305" customFormat="1" ht="14.4" customHeight="1" x14ac:dyDescent="0.3"/>
    <row r="306" customFormat="1" ht="14.4" customHeight="1" x14ac:dyDescent="0.3"/>
    <row r="307" customFormat="1" ht="14.4" customHeight="1" x14ac:dyDescent="0.3"/>
    <row r="308" customFormat="1" ht="14.4" customHeight="1" x14ac:dyDescent="0.3"/>
    <row r="309" customFormat="1" ht="14.4" customHeight="1" x14ac:dyDescent="0.3"/>
    <row r="310" customFormat="1" ht="14.4" customHeight="1" x14ac:dyDescent="0.3"/>
    <row r="311" customFormat="1" ht="14.4" customHeight="1" x14ac:dyDescent="0.3"/>
    <row r="312" customFormat="1" ht="14.4" customHeight="1" x14ac:dyDescent="0.3"/>
    <row r="313" customFormat="1" ht="14.4" customHeight="1" x14ac:dyDescent="0.3"/>
    <row r="314" customFormat="1" ht="14.4" customHeight="1" x14ac:dyDescent="0.3"/>
    <row r="315" customFormat="1" ht="14.4" customHeight="1" x14ac:dyDescent="0.3"/>
    <row r="316" customFormat="1" ht="14.4" customHeight="1" x14ac:dyDescent="0.3"/>
    <row r="317" customFormat="1" ht="14.4" customHeight="1" x14ac:dyDescent="0.3"/>
    <row r="318" customFormat="1" ht="14.4" customHeight="1" x14ac:dyDescent="0.3"/>
    <row r="319" customFormat="1" ht="14.4" customHeight="1" x14ac:dyDescent="0.3"/>
    <row r="320" customFormat="1" ht="14.4" customHeight="1" x14ac:dyDescent="0.3"/>
    <row r="321" customFormat="1" ht="14.4" customHeight="1" x14ac:dyDescent="0.3"/>
    <row r="322" customFormat="1" ht="14.4" customHeight="1" x14ac:dyDescent="0.3"/>
    <row r="323" customFormat="1" ht="14.4" customHeight="1" x14ac:dyDescent="0.3"/>
    <row r="324" customFormat="1" ht="14.4" customHeight="1" x14ac:dyDescent="0.3"/>
    <row r="325" customFormat="1" ht="14.4" customHeight="1" x14ac:dyDescent="0.3"/>
    <row r="326" customFormat="1" ht="14.4" customHeight="1" x14ac:dyDescent="0.3"/>
    <row r="327" customFormat="1" ht="14.4" customHeight="1" x14ac:dyDescent="0.3"/>
    <row r="328" customFormat="1" ht="14.4" customHeight="1" x14ac:dyDescent="0.3"/>
    <row r="329" customFormat="1" ht="14.4" customHeight="1" x14ac:dyDescent="0.3"/>
    <row r="330" customFormat="1" ht="14.4" customHeight="1" x14ac:dyDescent="0.3"/>
    <row r="331" customFormat="1" ht="14.4" customHeight="1" x14ac:dyDescent="0.3"/>
    <row r="332" customFormat="1" ht="14.4" customHeight="1" x14ac:dyDescent="0.3"/>
    <row r="333" customFormat="1" ht="14.4" customHeight="1" x14ac:dyDescent="0.3"/>
    <row r="334" customFormat="1" ht="14.4" customHeight="1" x14ac:dyDescent="0.3"/>
    <row r="335" customFormat="1" ht="14.4" customHeight="1" x14ac:dyDescent="0.3"/>
    <row r="336" customFormat="1" ht="14.4" customHeight="1" x14ac:dyDescent="0.3"/>
    <row r="337" customFormat="1" ht="14.4" customHeight="1" x14ac:dyDescent="0.3"/>
    <row r="338" customFormat="1" ht="14.4" customHeight="1" x14ac:dyDescent="0.3"/>
    <row r="339" customFormat="1" ht="14.4" customHeight="1" x14ac:dyDescent="0.3"/>
    <row r="340" customFormat="1" ht="14.4" customHeight="1" x14ac:dyDescent="0.3"/>
    <row r="341" customFormat="1" ht="14.4" customHeight="1" x14ac:dyDescent="0.3"/>
    <row r="342" customFormat="1" ht="14.4" customHeight="1" x14ac:dyDescent="0.3"/>
    <row r="343" customFormat="1" ht="14.4" customHeight="1" x14ac:dyDescent="0.3"/>
    <row r="344" customFormat="1" ht="14.4" customHeight="1" x14ac:dyDescent="0.3"/>
    <row r="345" customFormat="1" ht="14.4" customHeight="1" x14ac:dyDescent="0.3"/>
    <row r="346" customFormat="1" ht="14.4" customHeight="1" x14ac:dyDescent="0.3"/>
    <row r="347" customFormat="1" ht="14.4" customHeight="1" x14ac:dyDescent="0.3"/>
    <row r="348" customFormat="1" ht="14.4" customHeight="1" x14ac:dyDescent="0.3"/>
    <row r="349" customFormat="1" ht="14.4" customHeight="1" x14ac:dyDescent="0.3"/>
    <row r="350" customFormat="1" ht="14.4" customHeight="1" x14ac:dyDescent="0.3"/>
    <row r="351" customFormat="1" ht="14.4" customHeight="1" x14ac:dyDescent="0.3"/>
    <row r="352" customFormat="1" ht="14.4" customHeight="1" x14ac:dyDescent="0.3"/>
    <row r="353" customFormat="1" ht="14.4" customHeight="1" x14ac:dyDescent="0.3"/>
    <row r="354" customFormat="1" ht="14.4" customHeight="1" x14ac:dyDescent="0.3"/>
    <row r="355" customFormat="1" ht="14.4" customHeight="1" x14ac:dyDescent="0.3"/>
    <row r="356" customFormat="1" ht="14.4" customHeight="1" x14ac:dyDescent="0.3"/>
    <row r="357" customFormat="1" ht="14.4" customHeight="1" x14ac:dyDescent="0.3"/>
    <row r="358" customFormat="1" ht="14.4" customHeight="1" x14ac:dyDescent="0.3"/>
    <row r="359" customFormat="1" ht="14.4" customHeight="1" x14ac:dyDescent="0.3"/>
    <row r="360" customFormat="1" ht="14.4" customHeight="1" x14ac:dyDescent="0.3"/>
    <row r="361" customFormat="1" ht="14.4" customHeight="1" x14ac:dyDescent="0.3"/>
    <row r="362" customFormat="1" ht="14.4" customHeight="1" x14ac:dyDescent="0.3"/>
    <row r="363" customFormat="1" ht="14.4" customHeight="1" x14ac:dyDescent="0.3"/>
    <row r="364" customFormat="1" ht="14.4" customHeight="1" x14ac:dyDescent="0.3"/>
    <row r="365" customFormat="1" ht="14.4" customHeight="1" x14ac:dyDescent="0.3"/>
    <row r="366" customFormat="1" ht="14.4" customHeight="1" x14ac:dyDescent="0.3"/>
    <row r="367" customFormat="1" ht="14.4" customHeight="1" x14ac:dyDescent="0.3"/>
    <row r="368" customFormat="1" ht="14.4" customHeight="1" x14ac:dyDescent="0.3"/>
    <row r="369" customFormat="1" ht="14.4" customHeight="1" x14ac:dyDescent="0.3"/>
    <row r="370" customFormat="1" ht="14.4" customHeight="1" x14ac:dyDescent="0.3"/>
    <row r="371" customFormat="1" ht="14.4" customHeight="1" x14ac:dyDescent="0.3"/>
    <row r="372" customFormat="1" ht="14.4" customHeight="1" x14ac:dyDescent="0.3"/>
    <row r="373" customFormat="1" ht="14.4" customHeight="1" x14ac:dyDescent="0.3"/>
    <row r="374" customFormat="1" ht="14.4" customHeight="1" x14ac:dyDescent="0.3"/>
    <row r="375" customFormat="1" ht="14.4" customHeight="1" x14ac:dyDescent="0.3"/>
    <row r="376" customFormat="1" ht="14.4" customHeight="1" x14ac:dyDescent="0.3"/>
    <row r="377" customFormat="1" ht="14.4" customHeight="1" x14ac:dyDescent="0.3"/>
    <row r="378" customFormat="1" ht="14.4" customHeight="1" x14ac:dyDescent="0.3"/>
    <row r="379" customFormat="1" ht="14.4" customHeight="1" x14ac:dyDescent="0.3"/>
    <row r="380" customFormat="1" ht="14.4" customHeight="1" x14ac:dyDescent="0.3"/>
    <row r="381" customFormat="1" ht="14.4" customHeight="1" x14ac:dyDescent="0.3"/>
    <row r="382" customFormat="1" ht="14.4" customHeight="1" x14ac:dyDescent="0.3"/>
    <row r="383" customFormat="1" ht="14.4" customHeight="1" x14ac:dyDescent="0.3"/>
    <row r="384" customFormat="1" ht="14.4" customHeight="1" x14ac:dyDescent="0.3"/>
    <row r="385" customFormat="1" ht="14.4" customHeight="1" x14ac:dyDescent="0.3"/>
    <row r="386" customFormat="1" ht="14.4" customHeight="1" x14ac:dyDescent="0.3"/>
    <row r="387" customFormat="1" ht="14.4" customHeight="1" x14ac:dyDescent="0.3"/>
    <row r="388" customFormat="1" ht="14.4" customHeight="1" x14ac:dyDescent="0.3"/>
    <row r="389" customFormat="1" ht="14.4" customHeight="1" x14ac:dyDescent="0.3"/>
    <row r="390" customFormat="1" ht="14.4" customHeight="1" x14ac:dyDescent="0.3"/>
    <row r="391" customFormat="1" ht="14.4" customHeight="1" x14ac:dyDescent="0.3"/>
    <row r="392" customFormat="1" ht="14.4" customHeight="1" x14ac:dyDescent="0.3"/>
    <row r="393" customFormat="1" ht="14.4" customHeight="1" x14ac:dyDescent="0.3"/>
    <row r="394" customFormat="1" ht="14.4" customHeight="1" x14ac:dyDescent="0.3"/>
    <row r="395" customFormat="1" ht="14.4" customHeight="1" x14ac:dyDescent="0.3"/>
    <row r="396" customFormat="1" ht="14.4" customHeight="1" x14ac:dyDescent="0.3"/>
    <row r="397" customFormat="1" ht="14.4" customHeight="1" x14ac:dyDescent="0.3"/>
    <row r="398" customFormat="1" ht="14.4" customHeight="1" x14ac:dyDescent="0.3"/>
    <row r="399" customFormat="1" ht="14.4" customHeight="1" x14ac:dyDescent="0.3"/>
    <row r="400" customFormat="1" ht="14.4" customHeight="1" x14ac:dyDescent="0.3"/>
    <row r="401" customFormat="1" ht="14.4" customHeight="1" x14ac:dyDescent="0.3"/>
    <row r="402" customFormat="1" ht="14.4" customHeight="1" x14ac:dyDescent="0.3"/>
    <row r="403" customFormat="1" ht="14.4" customHeight="1" x14ac:dyDescent="0.3"/>
    <row r="404" customFormat="1" ht="14.4" customHeight="1" x14ac:dyDescent="0.3"/>
    <row r="405" customFormat="1" ht="14.4" customHeight="1" x14ac:dyDescent="0.3"/>
    <row r="406" customFormat="1" ht="14.4" customHeight="1" x14ac:dyDescent="0.3"/>
    <row r="407" customFormat="1" ht="14.4" customHeight="1" x14ac:dyDescent="0.3"/>
    <row r="408" customFormat="1" ht="14.4" customHeight="1" x14ac:dyDescent="0.3"/>
    <row r="409" customFormat="1" ht="14.4" customHeight="1" x14ac:dyDescent="0.3"/>
    <row r="410" customFormat="1" ht="14.4" customHeight="1" x14ac:dyDescent="0.3"/>
    <row r="411" customFormat="1" ht="14.4" customHeight="1" x14ac:dyDescent="0.3"/>
    <row r="412" customFormat="1" ht="14.4" customHeight="1" x14ac:dyDescent="0.3"/>
    <row r="413" customFormat="1" ht="14.4" customHeight="1" x14ac:dyDescent="0.3"/>
    <row r="414" customFormat="1" ht="14.4" customHeight="1" x14ac:dyDescent="0.3"/>
    <row r="415" customFormat="1" ht="14.4" customHeight="1" x14ac:dyDescent="0.3"/>
    <row r="416" customFormat="1" ht="14.4" customHeight="1" x14ac:dyDescent="0.3"/>
    <row r="417" customFormat="1" ht="14.4" customHeight="1" x14ac:dyDescent="0.3"/>
    <row r="418" customFormat="1" ht="14.4" customHeight="1" x14ac:dyDescent="0.3"/>
    <row r="419" customFormat="1" ht="14.4" customHeight="1" x14ac:dyDescent="0.3"/>
    <row r="420" customFormat="1" ht="14.4" customHeight="1" x14ac:dyDescent="0.3"/>
    <row r="421" customFormat="1" ht="14.4" customHeight="1" x14ac:dyDescent="0.3"/>
    <row r="422" customFormat="1" ht="14.4" customHeight="1" x14ac:dyDescent="0.3"/>
    <row r="423" customFormat="1" ht="14.4" customHeight="1" x14ac:dyDescent="0.3"/>
    <row r="424" customFormat="1" ht="19.5" customHeight="1" x14ac:dyDescent="0.3"/>
    <row r="425" customFormat="1" ht="19.5" customHeight="1" x14ac:dyDescent="0.3"/>
    <row r="426" customFormat="1" ht="19.5" customHeight="1" x14ac:dyDescent="0.3"/>
    <row r="427" customFormat="1" ht="19.5" customHeight="1" x14ac:dyDescent="0.3"/>
    <row r="428" customFormat="1" ht="19.5" customHeight="1" x14ac:dyDescent="0.3"/>
    <row r="429" customFormat="1" ht="19.5" customHeight="1" x14ac:dyDescent="0.3"/>
    <row r="430" customFormat="1" ht="19.5" customHeight="1" x14ac:dyDescent="0.3"/>
    <row r="431" customFormat="1" ht="19.5" customHeight="1" x14ac:dyDescent="0.3"/>
    <row r="432" customFormat="1" ht="19.5" customHeight="1" x14ac:dyDescent="0.3"/>
    <row r="433" customFormat="1" ht="19.5" customHeight="1" x14ac:dyDescent="0.3"/>
    <row r="434" customFormat="1" x14ac:dyDescent="0.3"/>
  </sheetData>
  <mergeCells count="3">
    <mergeCell ref="C1:L1"/>
    <mergeCell ref="N1:U1"/>
    <mergeCell ref="X1:A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E145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1.88671875" style="17" bestFit="1" customWidth="1"/>
    <col min="2" max="2" width="25.109375" style="17" bestFit="1" customWidth="1"/>
    <col min="3" max="3" width="12" style="396" bestFit="1" customWidth="1"/>
    <col min="4" max="4" width="12" style="18" bestFit="1" customWidth="1"/>
    <col min="5" max="5" width="12.109375" style="18" bestFit="1" customWidth="1"/>
    <col min="6" max="6" width="12" style="18" bestFit="1" customWidth="1"/>
    <col min="7" max="8" width="12" style="396" bestFit="1" customWidth="1"/>
    <col min="9" max="11" width="12" style="18" bestFit="1" customWidth="1"/>
    <col min="12" max="54" width="12" style="396" bestFit="1" customWidth="1"/>
    <col min="55" max="57" width="14.109375" style="17" bestFit="1" customWidth="1"/>
  </cols>
  <sheetData>
    <row r="1" spans="1:57" ht="19.5" customHeight="1" x14ac:dyDescent="0.3">
      <c r="A1" s="489" t="s">
        <v>86</v>
      </c>
      <c r="B1" s="3"/>
      <c r="C1" s="490" t="s">
        <v>88</v>
      </c>
      <c r="D1" s="491" t="s">
        <v>89</v>
      </c>
      <c r="E1" s="491" t="s">
        <v>90</v>
      </c>
      <c r="F1" s="492" t="s">
        <v>91</v>
      </c>
      <c r="G1" s="493" t="s">
        <v>92</v>
      </c>
      <c r="H1" s="493" t="s">
        <v>93</v>
      </c>
      <c r="I1" s="494" t="s">
        <v>94</v>
      </c>
      <c r="J1" s="495" t="s">
        <v>95</v>
      </c>
      <c r="K1" s="491" t="s">
        <v>96</v>
      </c>
      <c r="L1" s="496" t="s">
        <v>97</v>
      </c>
      <c r="M1" s="496" t="s">
        <v>98</v>
      </c>
      <c r="N1" s="496" t="s">
        <v>99</v>
      </c>
      <c r="O1" s="496" t="s">
        <v>100</v>
      </c>
      <c r="P1" s="493" t="s">
        <v>101</v>
      </c>
      <c r="Q1" s="493" t="s">
        <v>102</v>
      </c>
      <c r="R1" s="493" t="s">
        <v>103</v>
      </c>
      <c r="S1" s="493" t="s">
        <v>104</v>
      </c>
      <c r="T1" s="496" t="s">
        <v>105</v>
      </c>
      <c r="U1" s="496" t="s">
        <v>106</v>
      </c>
      <c r="V1" s="496" t="s">
        <v>107</v>
      </c>
      <c r="W1" s="496" t="s">
        <v>108</v>
      </c>
      <c r="X1" s="493" t="s">
        <v>109</v>
      </c>
      <c r="Y1" s="493" t="s">
        <v>110</v>
      </c>
      <c r="Z1" s="493" t="s">
        <v>111</v>
      </c>
      <c r="AA1" s="493" t="s">
        <v>112</v>
      </c>
      <c r="AB1" s="493" t="s">
        <v>113</v>
      </c>
      <c r="AC1" s="496" t="s">
        <v>114</v>
      </c>
      <c r="AD1" s="496" t="s">
        <v>115</v>
      </c>
      <c r="AE1" s="496" t="s">
        <v>116</v>
      </c>
      <c r="AF1" s="496" t="s">
        <v>117</v>
      </c>
      <c r="AG1" s="493" t="s">
        <v>118</v>
      </c>
      <c r="AH1" s="493" t="s">
        <v>119</v>
      </c>
      <c r="AI1" s="493" t="s">
        <v>120</v>
      </c>
      <c r="AJ1" s="493" t="s">
        <v>121</v>
      </c>
      <c r="AK1" s="496" t="s">
        <v>122</v>
      </c>
      <c r="AL1" s="496" t="s">
        <v>123</v>
      </c>
      <c r="AM1" s="496" t="s">
        <v>124</v>
      </c>
      <c r="AN1" s="496" t="s">
        <v>125</v>
      </c>
      <c r="AO1" s="496" t="s">
        <v>126</v>
      </c>
      <c r="AP1" s="493" t="s">
        <v>127</v>
      </c>
      <c r="AQ1" s="493" t="s">
        <v>128</v>
      </c>
      <c r="AR1" s="493" t="s">
        <v>129</v>
      </c>
      <c r="AS1" s="493" t="s">
        <v>130</v>
      </c>
      <c r="AT1" s="496" t="s">
        <v>131</v>
      </c>
      <c r="AU1" s="496" t="s">
        <v>132</v>
      </c>
      <c r="AV1" s="496" t="s">
        <v>133</v>
      </c>
      <c r="AW1" s="496" t="s">
        <v>134</v>
      </c>
      <c r="AX1" s="493" t="s">
        <v>135</v>
      </c>
      <c r="AY1" s="493" t="s">
        <v>136</v>
      </c>
      <c r="AZ1" s="493" t="s">
        <v>137</v>
      </c>
      <c r="BA1" s="493" t="s">
        <v>138</v>
      </c>
      <c r="BB1" s="493" t="s">
        <v>139</v>
      </c>
      <c r="BC1" s="3"/>
      <c r="BD1" s="3"/>
      <c r="BE1" s="3"/>
    </row>
    <row r="2" spans="1:57" ht="19.5" customHeight="1" x14ac:dyDescent="0.3">
      <c r="A2" s="123" t="e">
        <f>SUM(C2:BB2)</f>
        <v>#REF!</v>
      </c>
      <c r="B2" s="21" t="s">
        <v>140</v>
      </c>
      <c r="C2" s="123" t="e">
        <f>SUMPRODUCT((Data!$C$3:$C$150='Weekly Data'!C1)*(Data!$I$3:$I$150))</f>
        <v>#REF!</v>
      </c>
      <c r="D2" s="123" t="e">
        <f>SUMPRODUCT((Data!$C$3:$C$150='Weekly Data'!D1)*(Data!$I$3:$I$150))</f>
        <v>#REF!</v>
      </c>
      <c r="E2" s="123" t="e">
        <f>SUMPRODUCT((Data!$C$3:$C$150='Weekly Data'!E1)*(Data!$I$3:$I$150))</f>
        <v>#REF!</v>
      </c>
      <c r="F2" s="123" t="e">
        <f>SUMPRODUCT((Data!$C$3:$C$150='Weekly Data'!F1)*(Data!$I$3:$I$150))</f>
        <v>#REF!</v>
      </c>
      <c r="G2" s="123" t="e">
        <f>SUMPRODUCT((Data!$C$3:$C$150='Weekly Data'!G1)*(Data!$I$3:$I$150))</f>
        <v>#REF!</v>
      </c>
      <c r="H2" s="123" t="e">
        <f>SUMPRODUCT((Data!$C$3:$C$150='Weekly Data'!H1)*(Data!$I$3:$I$150))</f>
        <v>#REF!</v>
      </c>
      <c r="I2" s="123" t="e">
        <f>SUMPRODUCT((Data!$C$3:$C$150='Weekly Data'!I1)*(Data!$I$3:$I$150))</f>
        <v>#REF!</v>
      </c>
      <c r="J2" s="123" t="e">
        <f>SUMPRODUCT((Data!$C$3:$C$150='Weekly Data'!J1)*(Data!$I$3:$I$150))</f>
        <v>#REF!</v>
      </c>
      <c r="K2" s="123" t="e">
        <f>SUMPRODUCT((Data!$C$3:$C$150='Weekly Data'!K1)*(Data!$I$3:$I$150))</f>
        <v>#REF!</v>
      </c>
      <c r="L2" s="123" t="e">
        <f>SUMPRODUCT((Data!$C$3:$C$150='Weekly Data'!L1)*(Data!$I$3:$I$150))</f>
        <v>#REF!</v>
      </c>
      <c r="M2" s="123" t="e">
        <f>SUMPRODUCT((Data!$C$3:$C$150='Weekly Data'!M1)*(Data!$I$3:$I$150))</f>
        <v>#REF!</v>
      </c>
      <c r="N2" s="123" t="e">
        <f>SUMPRODUCT((Data!$C$3:$C$150='Weekly Data'!N1)*(Data!$I$3:$I$150))</f>
        <v>#REF!</v>
      </c>
      <c r="O2" s="123" t="e">
        <f>SUMPRODUCT((Data!$C$3:$C$150='Weekly Data'!O1)*(Data!$I$3:$I$150))</f>
        <v>#REF!</v>
      </c>
      <c r="P2" s="123" t="e">
        <f>SUMPRODUCT((Data!$C$3:$C$150='Weekly Data'!P1)*(Data!$I$3:$I$150))</f>
        <v>#REF!</v>
      </c>
      <c r="Q2" s="123" t="e">
        <f>SUMPRODUCT((Data!$C$3:$C$150='Weekly Data'!Q1)*(Data!$I$3:$I$150))</f>
        <v>#REF!</v>
      </c>
      <c r="R2" s="123" t="e">
        <f>SUMPRODUCT((Data!$C$3:$C$150='Weekly Data'!R1)*(Data!$I$3:$I$150))</f>
        <v>#REF!</v>
      </c>
      <c r="S2" s="123" t="e">
        <f>SUMPRODUCT((Data!$C$3:$C$150='Weekly Data'!S1)*(Data!$I$3:$I$150))</f>
        <v>#REF!</v>
      </c>
      <c r="T2" s="123" t="e">
        <f>SUMPRODUCT((Data!$C$3:$C$150='Weekly Data'!T1)*(Data!$I$3:$I$150))</f>
        <v>#REF!</v>
      </c>
      <c r="U2" s="123" t="e">
        <f>SUMPRODUCT((Data!$C$3:$C$150='Weekly Data'!U1)*(Data!$I$3:$I$150))</f>
        <v>#REF!</v>
      </c>
      <c r="V2" s="123" t="e">
        <f>SUMPRODUCT((Data!$C$3:$C$150='Weekly Data'!V1)*(Data!$I$3:$I$150))</f>
        <v>#REF!</v>
      </c>
      <c r="W2" s="123" t="e">
        <f>SUMPRODUCT((Data!$C$3:$C$150='Weekly Data'!W1)*(Data!$I$3:$I$150))</f>
        <v>#REF!</v>
      </c>
      <c r="X2" s="123" t="e">
        <f>SUMPRODUCT((Data!$C$3:$C$150='Weekly Data'!X1)*(Data!$I$3:$I$150))</f>
        <v>#REF!</v>
      </c>
      <c r="Y2" s="123" t="e">
        <f>SUMPRODUCT((Data!$C$3:$C$150='Weekly Data'!Y1)*(Data!$I$3:$I$150))</f>
        <v>#REF!</v>
      </c>
      <c r="Z2" s="123" t="e">
        <f>SUMPRODUCT((Data!$C$3:$C$150='Weekly Data'!Z1)*(Data!$I$3:$I$150))</f>
        <v>#REF!</v>
      </c>
      <c r="AA2" s="123" t="e">
        <f>SUMPRODUCT((Data!$C$3:$C$150='Weekly Data'!AA1)*(Data!$I$3:$I$150))</f>
        <v>#REF!</v>
      </c>
      <c r="AB2" s="123" t="e">
        <f>SUMPRODUCT((Data!$C$3:$C$150='Weekly Data'!AB1)*(Data!$I$3:$I$150))</f>
        <v>#REF!</v>
      </c>
      <c r="AC2" s="123" t="e">
        <f>SUMPRODUCT((Data!$C$3:$C$150='Weekly Data'!AC1)*(Data!$I$3:$I$150))</f>
        <v>#REF!</v>
      </c>
      <c r="AD2" s="123" t="e">
        <f>SUMPRODUCT((Data!$C$3:$C$150='Weekly Data'!AD1)*(Data!$I$3:$I$150))</f>
        <v>#REF!</v>
      </c>
      <c r="AE2" s="123" t="e">
        <f>SUMPRODUCT((Data!$C$3:$C$150='Weekly Data'!AE1)*(Data!$I$3:$I$150))</f>
        <v>#REF!</v>
      </c>
      <c r="AF2" s="123" t="e">
        <f>SUMPRODUCT((Data!$C$3:$C$150='Weekly Data'!AF1)*(Data!$I$3:$I$150))</f>
        <v>#REF!</v>
      </c>
      <c r="AG2" s="123" t="e">
        <f>SUMPRODUCT((Data!$C$3:$C$150='Weekly Data'!AG1)*(Data!$I$3:$I$150))</f>
        <v>#REF!</v>
      </c>
      <c r="AH2" s="123" t="e">
        <f>SUMPRODUCT((Data!$C$3:$C$150='Weekly Data'!AH1)*(Data!$I$3:$I$150))</f>
        <v>#REF!</v>
      </c>
      <c r="AI2" s="123" t="e">
        <f>SUMPRODUCT((Data!$C$3:$C$150='Weekly Data'!AI1)*(Data!$I$3:$I$150))</f>
        <v>#REF!</v>
      </c>
      <c r="AJ2" s="123" t="e">
        <f>SUMPRODUCT((Data!$C$3:$C$150='Weekly Data'!AJ1)*(Data!$I$3:$I$150))</f>
        <v>#REF!</v>
      </c>
      <c r="AK2" s="123" t="e">
        <f>SUMPRODUCT((Data!$C$3:$C$150='Weekly Data'!AK1)*(Data!$I$3:$I$150))</f>
        <v>#REF!</v>
      </c>
      <c r="AL2" s="123" t="e">
        <f>SUMPRODUCT((Data!$C$3:$C$150='Weekly Data'!AL1)*(Data!$I$3:$I$150))</f>
        <v>#REF!</v>
      </c>
      <c r="AM2" s="123" t="e">
        <f>SUMPRODUCT((Data!$C$3:$C$150='Weekly Data'!AM1)*(Data!$I$3:$I$150))</f>
        <v>#REF!</v>
      </c>
      <c r="AN2" s="123" t="e">
        <f>SUMPRODUCT((Data!$C$3:$C$150='Weekly Data'!AN1)*(Data!$I$3:$I$150))</f>
        <v>#REF!</v>
      </c>
      <c r="AO2" s="123" t="e">
        <f>SUMPRODUCT((Data!$C$3:$C$150='Weekly Data'!AO1)*(Data!$I$3:$I$150))</f>
        <v>#REF!</v>
      </c>
      <c r="AP2" s="123" t="e">
        <f>SUMPRODUCT((Data!$C$3:$C$150='Weekly Data'!AP1)*(Data!$I$3:$I$150))</f>
        <v>#REF!</v>
      </c>
      <c r="AQ2" s="123" t="e">
        <f>SUMPRODUCT((Data!$C$3:$C$150='Weekly Data'!AQ1)*(Data!$I$3:$I$150))</f>
        <v>#REF!</v>
      </c>
      <c r="AR2" s="123" t="e">
        <f>SUMPRODUCT((Data!$C$3:$C$150='Weekly Data'!AR1)*(Data!$I$3:$I$150))</f>
        <v>#REF!</v>
      </c>
      <c r="AS2" s="123" t="e">
        <f>SUMPRODUCT((Data!$C$3:$C$150='Weekly Data'!AS1)*(Data!$I$3:$I$150))</f>
        <v>#REF!</v>
      </c>
      <c r="AT2" s="123" t="e">
        <f>SUMPRODUCT((Data!$C$3:$C$150='Weekly Data'!AT1)*(Data!$I$3:$I$150))</f>
        <v>#REF!</v>
      </c>
      <c r="AU2" s="123" t="e">
        <f>SUMPRODUCT((Data!$C$3:$C$150='Weekly Data'!AU1)*(Data!$I$3:$I$150))</f>
        <v>#REF!</v>
      </c>
      <c r="AV2" s="123" t="e">
        <f>SUMPRODUCT((Data!$C$3:$C$150='Weekly Data'!AV1)*(Data!$I$3:$I$150))</f>
        <v>#REF!</v>
      </c>
      <c r="AW2" s="123" t="e">
        <f>SUMPRODUCT((Data!$C$3:$C$150='Weekly Data'!AW1)*(Data!$I$3:$I$150))</f>
        <v>#REF!</v>
      </c>
      <c r="AX2" s="123" t="e">
        <f>SUMPRODUCT((Data!$C$3:$C$150='Weekly Data'!AX1)*(Data!$I$3:$I$150))</f>
        <v>#REF!</v>
      </c>
      <c r="AY2" s="123" t="e">
        <f>SUMPRODUCT((Data!$C$3:$C$150='Weekly Data'!AY1)*(Data!$I$3:$I$150))</f>
        <v>#REF!</v>
      </c>
      <c r="AZ2" s="123" t="e">
        <f>SUMPRODUCT((Data!$C$3:$C$150='Weekly Data'!AZ1)*(Data!$G$3:$G$150&lt;&gt;"AIA")*(Data!$I$3:$I$150))</f>
        <v>#REF!</v>
      </c>
      <c r="BA2" s="123" t="e">
        <f>SUMPRODUCT((Data!$C$3:$C$150='Weekly Data'!BA1)*(Data!$I$3:$I$150))</f>
        <v>#REF!</v>
      </c>
      <c r="BB2" s="123" t="e">
        <f>SUMPRODUCT((Data!$C$3:$C$150='Weekly Data'!BB1)*(Data!$I$3:$I$150))</f>
        <v>#REF!</v>
      </c>
      <c r="BC2" s="3"/>
      <c r="BD2" s="3"/>
      <c r="BE2" s="3"/>
    </row>
    <row r="3" spans="1:57" ht="19.5" customHeight="1" x14ac:dyDescent="0.3">
      <c r="A3" s="123">
        <f>SUM(C3:BB3)</f>
        <v>0</v>
      </c>
      <c r="B3" s="21" t="s">
        <v>141</v>
      </c>
      <c r="C3" s="123">
        <f>SUMIFS(Data!$S$3:$S$150,Data!$N$3:$N$150,C$1,Data!$O$3:$O$150,2022)</f>
        <v>0</v>
      </c>
      <c r="D3" s="123">
        <f>SUMIFS(Data!$S$3:$S$150,Data!$N$3:$N$150,D$1,Data!$O$3:$O$150,2022)</f>
        <v>0</v>
      </c>
      <c r="E3" s="123">
        <f>SUMIFS(Data!$S$3:$S$150,Data!$N$3:$N$150,E$1,Data!$O$3:$O$150,2022)</f>
        <v>0</v>
      </c>
      <c r="F3" s="123">
        <f>SUMIFS(Data!$S$3:$S$150,Data!$N$3:$N$150,F$1,Data!$O$3:$O$150,2022)</f>
        <v>0</v>
      </c>
      <c r="G3" s="123">
        <f>SUMIFS(Data!$S$3:$S$150,Data!$N$3:$N$150,G$1,Data!$O$3:$O$150,2022)</f>
        <v>0</v>
      </c>
      <c r="H3" s="123">
        <f>SUMIFS(Data!$S$3:$S$150,Data!$N$3:$N$150,H$1,Data!$O$3:$O$150,2022)</f>
        <v>0</v>
      </c>
      <c r="I3" s="123">
        <f>SUMIFS(Data!$S$3:$S$150,Data!$N$3:$N$150,I$1,Data!$O$3:$O$150,2022)</f>
        <v>0</v>
      </c>
      <c r="J3" s="123">
        <f>SUMIFS(Data!$S$3:$S$150,Data!$N$3:$N$150,J$1,Data!$O$3:$O$150,2022)</f>
        <v>0</v>
      </c>
      <c r="K3" s="123">
        <f>SUMIFS(Data!$S$3:$S$150,Data!$N$3:$N$150,K$1,Data!$O$3:$O$150,2022)</f>
        <v>0</v>
      </c>
      <c r="L3" s="123">
        <f>SUMIFS(Data!$S$3:$S$150,Data!$N$3:$N$150,L$1,Data!$O$3:$O$150,2022)</f>
        <v>0</v>
      </c>
      <c r="M3" s="123">
        <f>SUMIFS(Data!$S$3:$S$150,Data!$N$3:$N$150,M$1,Data!$O$3:$O$150,2022)</f>
        <v>0</v>
      </c>
      <c r="N3" s="123">
        <f>SUMIFS(Data!$S$3:$S$150,Data!$N$3:$N$150,N$1,Data!$O$3:$O$150,2022)</f>
        <v>0</v>
      </c>
      <c r="O3" s="123">
        <f>SUMIFS(Data!$S$3:$S$150,Data!$N$3:$N$150,O$1,Data!$O$3:$O$150,2022)</f>
        <v>0</v>
      </c>
      <c r="P3" s="123">
        <f>SUMIFS(Data!$S$3:$S$150,Data!$N$3:$N$150,P$1,Data!$O$3:$O$150,2022)</f>
        <v>0</v>
      </c>
      <c r="Q3" s="123">
        <f>SUMIFS(Data!$S$3:$S$150,Data!$N$3:$N$150,Q$1,Data!$O$3:$O$150,2022)</f>
        <v>0</v>
      </c>
      <c r="R3" s="123">
        <f>SUMIFS(Data!$S$3:$S$150,Data!$N$3:$N$150,R$1,Data!$O$3:$O$150,2022)</f>
        <v>0</v>
      </c>
      <c r="S3" s="123">
        <f>SUMIFS(Data!$S$3:$S$150,Data!$N$3:$N$150,S$1,Data!$O$3:$O$150,2022)</f>
        <v>0</v>
      </c>
      <c r="T3" s="123">
        <f>SUMIFS(Data!$S$3:$S$150,Data!$N$3:$N$150,T$1,Data!$O$3:$O$150,2022)</f>
        <v>0</v>
      </c>
      <c r="U3" s="123">
        <f>SUMIFS(Data!$S$3:$S$150,Data!$N$3:$N$150,U$1,Data!$O$3:$O$150,2022)</f>
        <v>0</v>
      </c>
      <c r="V3" s="123">
        <f>SUMIFS(Data!$S$3:$S$150,Data!$N$3:$N$150,V$1,Data!$O$3:$O$150,2022)</f>
        <v>0</v>
      </c>
      <c r="W3" s="123">
        <f>SUMIFS(Data!$S$3:$S$150,Data!$N$3:$N$150,W$1,Data!$O$3:$O$150,2022)</f>
        <v>0</v>
      </c>
      <c r="X3" s="123">
        <f>SUMIFS(Data!$S$3:$S$150,Data!$N$3:$N$150,X$1,Data!$O$3:$O$150,2022)</f>
        <v>0</v>
      </c>
      <c r="Y3" s="123">
        <f>SUMIFS(Data!$S$3:$S$150,Data!$N$3:$N$150,Y$1,Data!$O$3:$O$150,2022)</f>
        <v>0</v>
      </c>
      <c r="Z3" s="123">
        <f>SUMIFS(Data!$S$3:$S$150,Data!$N$3:$N$150,Z$1,Data!$O$3:$O$150,2022)</f>
        <v>0</v>
      </c>
      <c r="AA3" s="123">
        <f>SUMIFS(Data!$S$3:$S$150,Data!$N$3:$N$150,AA$1,Data!$O$3:$O$150,2022)</f>
        <v>0</v>
      </c>
      <c r="AB3" s="123">
        <f>SUMIFS(Data!$S$3:$S$150,Data!$N$3:$N$150,AB$1,Data!$O$3:$O$150,2022)</f>
        <v>0</v>
      </c>
      <c r="AC3" s="123">
        <f>SUMIFS(Data!$S$3:$S$150,Data!$N$3:$N$150,AC$1,Data!$O$3:$O$150,2022)</f>
        <v>0</v>
      </c>
      <c r="AD3" s="123">
        <f>SUMIFS(Data!$S$3:$S$150,Data!$N$3:$N$150,AD$1,Data!$O$3:$O$150,2022)</f>
        <v>0</v>
      </c>
      <c r="AE3" s="123">
        <f>SUMIFS(Data!$S$3:$S$150,Data!$N$3:$N$150,AE$1,Data!$O$3:$O$150,2022)</f>
        <v>0</v>
      </c>
      <c r="AF3" s="123">
        <f>SUMIFS(Data!$S$3:$S$150,Data!$N$3:$N$150,AF$1,Data!$O$3:$O$150,2022)</f>
        <v>0</v>
      </c>
      <c r="AG3" s="123">
        <f>SUMIFS(Data!$S$3:$S$150,Data!$N$3:$N$150,AG$1,Data!$O$3:$O$150,2022)</f>
        <v>0</v>
      </c>
      <c r="AH3" s="123">
        <f>SUMIFS(Data!$S$3:$S$150,Data!$N$3:$N$150,AH$1,Data!$O$3:$O$150,2022)</f>
        <v>0</v>
      </c>
      <c r="AI3" s="123">
        <f>SUMIFS(Data!$S$3:$S$150,Data!$N$3:$N$150,AI$1,Data!$O$3:$O$150,2022)</f>
        <v>0</v>
      </c>
      <c r="AJ3" s="123">
        <f>SUMIFS(Data!$S$3:$S$150,Data!$N$3:$N$150,AJ$1,Data!$O$3:$O$150,2022)</f>
        <v>0</v>
      </c>
      <c r="AK3" s="123">
        <f>SUMIFS(Data!$S$3:$S$150,Data!$N$3:$N$150,AK$1,Data!$O$3:$O$150,2022)</f>
        <v>0</v>
      </c>
      <c r="AL3" s="123">
        <f>SUMIFS(Data!$S$3:$S$150,Data!$N$3:$N$150,AL$1,Data!$O$3:$O$150,2022)</f>
        <v>0</v>
      </c>
      <c r="AM3" s="123">
        <f>SUMIFS(Data!$S$3:$S$150,Data!$N$3:$N$150,AM$1,Data!$O$3:$O$150,2022)</f>
        <v>0</v>
      </c>
      <c r="AN3" s="123">
        <f>SUMIFS(Data!$S$3:$S$150,Data!$N$3:$N$150,AN$1,Data!$O$3:$O$150,2022)</f>
        <v>0</v>
      </c>
      <c r="AO3" s="123">
        <f>SUMIFS(Data!$S$3:$S$150,Data!$N$3:$N$150,AO$1,Data!$O$3:$O$150,2022)</f>
        <v>0</v>
      </c>
      <c r="AP3" s="123">
        <f>SUMIFS(Data!$S$3:$S$150,Data!$N$3:$N$150,AP$1,Data!$O$3:$O$150,2022)</f>
        <v>0</v>
      </c>
      <c r="AQ3" s="123">
        <f>SUMIFS(Data!$S$3:$S$150,Data!$N$3:$N$150,AQ$1,Data!$O$3:$O$150,2022)</f>
        <v>0</v>
      </c>
      <c r="AR3" s="123">
        <f>SUMIFS(Data!$S$3:$S$150,Data!$N$3:$N$150,AR$1,Data!$O$3:$O$150,2022)</f>
        <v>0</v>
      </c>
      <c r="AS3" s="123">
        <f>SUMIFS(Data!$S$3:$S$150,Data!$N$3:$N$150,AS$1,Data!$O$3:$O$150,2022)</f>
        <v>0</v>
      </c>
      <c r="AT3" s="123">
        <f>SUMIFS(Data!$S$3:$S$150,Data!$N$3:$N$150,AT$1,Data!$O$3:$O$150,2022)</f>
        <v>0</v>
      </c>
      <c r="AU3" s="123">
        <f>SUMIFS(Data!$S$3:$S$150,Data!$N$3:$N$150,AU$1,Data!$O$3:$O$150,2022)</f>
        <v>0</v>
      </c>
      <c r="AV3" s="123">
        <f>SUMIFS(Data!$S$3:$S$150,Data!$N$3:$N$150,AV$1,Data!$O$3:$O$150,2022)</f>
        <v>0</v>
      </c>
      <c r="AW3" s="123">
        <f>SUMIFS(Data!$S$3:$S$150,Data!$N$3:$N$150,AW$1,Data!$O$3:$O$150,2022)</f>
        <v>0</v>
      </c>
      <c r="AX3" s="123">
        <f>SUMIFS(Data!$S$3:$S$150,Data!$N$3:$N$150,AX$1,Data!$O$3:$O$150,2022)</f>
        <v>0</v>
      </c>
      <c r="AY3" s="123">
        <f>SUMIFS(Data!$S$3:$S$150,Data!$N$3:$N$150,AY$1,Data!$O$3:$O$150,2022)</f>
        <v>0</v>
      </c>
      <c r="AZ3" s="123">
        <f>SUMIFS(Data!$S$3:$S$150,Data!$N$3:$N$150,AZ$1,Data!$O$3:$O$150,2022)</f>
        <v>0</v>
      </c>
      <c r="BA3" s="123">
        <f>SUMIFS(Data!$S$3:$S$150,Data!$N$3:$N$150,BA$1,Data!$O$3:$O$150,2022)</f>
        <v>0</v>
      </c>
      <c r="BB3" s="123">
        <f>SUMIFS(Data!$S$3:$S$150,Data!$N$3:$N$150,BB$1,Data!$O$3:$O$150,2022)</f>
        <v>0</v>
      </c>
      <c r="BC3" s="3"/>
      <c r="BD3" s="3"/>
      <c r="BE3" s="3"/>
    </row>
    <row r="4" spans="1:57" ht="19.5" customHeight="1" x14ac:dyDescent="0.3">
      <c r="A4" s="164">
        <f>SUM(C4:BB4)</f>
        <v>133611.5</v>
      </c>
      <c r="B4" s="497" t="s">
        <v>142</v>
      </c>
      <c r="C4" s="164">
        <f>SUMIF(Data!$X$3:$X$150,C1,Data!$AD$3:$AD$150)</f>
        <v>133611.5</v>
      </c>
      <c r="D4" s="164">
        <f>SUMIF(Data!$X$3:$X$150,D1,Data!$AD$3:$AD$150)-SUMIFS(tbl_DCFC[F Montant HT],tbl_DCFC[CW REV],D1,tbl_DCFC[Client],"OPCO 2I")</f>
        <v>0</v>
      </c>
      <c r="E4" s="164">
        <f>SUMIF(Data!$X$3:$X$150,E1,Data!$AD$3:$AD$150)-SUMIFS(tbl_DCFC[F Montant HT],tbl_DCFC[CW REV],E1,tbl_DCFC[Client],"OPCO 2I")</f>
        <v>0</v>
      </c>
      <c r="F4" s="164">
        <f>SUMIF(Data!$X$3:$X$150,F1,Data!$AD$3:$AD$150)-SUMIFS(tbl_DCFC[F Montant HT],tbl_DCFC[CW REV],F1,tbl_DCFC[Client],"OPCO 2I")</f>
        <v>0</v>
      </c>
      <c r="G4" s="164">
        <f>SUMIF(Data!$X$3:$X$150,G1,Data!$AD$3:$AD$150)-SUMIFS(tbl_DCFC[F Montant HT],tbl_DCFC[CW REV],G1,tbl_DCFC[Client],"OPCO 2I")</f>
        <v>0</v>
      </c>
      <c r="H4" s="164">
        <f>SUMIF(Data!$X$3:$X$150,H1,Data!$AD$3:$AD$150)</f>
        <v>0</v>
      </c>
      <c r="I4" s="164">
        <f>SUMIF(Data!$X$3:$X$150,I1,Data!$AD$3:$AD$150)</f>
        <v>0</v>
      </c>
      <c r="J4" s="164">
        <f>SUMIF(Data!$X$3:$X$150,J1,Data!$AD$3:$AD$150)</f>
        <v>0</v>
      </c>
      <c r="K4" s="164">
        <f>SUMIF(Data!$X$3:$X$150,K1,Data!$AD$3:$AD$150)</f>
        <v>0</v>
      </c>
      <c r="L4" s="164">
        <f>SUMIF(Data!$X$3:$X$150,L1,Data!$AD$3:$AD$150)</f>
        <v>0</v>
      </c>
      <c r="M4" s="164">
        <f>SUMIF(Data!$X$3:$X$150,M1,Data!$AD$3:$AD$150)</f>
        <v>0</v>
      </c>
      <c r="N4" s="164">
        <f>SUMIF(Data!$X$3:$X$150,N1,Data!$AD$3:$AD$150)</f>
        <v>0</v>
      </c>
      <c r="O4" s="164">
        <f>SUMIF(Data!$X$3:$X$150,O1,Data!$AD$3:$AD$150)-SUMIFS(tbl_DCFC[F Montant HT],tbl_DCFC[CW REV],O1,tbl_DCFC[Client],"OPCO 2I")</f>
        <v>0</v>
      </c>
      <c r="P4" s="164">
        <f>SUMIF(Data!$X$3:$X$150,P1,Data!$AD$3:$AD$150)</f>
        <v>0</v>
      </c>
      <c r="Q4" s="164">
        <f>SUMIF(Data!$X$3:$X$150,Q1,Data!$AD$3:$AD$150)</f>
        <v>0</v>
      </c>
      <c r="R4" s="164">
        <f>SUMIF(Data!$X$3:$X$150,R1,Data!$AD$3:$AD$150)</f>
        <v>0</v>
      </c>
      <c r="S4" s="164">
        <f>SUMIF(Data!$X$3:$X$150,S1,Data!$AD$3:$AD$150)</f>
        <v>0</v>
      </c>
      <c r="T4" s="164">
        <f>SUMIF(Data!$X$3:$X$150,T1,Data!$AD$3:$AD$150)</f>
        <v>0</v>
      </c>
      <c r="U4" s="164">
        <f>SUMIF(Data!$X$3:$X$150,U1,Data!$AD$3:$AD$150)</f>
        <v>0</v>
      </c>
      <c r="V4" s="164">
        <f>SUMIF(Data!$X$3:$X$150,V1,Data!$AD$3:$AD$150)</f>
        <v>0</v>
      </c>
      <c r="W4" s="164">
        <f>SUMIF(Data!$X$3:$X$150,W1,Data!$AD$3:$AD$150)</f>
        <v>0</v>
      </c>
      <c r="X4" s="164">
        <f>SUMIF(Data!$X$3:$X$150,X1,Data!$AD$3:$AD$150)</f>
        <v>0</v>
      </c>
      <c r="Y4" s="164">
        <f>SUMIF(Data!$X$3:$X$150,Y1,Data!$AD$3:$AD$150)</f>
        <v>0</v>
      </c>
      <c r="Z4" s="164">
        <f>SUMIF(Data!$X$3:$X$150,Z1,Data!$AD$3:$AD$150)</f>
        <v>0</v>
      </c>
      <c r="AA4" s="164">
        <f>SUMIF(Data!$X$3:$X$150,AA1,Data!$AD$3:$AD$150)</f>
        <v>0</v>
      </c>
      <c r="AB4" s="164">
        <f>SUMIF(Data!$X$3:$X$150,AB1,Data!$AD$3:$AD$150)</f>
        <v>0</v>
      </c>
      <c r="AC4" s="164">
        <f>SUMIF(Data!$X$3:$X$150,AC1,Data!$AD$3:$AD$150)</f>
        <v>0</v>
      </c>
      <c r="AD4" s="164">
        <f>SUMIF(Data!$X$3:$X$150,AD1,Data!$AD$3:$AD$150)</f>
        <v>0</v>
      </c>
      <c r="AE4" s="164">
        <f>SUMIF(Data!$X$3:$X$150,AE1,Data!$AD$3:$AD$150)</f>
        <v>0</v>
      </c>
      <c r="AF4" s="164">
        <f>SUMIF(Data!$X$3:$X$150,AF1,Data!$AD$3:$AD$150)</f>
        <v>0</v>
      </c>
      <c r="AG4" s="164">
        <f>SUMIF(Data!$X$3:$X$150,AG1,Data!$AD$3:$AD$150)</f>
        <v>0</v>
      </c>
      <c r="AH4" s="164">
        <f>SUMIF(Data!$X$3:$X$150,AH1,Data!$AD$3:$AD$150)</f>
        <v>0</v>
      </c>
      <c r="AI4" s="164">
        <f>SUMIF(Data!$X$3:$X$150,AI1,Data!$AD$3:$AD$150)</f>
        <v>0</v>
      </c>
      <c r="AJ4" s="164">
        <f>SUMIF(Data!$X$3:$X$150,AJ1,Data!$AD$3:$AD$150)</f>
        <v>0</v>
      </c>
      <c r="AK4" s="164">
        <f>SUMIF(Data!$X$3:$X$150,AK1,Data!$AD$3:$AD$150)</f>
        <v>0</v>
      </c>
      <c r="AL4" s="164">
        <f>SUMIF(Data!$X$3:$X$150,AL1,Data!$AD$3:$AD$150)</f>
        <v>0</v>
      </c>
      <c r="AM4" s="164">
        <f>SUMIF(Data!$X$3:$X$150,AM1,Data!$AD$3:$AD$150)</f>
        <v>0</v>
      </c>
      <c r="AN4" s="164">
        <f>SUMIF(Data!$X$3:$X$150,AN1,Data!$AD$3:$AD$150)</f>
        <v>0</v>
      </c>
      <c r="AO4" s="164">
        <f>SUMIF(Data!$X$3:$X$150,AO1,Data!$AD$3:$AD$150)</f>
        <v>0</v>
      </c>
      <c r="AP4" s="164">
        <f>SUMIF(Data!$X$3:$X$150,AP1,Data!$AD$3:$AD$150)</f>
        <v>0</v>
      </c>
      <c r="AQ4" s="164">
        <f>SUMIF(Data!$X$3:$X$150,AQ1,Data!$AD$3:$AD$150)</f>
        <v>0</v>
      </c>
      <c r="AR4" s="164">
        <f>SUMIF(Data!$X$3:$X$150,AR1,Data!$AD$3:$AD$150)</f>
        <v>0</v>
      </c>
      <c r="AS4" s="164">
        <f>SUMIF(Data!$X$3:$X$150,AS1,Data!$AD$3:$AD$150)</f>
        <v>0</v>
      </c>
      <c r="AT4" s="164">
        <f>SUMIF(Data!$X$3:$X$150,AT1,Data!$AD$3:$AD$150)</f>
        <v>0</v>
      </c>
      <c r="AU4" s="164">
        <f>SUMIF(Data!$X$3:$X$150,AU1,Data!$AD$3:$AD$150)</f>
        <v>0</v>
      </c>
      <c r="AV4" s="164">
        <f>SUMIF(Data!$X$3:$X$150,AV1,Data!$AD$3:$AD$150)</f>
        <v>0</v>
      </c>
      <c r="AW4" s="164">
        <f>SUMIF(Data!$X$3:$X$150,AW1,Data!$AD$3:$AD$150)</f>
        <v>0</v>
      </c>
      <c r="AX4" s="164">
        <f>SUMIF(Data!$X$3:$X$150,AX1,Data!$AD$3:$AD$150)</f>
        <v>0</v>
      </c>
      <c r="AY4" s="164">
        <f>SUMIF(Data!$X$3:$X$150,AY1,Data!$AD$3:$AD$150)</f>
        <v>0</v>
      </c>
      <c r="AZ4" s="164">
        <f>SUMIF(Data!$X$3:$X$150,AZ1,Data!$AD$3:$AD$150)</f>
        <v>0</v>
      </c>
      <c r="BA4" s="164">
        <f>SUMIF(Data!$X$3:$X$150,BA1,Data!$AD$3:$AD$150)</f>
        <v>0</v>
      </c>
      <c r="BB4" s="164">
        <f>SUMIF(Data!$X$3:$X$150,BB1,Data!$AD$3:$AD$150)</f>
        <v>0</v>
      </c>
      <c r="BC4" s="3"/>
      <c r="BD4" s="3"/>
      <c r="BE4" s="3"/>
    </row>
    <row r="5" spans="1:57" ht="19.5" hidden="1" customHeight="1" x14ac:dyDescent="0.3">
      <c r="A5" s="498"/>
      <c r="B5" s="499" t="s">
        <v>586</v>
      </c>
      <c r="C5" s="421">
        <f t="shared" ref="C5:AH5" si="0">$B$17*C20</f>
        <v>0</v>
      </c>
      <c r="D5" s="421">
        <f t="shared" si="0"/>
        <v>0</v>
      </c>
      <c r="E5" s="421">
        <f t="shared" si="0"/>
        <v>0</v>
      </c>
      <c r="F5" s="421">
        <f t="shared" si="0"/>
        <v>0</v>
      </c>
      <c r="G5" s="421">
        <f t="shared" si="0"/>
        <v>0</v>
      </c>
      <c r="H5" s="421">
        <f t="shared" si="0"/>
        <v>0</v>
      </c>
      <c r="I5" s="421">
        <f t="shared" si="0"/>
        <v>0</v>
      </c>
      <c r="J5" s="421">
        <f t="shared" si="0"/>
        <v>0</v>
      </c>
      <c r="K5" s="421">
        <f t="shared" si="0"/>
        <v>0</v>
      </c>
      <c r="L5" s="421">
        <f t="shared" si="0"/>
        <v>0</v>
      </c>
      <c r="M5" s="421">
        <f t="shared" si="0"/>
        <v>0</v>
      </c>
      <c r="N5" s="421">
        <f t="shared" si="0"/>
        <v>0</v>
      </c>
      <c r="O5" s="421">
        <f t="shared" si="0"/>
        <v>0</v>
      </c>
      <c r="P5" s="421">
        <f t="shared" si="0"/>
        <v>0</v>
      </c>
      <c r="Q5" s="421">
        <f t="shared" si="0"/>
        <v>0</v>
      </c>
      <c r="R5" s="421">
        <f t="shared" si="0"/>
        <v>0</v>
      </c>
      <c r="S5" s="421">
        <f t="shared" si="0"/>
        <v>0</v>
      </c>
      <c r="T5" s="421">
        <f t="shared" si="0"/>
        <v>0</v>
      </c>
      <c r="U5" s="421">
        <f t="shared" si="0"/>
        <v>0</v>
      </c>
      <c r="V5" s="421">
        <f t="shared" si="0"/>
        <v>0</v>
      </c>
      <c r="W5" s="421">
        <f t="shared" si="0"/>
        <v>0</v>
      </c>
      <c r="X5" s="421">
        <f t="shared" si="0"/>
        <v>0</v>
      </c>
      <c r="Y5" s="421">
        <f t="shared" si="0"/>
        <v>0</v>
      </c>
      <c r="Z5" s="421">
        <f t="shared" si="0"/>
        <v>0</v>
      </c>
      <c r="AA5" s="421">
        <f t="shared" si="0"/>
        <v>0</v>
      </c>
      <c r="AB5" s="421">
        <f t="shared" si="0"/>
        <v>0</v>
      </c>
      <c r="AC5" s="421">
        <f t="shared" si="0"/>
        <v>0</v>
      </c>
      <c r="AD5" s="421">
        <f t="shared" si="0"/>
        <v>0</v>
      </c>
      <c r="AE5" s="421">
        <f t="shared" si="0"/>
        <v>0</v>
      </c>
      <c r="AF5" s="421">
        <f t="shared" si="0"/>
        <v>0</v>
      </c>
      <c r="AG5" s="421">
        <f t="shared" si="0"/>
        <v>0</v>
      </c>
      <c r="AH5" s="421">
        <f t="shared" si="0"/>
        <v>0</v>
      </c>
      <c r="AI5" s="421">
        <f t="shared" ref="AI5:BB5" si="1">$B$17*AI20</f>
        <v>0</v>
      </c>
      <c r="AJ5" s="421">
        <f t="shared" si="1"/>
        <v>0</v>
      </c>
      <c r="AK5" s="421">
        <f t="shared" si="1"/>
        <v>0</v>
      </c>
      <c r="AL5" s="421">
        <f t="shared" si="1"/>
        <v>0</v>
      </c>
      <c r="AM5" s="421">
        <f t="shared" si="1"/>
        <v>0</v>
      </c>
      <c r="AN5" s="421">
        <f t="shared" si="1"/>
        <v>0</v>
      </c>
      <c r="AO5" s="421">
        <f t="shared" si="1"/>
        <v>0</v>
      </c>
      <c r="AP5" s="421">
        <f t="shared" si="1"/>
        <v>0</v>
      </c>
      <c r="AQ5" s="421">
        <f t="shared" si="1"/>
        <v>0</v>
      </c>
      <c r="AR5" s="421">
        <f t="shared" si="1"/>
        <v>0</v>
      </c>
      <c r="AS5" s="421">
        <f t="shared" si="1"/>
        <v>0</v>
      </c>
      <c r="AT5" s="421">
        <f t="shared" si="1"/>
        <v>0</v>
      </c>
      <c r="AU5" s="421">
        <f t="shared" si="1"/>
        <v>0</v>
      </c>
      <c r="AV5" s="421">
        <f t="shared" si="1"/>
        <v>0</v>
      </c>
      <c r="AW5" s="421">
        <f t="shared" si="1"/>
        <v>0</v>
      </c>
      <c r="AX5" s="421">
        <f t="shared" si="1"/>
        <v>0</v>
      </c>
      <c r="AY5" s="421">
        <f t="shared" si="1"/>
        <v>0</v>
      </c>
      <c r="AZ5" s="421">
        <f t="shared" si="1"/>
        <v>0</v>
      </c>
      <c r="BA5" s="421">
        <f t="shared" si="1"/>
        <v>0</v>
      </c>
      <c r="BB5" s="421">
        <f t="shared" si="1"/>
        <v>0</v>
      </c>
      <c r="BC5" s="3"/>
      <c r="BD5" s="3"/>
      <c r="BE5" s="3"/>
    </row>
    <row r="6" spans="1:57" ht="19.5" hidden="1" customHeight="1" x14ac:dyDescent="0.3">
      <c r="A6" s="500"/>
      <c r="B6" s="499" t="s">
        <v>587</v>
      </c>
      <c r="C6" s="421">
        <f t="shared" ref="C6:AH6" si="2">$B$18*C21</f>
        <v>0</v>
      </c>
      <c r="D6" s="421">
        <f t="shared" si="2"/>
        <v>0</v>
      </c>
      <c r="E6" s="421">
        <f t="shared" si="2"/>
        <v>0</v>
      </c>
      <c r="F6" s="421">
        <f t="shared" si="2"/>
        <v>0</v>
      </c>
      <c r="G6" s="421">
        <f t="shared" si="2"/>
        <v>0</v>
      </c>
      <c r="H6" s="421">
        <f t="shared" si="2"/>
        <v>0</v>
      </c>
      <c r="I6" s="421">
        <f t="shared" si="2"/>
        <v>0</v>
      </c>
      <c r="J6" s="421">
        <f t="shared" si="2"/>
        <v>0</v>
      </c>
      <c r="K6" s="421">
        <f t="shared" si="2"/>
        <v>0</v>
      </c>
      <c r="L6" s="421">
        <f t="shared" si="2"/>
        <v>0</v>
      </c>
      <c r="M6" s="421">
        <f t="shared" si="2"/>
        <v>0</v>
      </c>
      <c r="N6" s="421">
        <f t="shared" si="2"/>
        <v>0</v>
      </c>
      <c r="O6" s="421">
        <f t="shared" si="2"/>
        <v>0</v>
      </c>
      <c r="P6" s="421">
        <f t="shared" si="2"/>
        <v>0</v>
      </c>
      <c r="Q6" s="421">
        <f t="shared" si="2"/>
        <v>0</v>
      </c>
      <c r="R6" s="421">
        <f t="shared" si="2"/>
        <v>0</v>
      </c>
      <c r="S6" s="421">
        <f t="shared" si="2"/>
        <v>0</v>
      </c>
      <c r="T6" s="421">
        <f t="shared" si="2"/>
        <v>0</v>
      </c>
      <c r="U6" s="421">
        <f t="shared" si="2"/>
        <v>0</v>
      </c>
      <c r="V6" s="421">
        <f t="shared" si="2"/>
        <v>0</v>
      </c>
      <c r="W6" s="421">
        <f t="shared" si="2"/>
        <v>0</v>
      </c>
      <c r="X6" s="421">
        <f t="shared" si="2"/>
        <v>0</v>
      </c>
      <c r="Y6" s="421">
        <f t="shared" si="2"/>
        <v>0</v>
      </c>
      <c r="Z6" s="421">
        <f t="shared" si="2"/>
        <v>0</v>
      </c>
      <c r="AA6" s="421">
        <f t="shared" si="2"/>
        <v>0</v>
      </c>
      <c r="AB6" s="421">
        <f t="shared" si="2"/>
        <v>0</v>
      </c>
      <c r="AC6" s="421">
        <f t="shared" si="2"/>
        <v>0</v>
      </c>
      <c r="AD6" s="421">
        <f t="shared" si="2"/>
        <v>0</v>
      </c>
      <c r="AE6" s="421">
        <f t="shared" si="2"/>
        <v>0</v>
      </c>
      <c r="AF6" s="421">
        <f t="shared" si="2"/>
        <v>0</v>
      </c>
      <c r="AG6" s="421">
        <f t="shared" si="2"/>
        <v>0</v>
      </c>
      <c r="AH6" s="421">
        <f t="shared" si="2"/>
        <v>0</v>
      </c>
      <c r="AI6" s="421">
        <f t="shared" ref="AI6:BB6" si="3">$B$18*AI21</f>
        <v>0</v>
      </c>
      <c r="AJ6" s="421">
        <f t="shared" si="3"/>
        <v>0</v>
      </c>
      <c r="AK6" s="421">
        <f t="shared" si="3"/>
        <v>0</v>
      </c>
      <c r="AL6" s="421">
        <f t="shared" si="3"/>
        <v>0</v>
      </c>
      <c r="AM6" s="421">
        <f t="shared" si="3"/>
        <v>0</v>
      </c>
      <c r="AN6" s="421">
        <f t="shared" si="3"/>
        <v>0</v>
      </c>
      <c r="AO6" s="421">
        <f t="shared" si="3"/>
        <v>0</v>
      </c>
      <c r="AP6" s="421">
        <f t="shared" si="3"/>
        <v>0</v>
      </c>
      <c r="AQ6" s="421">
        <f t="shared" si="3"/>
        <v>0</v>
      </c>
      <c r="AR6" s="421">
        <f t="shared" si="3"/>
        <v>0</v>
      </c>
      <c r="AS6" s="421">
        <f t="shared" si="3"/>
        <v>0</v>
      </c>
      <c r="AT6" s="421">
        <f t="shared" si="3"/>
        <v>0</v>
      </c>
      <c r="AU6" s="421">
        <f t="shared" si="3"/>
        <v>0</v>
      </c>
      <c r="AV6" s="421">
        <f t="shared" si="3"/>
        <v>0</v>
      </c>
      <c r="AW6" s="421">
        <f t="shared" si="3"/>
        <v>0</v>
      </c>
      <c r="AX6" s="421">
        <f t="shared" si="3"/>
        <v>0</v>
      </c>
      <c r="AY6" s="421">
        <f t="shared" si="3"/>
        <v>0</v>
      </c>
      <c r="AZ6" s="421">
        <f t="shared" si="3"/>
        <v>0</v>
      </c>
      <c r="BA6" s="421">
        <f t="shared" si="3"/>
        <v>0</v>
      </c>
      <c r="BB6" s="421">
        <f t="shared" si="3"/>
        <v>0</v>
      </c>
      <c r="BC6" s="3"/>
      <c r="BD6" s="3"/>
      <c r="BE6" s="3"/>
    </row>
    <row r="7" spans="1:57" ht="19.5" hidden="1" customHeight="1" x14ac:dyDescent="0.3">
      <c r="A7" s="500"/>
      <c r="B7" s="499" t="s">
        <v>443</v>
      </c>
      <c r="C7" s="421">
        <f>C5</f>
        <v>0</v>
      </c>
      <c r="D7" s="421">
        <f t="shared" ref="D7:AI7" si="4">D5+C7</f>
        <v>0</v>
      </c>
      <c r="E7" s="421">
        <f t="shared" si="4"/>
        <v>0</v>
      </c>
      <c r="F7" s="421">
        <f t="shared" si="4"/>
        <v>0</v>
      </c>
      <c r="G7" s="421">
        <f t="shared" si="4"/>
        <v>0</v>
      </c>
      <c r="H7" s="421">
        <f t="shared" si="4"/>
        <v>0</v>
      </c>
      <c r="I7" s="421">
        <f t="shared" si="4"/>
        <v>0</v>
      </c>
      <c r="J7" s="421">
        <f t="shared" si="4"/>
        <v>0</v>
      </c>
      <c r="K7" s="421">
        <f t="shared" si="4"/>
        <v>0</v>
      </c>
      <c r="L7" s="421">
        <f t="shared" si="4"/>
        <v>0</v>
      </c>
      <c r="M7" s="421">
        <f t="shared" si="4"/>
        <v>0</v>
      </c>
      <c r="N7" s="421">
        <f t="shared" si="4"/>
        <v>0</v>
      </c>
      <c r="O7" s="421">
        <f t="shared" si="4"/>
        <v>0</v>
      </c>
      <c r="P7" s="421">
        <f t="shared" si="4"/>
        <v>0</v>
      </c>
      <c r="Q7" s="421">
        <f t="shared" si="4"/>
        <v>0</v>
      </c>
      <c r="R7" s="421">
        <f t="shared" si="4"/>
        <v>0</v>
      </c>
      <c r="S7" s="421">
        <f t="shared" si="4"/>
        <v>0</v>
      </c>
      <c r="T7" s="421">
        <f t="shared" si="4"/>
        <v>0</v>
      </c>
      <c r="U7" s="421">
        <f t="shared" si="4"/>
        <v>0</v>
      </c>
      <c r="V7" s="421">
        <f t="shared" si="4"/>
        <v>0</v>
      </c>
      <c r="W7" s="421">
        <f t="shared" si="4"/>
        <v>0</v>
      </c>
      <c r="X7" s="421">
        <f t="shared" si="4"/>
        <v>0</v>
      </c>
      <c r="Y7" s="421">
        <f t="shared" si="4"/>
        <v>0</v>
      </c>
      <c r="Z7" s="421">
        <f t="shared" si="4"/>
        <v>0</v>
      </c>
      <c r="AA7" s="421">
        <f t="shared" si="4"/>
        <v>0</v>
      </c>
      <c r="AB7" s="421">
        <f t="shared" si="4"/>
        <v>0</v>
      </c>
      <c r="AC7" s="421">
        <f t="shared" si="4"/>
        <v>0</v>
      </c>
      <c r="AD7" s="421">
        <f t="shared" si="4"/>
        <v>0</v>
      </c>
      <c r="AE7" s="421">
        <f t="shared" si="4"/>
        <v>0</v>
      </c>
      <c r="AF7" s="421">
        <f t="shared" si="4"/>
        <v>0</v>
      </c>
      <c r="AG7" s="421">
        <f t="shared" si="4"/>
        <v>0</v>
      </c>
      <c r="AH7" s="421">
        <f t="shared" si="4"/>
        <v>0</v>
      </c>
      <c r="AI7" s="421">
        <f t="shared" si="4"/>
        <v>0</v>
      </c>
      <c r="AJ7" s="421">
        <f t="shared" ref="AJ7:BB7" si="5">AJ5+AI7</f>
        <v>0</v>
      </c>
      <c r="AK7" s="421">
        <f t="shared" si="5"/>
        <v>0</v>
      </c>
      <c r="AL7" s="421">
        <f t="shared" si="5"/>
        <v>0</v>
      </c>
      <c r="AM7" s="421">
        <f t="shared" si="5"/>
        <v>0</v>
      </c>
      <c r="AN7" s="421">
        <f t="shared" si="5"/>
        <v>0</v>
      </c>
      <c r="AO7" s="421">
        <f t="shared" si="5"/>
        <v>0</v>
      </c>
      <c r="AP7" s="421">
        <f t="shared" si="5"/>
        <v>0</v>
      </c>
      <c r="AQ7" s="421">
        <f t="shared" si="5"/>
        <v>0</v>
      </c>
      <c r="AR7" s="421">
        <f t="shared" si="5"/>
        <v>0</v>
      </c>
      <c r="AS7" s="421">
        <f t="shared" si="5"/>
        <v>0</v>
      </c>
      <c r="AT7" s="421">
        <f t="shared" si="5"/>
        <v>0</v>
      </c>
      <c r="AU7" s="421">
        <f t="shared" si="5"/>
        <v>0</v>
      </c>
      <c r="AV7" s="421">
        <f t="shared" si="5"/>
        <v>0</v>
      </c>
      <c r="AW7" s="421">
        <f t="shared" si="5"/>
        <v>0</v>
      </c>
      <c r="AX7" s="421">
        <f t="shared" si="5"/>
        <v>0</v>
      </c>
      <c r="AY7" s="421">
        <f t="shared" si="5"/>
        <v>0</v>
      </c>
      <c r="AZ7" s="421">
        <f t="shared" si="5"/>
        <v>0</v>
      </c>
      <c r="BA7" s="421">
        <f t="shared" si="5"/>
        <v>0</v>
      </c>
      <c r="BB7" s="421">
        <f t="shared" si="5"/>
        <v>0</v>
      </c>
      <c r="BC7" s="3"/>
      <c r="BD7" s="3"/>
      <c r="BE7" s="3"/>
    </row>
    <row r="8" spans="1:57" ht="19.5" hidden="1" customHeight="1" x14ac:dyDescent="0.3">
      <c r="A8" s="501"/>
      <c r="B8" s="502" t="s">
        <v>449</v>
      </c>
      <c r="C8" s="503">
        <f>C6</f>
        <v>0</v>
      </c>
      <c r="D8" s="503">
        <f t="shared" ref="D8:AI8" si="6">D6+C8</f>
        <v>0</v>
      </c>
      <c r="E8" s="503">
        <f t="shared" si="6"/>
        <v>0</v>
      </c>
      <c r="F8" s="503">
        <f t="shared" si="6"/>
        <v>0</v>
      </c>
      <c r="G8" s="503">
        <f t="shared" si="6"/>
        <v>0</v>
      </c>
      <c r="H8" s="503">
        <f t="shared" si="6"/>
        <v>0</v>
      </c>
      <c r="I8" s="503">
        <f t="shared" si="6"/>
        <v>0</v>
      </c>
      <c r="J8" s="503">
        <f t="shared" si="6"/>
        <v>0</v>
      </c>
      <c r="K8" s="503">
        <f t="shared" si="6"/>
        <v>0</v>
      </c>
      <c r="L8" s="503">
        <f t="shared" si="6"/>
        <v>0</v>
      </c>
      <c r="M8" s="503">
        <f t="shared" si="6"/>
        <v>0</v>
      </c>
      <c r="N8" s="503">
        <f t="shared" si="6"/>
        <v>0</v>
      </c>
      <c r="O8" s="503">
        <f t="shared" si="6"/>
        <v>0</v>
      </c>
      <c r="P8" s="503">
        <f t="shared" si="6"/>
        <v>0</v>
      </c>
      <c r="Q8" s="503">
        <f t="shared" si="6"/>
        <v>0</v>
      </c>
      <c r="R8" s="503">
        <f t="shared" si="6"/>
        <v>0</v>
      </c>
      <c r="S8" s="503">
        <f t="shared" si="6"/>
        <v>0</v>
      </c>
      <c r="T8" s="503">
        <f t="shared" si="6"/>
        <v>0</v>
      </c>
      <c r="U8" s="503">
        <f t="shared" si="6"/>
        <v>0</v>
      </c>
      <c r="V8" s="503">
        <f t="shared" si="6"/>
        <v>0</v>
      </c>
      <c r="W8" s="503">
        <f t="shared" si="6"/>
        <v>0</v>
      </c>
      <c r="X8" s="503">
        <f t="shared" si="6"/>
        <v>0</v>
      </c>
      <c r="Y8" s="503">
        <f t="shared" si="6"/>
        <v>0</v>
      </c>
      <c r="Z8" s="503">
        <f t="shared" si="6"/>
        <v>0</v>
      </c>
      <c r="AA8" s="503">
        <f t="shared" si="6"/>
        <v>0</v>
      </c>
      <c r="AB8" s="503">
        <f t="shared" si="6"/>
        <v>0</v>
      </c>
      <c r="AC8" s="503">
        <f t="shared" si="6"/>
        <v>0</v>
      </c>
      <c r="AD8" s="503">
        <f t="shared" si="6"/>
        <v>0</v>
      </c>
      <c r="AE8" s="503">
        <f t="shared" si="6"/>
        <v>0</v>
      </c>
      <c r="AF8" s="503">
        <f t="shared" si="6"/>
        <v>0</v>
      </c>
      <c r="AG8" s="503">
        <f t="shared" si="6"/>
        <v>0</v>
      </c>
      <c r="AH8" s="503">
        <f t="shared" si="6"/>
        <v>0</v>
      </c>
      <c r="AI8" s="503">
        <f t="shared" si="6"/>
        <v>0</v>
      </c>
      <c r="AJ8" s="503">
        <f t="shared" ref="AJ8:BB8" si="7">AJ6+AI8</f>
        <v>0</v>
      </c>
      <c r="AK8" s="503">
        <f t="shared" si="7"/>
        <v>0</v>
      </c>
      <c r="AL8" s="503">
        <f t="shared" si="7"/>
        <v>0</v>
      </c>
      <c r="AM8" s="503">
        <f t="shared" si="7"/>
        <v>0</v>
      </c>
      <c r="AN8" s="503">
        <f t="shared" si="7"/>
        <v>0</v>
      </c>
      <c r="AO8" s="503">
        <f t="shared" si="7"/>
        <v>0</v>
      </c>
      <c r="AP8" s="503">
        <f t="shared" si="7"/>
        <v>0</v>
      </c>
      <c r="AQ8" s="503">
        <f t="shared" si="7"/>
        <v>0</v>
      </c>
      <c r="AR8" s="503">
        <f t="shared" si="7"/>
        <v>0</v>
      </c>
      <c r="AS8" s="503">
        <f t="shared" si="7"/>
        <v>0</v>
      </c>
      <c r="AT8" s="503">
        <f t="shared" si="7"/>
        <v>0</v>
      </c>
      <c r="AU8" s="503">
        <f t="shared" si="7"/>
        <v>0</v>
      </c>
      <c r="AV8" s="503">
        <f t="shared" si="7"/>
        <v>0</v>
      </c>
      <c r="AW8" s="503">
        <f t="shared" si="7"/>
        <v>0</v>
      </c>
      <c r="AX8" s="503">
        <f t="shared" si="7"/>
        <v>0</v>
      </c>
      <c r="AY8" s="503">
        <f t="shared" si="7"/>
        <v>0</v>
      </c>
      <c r="AZ8" s="503">
        <f t="shared" si="7"/>
        <v>0</v>
      </c>
      <c r="BA8" s="503">
        <f t="shared" si="7"/>
        <v>0</v>
      </c>
      <c r="BB8" s="503">
        <f t="shared" si="7"/>
        <v>0</v>
      </c>
      <c r="BC8" s="3"/>
      <c r="BD8" s="3"/>
      <c r="BE8" s="3"/>
    </row>
    <row r="9" spans="1:57" ht="19.5" hidden="1" customHeight="1" x14ac:dyDescent="0.3">
      <c r="A9" s="3"/>
      <c r="B9" s="504" t="s">
        <v>588</v>
      </c>
      <c r="C9" s="505">
        <f t="shared" ref="C9:AH9" si="8">C3-C5</f>
        <v>0</v>
      </c>
      <c r="D9" s="505">
        <f t="shared" si="8"/>
        <v>0</v>
      </c>
      <c r="E9" s="505">
        <f t="shared" si="8"/>
        <v>0</v>
      </c>
      <c r="F9" s="505">
        <f t="shared" si="8"/>
        <v>0</v>
      </c>
      <c r="G9" s="505">
        <f t="shared" si="8"/>
        <v>0</v>
      </c>
      <c r="H9" s="505">
        <f t="shared" si="8"/>
        <v>0</v>
      </c>
      <c r="I9" s="505">
        <f t="shared" si="8"/>
        <v>0</v>
      </c>
      <c r="J9" s="505">
        <f t="shared" si="8"/>
        <v>0</v>
      </c>
      <c r="K9" s="505">
        <f t="shared" si="8"/>
        <v>0</v>
      </c>
      <c r="L9" s="505">
        <f t="shared" si="8"/>
        <v>0</v>
      </c>
      <c r="M9" s="505">
        <f t="shared" si="8"/>
        <v>0</v>
      </c>
      <c r="N9" s="505">
        <f t="shared" si="8"/>
        <v>0</v>
      </c>
      <c r="O9" s="505">
        <f t="shared" si="8"/>
        <v>0</v>
      </c>
      <c r="P9" s="505">
        <f t="shared" si="8"/>
        <v>0</v>
      </c>
      <c r="Q9" s="505">
        <f t="shared" si="8"/>
        <v>0</v>
      </c>
      <c r="R9" s="505">
        <f t="shared" si="8"/>
        <v>0</v>
      </c>
      <c r="S9" s="505">
        <f t="shared" si="8"/>
        <v>0</v>
      </c>
      <c r="T9" s="505">
        <f t="shared" si="8"/>
        <v>0</v>
      </c>
      <c r="U9" s="505">
        <f t="shared" si="8"/>
        <v>0</v>
      </c>
      <c r="V9" s="505">
        <f t="shared" si="8"/>
        <v>0</v>
      </c>
      <c r="W9" s="505">
        <f t="shared" si="8"/>
        <v>0</v>
      </c>
      <c r="X9" s="505">
        <f t="shared" si="8"/>
        <v>0</v>
      </c>
      <c r="Y9" s="505">
        <f t="shared" si="8"/>
        <v>0</v>
      </c>
      <c r="Z9" s="505">
        <f t="shared" si="8"/>
        <v>0</v>
      </c>
      <c r="AA9" s="505">
        <f t="shared" si="8"/>
        <v>0</v>
      </c>
      <c r="AB9" s="505">
        <f t="shared" si="8"/>
        <v>0</v>
      </c>
      <c r="AC9" s="505">
        <f t="shared" si="8"/>
        <v>0</v>
      </c>
      <c r="AD9" s="505">
        <f t="shared" si="8"/>
        <v>0</v>
      </c>
      <c r="AE9" s="505">
        <f t="shared" si="8"/>
        <v>0</v>
      </c>
      <c r="AF9" s="505">
        <f t="shared" si="8"/>
        <v>0</v>
      </c>
      <c r="AG9" s="505">
        <f t="shared" si="8"/>
        <v>0</v>
      </c>
      <c r="AH9" s="505">
        <f t="shared" si="8"/>
        <v>0</v>
      </c>
      <c r="AI9" s="505">
        <f t="shared" ref="AI9:BB9" si="9">AI3-AI5</f>
        <v>0</v>
      </c>
      <c r="AJ9" s="505">
        <f t="shared" si="9"/>
        <v>0</v>
      </c>
      <c r="AK9" s="505">
        <f t="shared" si="9"/>
        <v>0</v>
      </c>
      <c r="AL9" s="505">
        <f t="shared" si="9"/>
        <v>0</v>
      </c>
      <c r="AM9" s="505">
        <f t="shared" si="9"/>
        <v>0</v>
      </c>
      <c r="AN9" s="505">
        <f t="shared" si="9"/>
        <v>0</v>
      </c>
      <c r="AO9" s="505">
        <f t="shared" si="9"/>
        <v>0</v>
      </c>
      <c r="AP9" s="505">
        <f t="shared" si="9"/>
        <v>0</v>
      </c>
      <c r="AQ9" s="505">
        <f t="shared" si="9"/>
        <v>0</v>
      </c>
      <c r="AR9" s="505">
        <f t="shared" si="9"/>
        <v>0</v>
      </c>
      <c r="AS9" s="505">
        <f t="shared" si="9"/>
        <v>0</v>
      </c>
      <c r="AT9" s="505">
        <f t="shared" si="9"/>
        <v>0</v>
      </c>
      <c r="AU9" s="505">
        <f t="shared" si="9"/>
        <v>0</v>
      </c>
      <c r="AV9" s="505">
        <f t="shared" si="9"/>
        <v>0</v>
      </c>
      <c r="AW9" s="505">
        <f t="shared" si="9"/>
        <v>0</v>
      </c>
      <c r="AX9" s="505">
        <f t="shared" si="9"/>
        <v>0</v>
      </c>
      <c r="AY9" s="505">
        <f t="shared" si="9"/>
        <v>0</v>
      </c>
      <c r="AZ9" s="505">
        <f t="shared" si="9"/>
        <v>0</v>
      </c>
      <c r="BA9" s="505">
        <f t="shared" si="9"/>
        <v>0</v>
      </c>
      <c r="BB9" s="505">
        <f t="shared" si="9"/>
        <v>0</v>
      </c>
      <c r="BC9" s="3"/>
      <c r="BD9" s="3"/>
      <c r="BE9" s="3"/>
    </row>
    <row r="10" spans="1:57" ht="19.5" hidden="1" customHeight="1" x14ac:dyDescent="0.3">
      <c r="A10" s="3"/>
      <c r="B10" s="30" t="s">
        <v>589</v>
      </c>
      <c r="C10" s="123" t="e">
        <f>C2</f>
        <v>#REF!</v>
      </c>
      <c r="D10" s="123" t="e">
        <f t="shared" ref="D10:AI10" si="10">D2+C10</f>
        <v>#REF!</v>
      </c>
      <c r="E10" s="123" t="e">
        <f t="shared" si="10"/>
        <v>#REF!</v>
      </c>
      <c r="F10" s="123" t="e">
        <f t="shared" si="10"/>
        <v>#REF!</v>
      </c>
      <c r="G10" s="123" t="e">
        <f t="shared" si="10"/>
        <v>#REF!</v>
      </c>
      <c r="H10" s="123" t="e">
        <f t="shared" si="10"/>
        <v>#REF!</v>
      </c>
      <c r="I10" s="123" t="e">
        <f t="shared" si="10"/>
        <v>#REF!</v>
      </c>
      <c r="J10" s="123" t="e">
        <f t="shared" si="10"/>
        <v>#REF!</v>
      </c>
      <c r="K10" s="123" t="e">
        <f t="shared" si="10"/>
        <v>#REF!</v>
      </c>
      <c r="L10" s="123" t="e">
        <f t="shared" si="10"/>
        <v>#REF!</v>
      </c>
      <c r="M10" s="123" t="e">
        <f t="shared" si="10"/>
        <v>#REF!</v>
      </c>
      <c r="N10" s="123" t="e">
        <f t="shared" si="10"/>
        <v>#REF!</v>
      </c>
      <c r="O10" s="123" t="e">
        <f t="shared" si="10"/>
        <v>#REF!</v>
      </c>
      <c r="P10" s="123" t="e">
        <f t="shared" si="10"/>
        <v>#REF!</v>
      </c>
      <c r="Q10" s="123" t="e">
        <f t="shared" si="10"/>
        <v>#REF!</v>
      </c>
      <c r="R10" s="123" t="e">
        <f t="shared" si="10"/>
        <v>#REF!</v>
      </c>
      <c r="S10" s="123" t="e">
        <f t="shared" si="10"/>
        <v>#REF!</v>
      </c>
      <c r="T10" s="123" t="e">
        <f t="shared" si="10"/>
        <v>#REF!</v>
      </c>
      <c r="U10" s="123" t="e">
        <f t="shared" si="10"/>
        <v>#REF!</v>
      </c>
      <c r="V10" s="123" t="e">
        <f t="shared" si="10"/>
        <v>#REF!</v>
      </c>
      <c r="W10" s="123" t="e">
        <f t="shared" si="10"/>
        <v>#REF!</v>
      </c>
      <c r="X10" s="123" t="e">
        <f t="shared" si="10"/>
        <v>#REF!</v>
      </c>
      <c r="Y10" s="123" t="e">
        <f t="shared" si="10"/>
        <v>#REF!</v>
      </c>
      <c r="Z10" s="123" t="e">
        <f t="shared" si="10"/>
        <v>#REF!</v>
      </c>
      <c r="AA10" s="123" t="e">
        <f t="shared" si="10"/>
        <v>#REF!</v>
      </c>
      <c r="AB10" s="123" t="e">
        <f t="shared" si="10"/>
        <v>#REF!</v>
      </c>
      <c r="AC10" s="123" t="e">
        <f t="shared" si="10"/>
        <v>#REF!</v>
      </c>
      <c r="AD10" s="123" t="e">
        <f t="shared" si="10"/>
        <v>#REF!</v>
      </c>
      <c r="AE10" s="123" t="e">
        <f t="shared" si="10"/>
        <v>#REF!</v>
      </c>
      <c r="AF10" s="123" t="e">
        <f t="shared" si="10"/>
        <v>#REF!</v>
      </c>
      <c r="AG10" s="123" t="e">
        <f t="shared" si="10"/>
        <v>#REF!</v>
      </c>
      <c r="AH10" s="123" t="e">
        <f t="shared" si="10"/>
        <v>#REF!</v>
      </c>
      <c r="AI10" s="123" t="e">
        <f t="shared" si="10"/>
        <v>#REF!</v>
      </c>
      <c r="AJ10" s="123" t="e">
        <f t="shared" ref="AJ10:BB10" si="11">AJ2+AI10</f>
        <v>#REF!</v>
      </c>
      <c r="AK10" s="123" t="e">
        <f t="shared" si="11"/>
        <v>#REF!</v>
      </c>
      <c r="AL10" s="123" t="e">
        <f t="shared" si="11"/>
        <v>#REF!</v>
      </c>
      <c r="AM10" s="123" t="e">
        <f t="shared" si="11"/>
        <v>#REF!</v>
      </c>
      <c r="AN10" s="123" t="e">
        <f t="shared" si="11"/>
        <v>#REF!</v>
      </c>
      <c r="AO10" s="123" t="e">
        <f t="shared" si="11"/>
        <v>#REF!</v>
      </c>
      <c r="AP10" s="123" t="e">
        <f t="shared" si="11"/>
        <v>#REF!</v>
      </c>
      <c r="AQ10" s="123" t="e">
        <f t="shared" si="11"/>
        <v>#REF!</v>
      </c>
      <c r="AR10" s="123" t="e">
        <f t="shared" si="11"/>
        <v>#REF!</v>
      </c>
      <c r="AS10" s="123" t="e">
        <f t="shared" si="11"/>
        <v>#REF!</v>
      </c>
      <c r="AT10" s="123" t="e">
        <f t="shared" si="11"/>
        <v>#REF!</v>
      </c>
      <c r="AU10" s="123" t="e">
        <f t="shared" si="11"/>
        <v>#REF!</v>
      </c>
      <c r="AV10" s="123" t="e">
        <f t="shared" si="11"/>
        <v>#REF!</v>
      </c>
      <c r="AW10" s="123" t="e">
        <f t="shared" si="11"/>
        <v>#REF!</v>
      </c>
      <c r="AX10" s="123" t="e">
        <f t="shared" si="11"/>
        <v>#REF!</v>
      </c>
      <c r="AY10" s="123" t="e">
        <f t="shared" si="11"/>
        <v>#REF!</v>
      </c>
      <c r="AZ10" s="123" t="e">
        <f t="shared" si="11"/>
        <v>#REF!</v>
      </c>
      <c r="BA10" s="123" t="e">
        <f t="shared" si="11"/>
        <v>#REF!</v>
      </c>
      <c r="BB10" s="123" t="e">
        <f t="shared" si="11"/>
        <v>#REF!</v>
      </c>
      <c r="BC10" s="3"/>
      <c r="BD10" s="3"/>
      <c r="BE10" s="3"/>
    </row>
    <row r="11" spans="1:57" ht="19.5" hidden="1" customHeight="1" x14ac:dyDescent="0.3">
      <c r="A11" s="3"/>
      <c r="B11" s="30" t="s">
        <v>440</v>
      </c>
      <c r="C11" s="123">
        <f>C3</f>
        <v>0</v>
      </c>
      <c r="D11" s="123">
        <f t="shared" ref="D11:AI11" si="12">D3+C11</f>
        <v>0</v>
      </c>
      <c r="E11" s="123">
        <f t="shared" si="12"/>
        <v>0</v>
      </c>
      <c r="F11" s="123">
        <f t="shared" si="12"/>
        <v>0</v>
      </c>
      <c r="G11" s="123">
        <f t="shared" si="12"/>
        <v>0</v>
      </c>
      <c r="H11" s="123">
        <f t="shared" si="12"/>
        <v>0</v>
      </c>
      <c r="I11" s="123">
        <f t="shared" si="12"/>
        <v>0</v>
      </c>
      <c r="J11" s="123">
        <f t="shared" si="12"/>
        <v>0</v>
      </c>
      <c r="K11" s="123">
        <f t="shared" si="12"/>
        <v>0</v>
      </c>
      <c r="L11" s="123">
        <f t="shared" si="12"/>
        <v>0</v>
      </c>
      <c r="M11" s="123">
        <f t="shared" si="12"/>
        <v>0</v>
      </c>
      <c r="N11" s="123">
        <f t="shared" si="12"/>
        <v>0</v>
      </c>
      <c r="O11" s="123">
        <f t="shared" si="12"/>
        <v>0</v>
      </c>
      <c r="P11" s="123">
        <f t="shared" si="12"/>
        <v>0</v>
      </c>
      <c r="Q11" s="123">
        <f t="shared" si="12"/>
        <v>0</v>
      </c>
      <c r="R11" s="123">
        <f t="shared" si="12"/>
        <v>0</v>
      </c>
      <c r="S11" s="123">
        <f t="shared" si="12"/>
        <v>0</v>
      </c>
      <c r="T11" s="123">
        <f t="shared" si="12"/>
        <v>0</v>
      </c>
      <c r="U11" s="123">
        <f t="shared" si="12"/>
        <v>0</v>
      </c>
      <c r="V11" s="123">
        <f t="shared" si="12"/>
        <v>0</v>
      </c>
      <c r="W11" s="123">
        <f t="shared" si="12"/>
        <v>0</v>
      </c>
      <c r="X11" s="123">
        <f t="shared" si="12"/>
        <v>0</v>
      </c>
      <c r="Y11" s="123">
        <f t="shared" si="12"/>
        <v>0</v>
      </c>
      <c r="Z11" s="123">
        <f t="shared" si="12"/>
        <v>0</v>
      </c>
      <c r="AA11" s="123">
        <f t="shared" si="12"/>
        <v>0</v>
      </c>
      <c r="AB11" s="123">
        <f t="shared" si="12"/>
        <v>0</v>
      </c>
      <c r="AC11" s="123">
        <f t="shared" si="12"/>
        <v>0</v>
      </c>
      <c r="AD11" s="123">
        <f t="shared" si="12"/>
        <v>0</v>
      </c>
      <c r="AE11" s="123">
        <f t="shared" si="12"/>
        <v>0</v>
      </c>
      <c r="AF11" s="123">
        <f t="shared" si="12"/>
        <v>0</v>
      </c>
      <c r="AG11" s="123">
        <f t="shared" si="12"/>
        <v>0</v>
      </c>
      <c r="AH11" s="123">
        <f t="shared" si="12"/>
        <v>0</v>
      </c>
      <c r="AI11" s="123">
        <f t="shared" si="12"/>
        <v>0</v>
      </c>
      <c r="AJ11" s="123">
        <f t="shared" ref="AJ11:BB11" si="13">AJ3+AI11</f>
        <v>0</v>
      </c>
      <c r="AK11" s="123">
        <f t="shared" si="13"/>
        <v>0</v>
      </c>
      <c r="AL11" s="123">
        <f t="shared" si="13"/>
        <v>0</v>
      </c>
      <c r="AM11" s="123">
        <f t="shared" si="13"/>
        <v>0</v>
      </c>
      <c r="AN11" s="123">
        <f t="shared" si="13"/>
        <v>0</v>
      </c>
      <c r="AO11" s="123">
        <f t="shared" si="13"/>
        <v>0</v>
      </c>
      <c r="AP11" s="123">
        <f t="shared" si="13"/>
        <v>0</v>
      </c>
      <c r="AQ11" s="123">
        <f t="shared" si="13"/>
        <v>0</v>
      </c>
      <c r="AR11" s="123">
        <f t="shared" si="13"/>
        <v>0</v>
      </c>
      <c r="AS11" s="123">
        <f t="shared" si="13"/>
        <v>0</v>
      </c>
      <c r="AT11" s="123">
        <f t="shared" si="13"/>
        <v>0</v>
      </c>
      <c r="AU11" s="123">
        <f t="shared" si="13"/>
        <v>0</v>
      </c>
      <c r="AV11" s="123">
        <f t="shared" si="13"/>
        <v>0</v>
      </c>
      <c r="AW11" s="123">
        <f t="shared" si="13"/>
        <v>0</v>
      </c>
      <c r="AX11" s="123">
        <f t="shared" si="13"/>
        <v>0</v>
      </c>
      <c r="AY11" s="123">
        <f t="shared" si="13"/>
        <v>0</v>
      </c>
      <c r="AZ11" s="123">
        <f t="shared" si="13"/>
        <v>0</v>
      </c>
      <c r="BA11" s="123">
        <f t="shared" si="13"/>
        <v>0</v>
      </c>
      <c r="BB11" s="123">
        <f t="shared" si="13"/>
        <v>0</v>
      </c>
      <c r="BC11" s="3"/>
      <c r="BD11" s="3"/>
      <c r="BE11" s="3"/>
    </row>
    <row r="12" spans="1:57" ht="19.5" hidden="1" customHeight="1" x14ac:dyDescent="0.3">
      <c r="A12" s="3"/>
      <c r="B12" s="30" t="s">
        <v>447</v>
      </c>
      <c r="C12" s="123">
        <f>C4</f>
        <v>133611.5</v>
      </c>
      <c r="D12" s="123">
        <f t="shared" ref="D12:AI12" si="14">D4+C12</f>
        <v>133611.5</v>
      </c>
      <c r="E12" s="123">
        <f t="shared" si="14"/>
        <v>133611.5</v>
      </c>
      <c r="F12" s="123">
        <f t="shared" si="14"/>
        <v>133611.5</v>
      </c>
      <c r="G12" s="123">
        <f t="shared" si="14"/>
        <v>133611.5</v>
      </c>
      <c r="H12" s="123">
        <f t="shared" si="14"/>
        <v>133611.5</v>
      </c>
      <c r="I12" s="123">
        <f t="shared" si="14"/>
        <v>133611.5</v>
      </c>
      <c r="J12" s="123">
        <f t="shared" si="14"/>
        <v>133611.5</v>
      </c>
      <c r="K12" s="123">
        <f t="shared" si="14"/>
        <v>133611.5</v>
      </c>
      <c r="L12" s="123">
        <f t="shared" si="14"/>
        <v>133611.5</v>
      </c>
      <c r="M12" s="123">
        <f t="shared" si="14"/>
        <v>133611.5</v>
      </c>
      <c r="N12" s="123">
        <f t="shared" si="14"/>
        <v>133611.5</v>
      </c>
      <c r="O12" s="123">
        <f t="shared" si="14"/>
        <v>133611.5</v>
      </c>
      <c r="P12" s="123">
        <f t="shared" si="14"/>
        <v>133611.5</v>
      </c>
      <c r="Q12" s="123">
        <f t="shared" si="14"/>
        <v>133611.5</v>
      </c>
      <c r="R12" s="123">
        <f t="shared" si="14"/>
        <v>133611.5</v>
      </c>
      <c r="S12" s="123">
        <f t="shared" si="14"/>
        <v>133611.5</v>
      </c>
      <c r="T12" s="123">
        <f t="shared" si="14"/>
        <v>133611.5</v>
      </c>
      <c r="U12" s="123">
        <f t="shared" si="14"/>
        <v>133611.5</v>
      </c>
      <c r="V12" s="123">
        <f t="shared" si="14"/>
        <v>133611.5</v>
      </c>
      <c r="W12" s="123">
        <f t="shared" si="14"/>
        <v>133611.5</v>
      </c>
      <c r="X12" s="123">
        <f t="shared" si="14"/>
        <v>133611.5</v>
      </c>
      <c r="Y12" s="123">
        <f t="shared" si="14"/>
        <v>133611.5</v>
      </c>
      <c r="Z12" s="123">
        <f t="shared" si="14"/>
        <v>133611.5</v>
      </c>
      <c r="AA12" s="123">
        <f t="shared" si="14"/>
        <v>133611.5</v>
      </c>
      <c r="AB12" s="123">
        <f t="shared" si="14"/>
        <v>133611.5</v>
      </c>
      <c r="AC12" s="123">
        <f t="shared" si="14"/>
        <v>133611.5</v>
      </c>
      <c r="AD12" s="123">
        <f t="shared" si="14"/>
        <v>133611.5</v>
      </c>
      <c r="AE12" s="123">
        <f t="shared" si="14"/>
        <v>133611.5</v>
      </c>
      <c r="AF12" s="123">
        <f t="shared" si="14"/>
        <v>133611.5</v>
      </c>
      <c r="AG12" s="123">
        <f t="shared" si="14"/>
        <v>133611.5</v>
      </c>
      <c r="AH12" s="123">
        <f t="shared" si="14"/>
        <v>133611.5</v>
      </c>
      <c r="AI12" s="123">
        <f t="shared" si="14"/>
        <v>133611.5</v>
      </c>
      <c r="AJ12" s="123">
        <f t="shared" ref="AJ12:BB12" si="15">AJ4+AI12</f>
        <v>133611.5</v>
      </c>
      <c r="AK12" s="123">
        <f t="shared" si="15"/>
        <v>133611.5</v>
      </c>
      <c r="AL12" s="123">
        <f t="shared" si="15"/>
        <v>133611.5</v>
      </c>
      <c r="AM12" s="123">
        <f t="shared" si="15"/>
        <v>133611.5</v>
      </c>
      <c r="AN12" s="123">
        <f t="shared" si="15"/>
        <v>133611.5</v>
      </c>
      <c r="AO12" s="123">
        <f t="shared" si="15"/>
        <v>133611.5</v>
      </c>
      <c r="AP12" s="123">
        <f t="shared" si="15"/>
        <v>133611.5</v>
      </c>
      <c r="AQ12" s="123">
        <f t="shared" si="15"/>
        <v>133611.5</v>
      </c>
      <c r="AR12" s="123">
        <f t="shared" si="15"/>
        <v>133611.5</v>
      </c>
      <c r="AS12" s="123">
        <f t="shared" si="15"/>
        <v>133611.5</v>
      </c>
      <c r="AT12" s="123">
        <f t="shared" si="15"/>
        <v>133611.5</v>
      </c>
      <c r="AU12" s="123">
        <f t="shared" si="15"/>
        <v>133611.5</v>
      </c>
      <c r="AV12" s="123">
        <f t="shared" si="15"/>
        <v>133611.5</v>
      </c>
      <c r="AW12" s="123">
        <f t="shared" si="15"/>
        <v>133611.5</v>
      </c>
      <c r="AX12" s="123">
        <f t="shared" si="15"/>
        <v>133611.5</v>
      </c>
      <c r="AY12" s="123">
        <f t="shared" si="15"/>
        <v>133611.5</v>
      </c>
      <c r="AZ12" s="123">
        <f t="shared" si="15"/>
        <v>133611.5</v>
      </c>
      <c r="BA12" s="123">
        <f t="shared" si="15"/>
        <v>133611.5</v>
      </c>
      <c r="BB12" s="123">
        <f t="shared" si="15"/>
        <v>133611.5</v>
      </c>
      <c r="BC12" s="3"/>
      <c r="BD12" s="3"/>
      <c r="BE12" s="3"/>
    </row>
    <row r="13" spans="1:57" ht="19.5" customHeight="1" x14ac:dyDescent="0.3">
      <c r="A13" s="3"/>
      <c r="B13" s="30" t="s">
        <v>149</v>
      </c>
      <c r="C13" s="9">
        <f>39254+C3-C4</f>
        <v>-94357.5</v>
      </c>
      <c r="D13" s="123">
        <f t="shared" ref="D13:AI13" si="16">C13+D3-D4</f>
        <v>-94357.5</v>
      </c>
      <c r="E13" s="123">
        <f t="shared" si="16"/>
        <v>-94357.5</v>
      </c>
      <c r="F13" s="123">
        <f t="shared" si="16"/>
        <v>-94357.5</v>
      </c>
      <c r="G13" s="123">
        <f t="shared" si="16"/>
        <v>-94357.5</v>
      </c>
      <c r="H13" s="123">
        <f t="shared" si="16"/>
        <v>-94357.5</v>
      </c>
      <c r="I13" s="123">
        <f t="shared" si="16"/>
        <v>-94357.5</v>
      </c>
      <c r="J13" s="123">
        <f t="shared" si="16"/>
        <v>-94357.5</v>
      </c>
      <c r="K13" s="123">
        <f t="shared" si="16"/>
        <v>-94357.5</v>
      </c>
      <c r="L13" s="123">
        <f t="shared" si="16"/>
        <v>-94357.5</v>
      </c>
      <c r="M13" s="123">
        <f t="shared" si="16"/>
        <v>-94357.5</v>
      </c>
      <c r="N13" s="123">
        <f t="shared" si="16"/>
        <v>-94357.5</v>
      </c>
      <c r="O13" s="123">
        <f t="shared" si="16"/>
        <v>-94357.5</v>
      </c>
      <c r="P13" s="123">
        <f t="shared" si="16"/>
        <v>-94357.5</v>
      </c>
      <c r="Q13" s="123">
        <f t="shared" si="16"/>
        <v>-94357.5</v>
      </c>
      <c r="R13" s="123">
        <f t="shared" si="16"/>
        <v>-94357.5</v>
      </c>
      <c r="S13" s="123">
        <f t="shared" si="16"/>
        <v>-94357.5</v>
      </c>
      <c r="T13" s="123">
        <f t="shared" si="16"/>
        <v>-94357.5</v>
      </c>
      <c r="U13" s="123">
        <f t="shared" si="16"/>
        <v>-94357.5</v>
      </c>
      <c r="V13" s="123">
        <f t="shared" si="16"/>
        <v>-94357.5</v>
      </c>
      <c r="W13" s="123">
        <f t="shared" si="16"/>
        <v>-94357.5</v>
      </c>
      <c r="X13" s="123">
        <f t="shared" si="16"/>
        <v>-94357.5</v>
      </c>
      <c r="Y13" s="123">
        <f t="shared" si="16"/>
        <v>-94357.5</v>
      </c>
      <c r="Z13" s="123">
        <f t="shared" si="16"/>
        <v>-94357.5</v>
      </c>
      <c r="AA13" s="123">
        <f t="shared" si="16"/>
        <v>-94357.5</v>
      </c>
      <c r="AB13" s="123">
        <f t="shared" si="16"/>
        <v>-94357.5</v>
      </c>
      <c r="AC13" s="123">
        <f t="shared" si="16"/>
        <v>-94357.5</v>
      </c>
      <c r="AD13" s="123">
        <f t="shared" si="16"/>
        <v>-94357.5</v>
      </c>
      <c r="AE13" s="123">
        <f t="shared" si="16"/>
        <v>-94357.5</v>
      </c>
      <c r="AF13" s="123">
        <f t="shared" si="16"/>
        <v>-94357.5</v>
      </c>
      <c r="AG13" s="123">
        <f t="shared" si="16"/>
        <v>-94357.5</v>
      </c>
      <c r="AH13" s="123">
        <f t="shared" si="16"/>
        <v>-94357.5</v>
      </c>
      <c r="AI13" s="123">
        <f t="shared" si="16"/>
        <v>-94357.5</v>
      </c>
      <c r="AJ13" s="123">
        <f t="shared" ref="AJ13:BB13" si="17">AI13+AJ3-AJ4</f>
        <v>-94357.5</v>
      </c>
      <c r="AK13" s="123">
        <f t="shared" si="17"/>
        <v>-94357.5</v>
      </c>
      <c r="AL13" s="123">
        <f t="shared" si="17"/>
        <v>-94357.5</v>
      </c>
      <c r="AM13" s="123">
        <f t="shared" si="17"/>
        <v>-94357.5</v>
      </c>
      <c r="AN13" s="123">
        <f t="shared" si="17"/>
        <v>-94357.5</v>
      </c>
      <c r="AO13" s="123">
        <f t="shared" si="17"/>
        <v>-94357.5</v>
      </c>
      <c r="AP13" s="123">
        <f t="shared" si="17"/>
        <v>-94357.5</v>
      </c>
      <c r="AQ13" s="123">
        <f t="shared" si="17"/>
        <v>-94357.5</v>
      </c>
      <c r="AR13" s="123">
        <f t="shared" si="17"/>
        <v>-94357.5</v>
      </c>
      <c r="AS13" s="123">
        <f t="shared" si="17"/>
        <v>-94357.5</v>
      </c>
      <c r="AT13" s="123">
        <f t="shared" si="17"/>
        <v>-94357.5</v>
      </c>
      <c r="AU13" s="123">
        <f t="shared" si="17"/>
        <v>-94357.5</v>
      </c>
      <c r="AV13" s="123">
        <f t="shared" si="17"/>
        <v>-94357.5</v>
      </c>
      <c r="AW13" s="123">
        <f t="shared" si="17"/>
        <v>-94357.5</v>
      </c>
      <c r="AX13" s="123">
        <f t="shared" si="17"/>
        <v>-94357.5</v>
      </c>
      <c r="AY13" s="123">
        <f t="shared" si="17"/>
        <v>-94357.5</v>
      </c>
      <c r="AZ13" s="123">
        <f t="shared" si="17"/>
        <v>-94357.5</v>
      </c>
      <c r="BA13" s="123">
        <f t="shared" si="17"/>
        <v>-94357.5</v>
      </c>
      <c r="BB13" s="123">
        <f t="shared" si="17"/>
        <v>-94357.5</v>
      </c>
      <c r="BC13" s="3"/>
      <c r="BD13" s="3"/>
      <c r="BE13" s="3"/>
    </row>
    <row r="14" spans="1:57" ht="19.5" hidden="1" customHeight="1" x14ac:dyDescent="0.3">
      <c r="A14" s="3"/>
      <c r="B14" s="3"/>
      <c r="C14" s="328"/>
      <c r="D14" s="8"/>
      <c r="E14" s="8"/>
      <c r="F14" s="8"/>
      <c r="G14" s="328"/>
      <c r="H14" s="328"/>
      <c r="I14" s="8"/>
      <c r="J14" s="8"/>
      <c r="K14" s="8"/>
      <c r="L14" s="328"/>
      <c r="M14" s="328"/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328"/>
      <c r="Y14" s="328"/>
      <c r="Z14" s="328"/>
      <c r="AA14" s="328"/>
      <c r="AB14" s="328"/>
      <c r="AC14" s="123"/>
      <c r="AD14" s="328"/>
      <c r="AE14" s="328"/>
      <c r="AF14" s="328"/>
      <c r="AG14" s="328"/>
      <c r="AH14" s="328"/>
      <c r="AI14" s="328"/>
      <c r="AJ14" s="328"/>
      <c r="AK14" s="328"/>
      <c r="AL14" s="328"/>
      <c r="AM14" s="328"/>
      <c r="AN14" s="328"/>
      <c r="AO14" s="328"/>
      <c r="AP14" s="328"/>
      <c r="AQ14" s="328"/>
      <c r="AR14" s="328"/>
      <c r="AS14" s="328"/>
      <c r="AT14" s="328"/>
      <c r="AU14" s="328"/>
      <c r="AV14" s="328"/>
      <c r="AW14" s="328"/>
      <c r="AX14" s="328"/>
      <c r="AY14" s="328"/>
      <c r="AZ14" s="328"/>
      <c r="BA14" s="328"/>
      <c r="BB14" s="328"/>
      <c r="BC14" s="3"/>
      <c r="BD14" s="3"/>
      <c r="BE14" s="3"/>
    </row>
    <row r="15" spans="1:57" ht="19.5" hidden="1" customHeight="1" x14ac:dyDescent="0.3">
      <c r="A15" s="3"/>
      <c r="B15" s="3"/>
      <c r="C15" s="328"/>
      <c r="D15" s="8"/>
      <c r="E15" s="8"/>
      <c r="F15" s="8"/>
      <c r="G15" s="328"/>
      <c r="H15" s="328"/>
      <c r="I15" s="8"/>
      <c r="J15" s="8"/>
      <c r="K15" s="8"/>
      <c r="L15" s="328"/>
      <c r="M15" s="328"/>
      <c r="N15" s="328"/>
      <c r="O15" s="328"/>
      <c r="P15" s="328"/>
      <c r="Q15" s="328"/>
      <c r="R15" s="328"/>
      <c r="S15" s="328"/>
      <c r="T15" s="328"/>
      <c r="U15" s="328"/>
      <c r="V15" s="328"/>
      <c r="W15" s="328"/>
      <c r="X15" s="328"/>
      <c r="Y15" s="328"/>
      <c r="Z15" s="328"/>
      <c r="AA15" s="328"/>
      <c r="AB15" s="328"/>
      <c r="AC15" s="328"/>
      <c r="AD15" s="328"/>
      <c r="AE15" s="328"/>
      <c r="AF15" s="328"/>
      <c r="AG15" s="328"/>
      <c r="AH15" s="328"/>
      <c r="AI15" s="328"/>
      <c r="AJ15" s="328"/>
      <c r="AK15" s="328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8"/>
      <c r="AX15" s="328"/>
      <c r="AY15" s="328"/>
      <c r="AZ15" s="328"/>
      <c r="BA15" s="328"/>
      <c r="BB15" s="328"/>
      <c r="BC15" s="3"/>
      <c r="BD15" s="3"/>
      <c r="BE15" s="3"/>
    </row>
    <row r="16" spans="1:57" ht="19.5" hidden="1" customHeight="1" x14ac:dyDescent="0.3">
      <c r="A16" s="30" t="s">
        <v>76</v>
      </c>
      <c r="B16" s="3"/>
      <c r="C16" s="506">
        <v>1</v>
      </c>
      <c r="D16" s="506">
        <v>2</v>
      </c>
      <c r="E16" s="506">
        <v>3</v>
      </c>
      <c r="F16" s="506">
        <v>4</v>
      </c>
      <c r="G16" s="506">
        <v>5</v>
      </c>
      <c r="H16" s="506">
        <v>6</v>
      </c>
      <c r="I16" s="506">
        <v>7</v>
      </c>
      <c r="J16" s="506">
        <v>8</v>
      </c>
      <c r="K16" s="506">
        <v>9</v>
      </c>
      <c r="L16" s="506">
        <v>10</v>
      </c>
      <c r="M16" s="506">
        <v>11</v>
      </c>
      <c r="N16" s="506">
        <v>12</v>
      </c>
      <c r="O16" s="506">
        <v>13</v>
      </c>
      <c r="P16" s="506">
        <v>14</v>
      </c>
      <c r="Q16" s="506">
        <v>15</v>
      </c>
      <c r="R16" s="506">
        <v>16</v>
      </c>
      <c r="S16" s="506">
        <v>17</v>
      </c>
      <c r="T16" s="162">
        <v>18</v>
      </c>
      <c r="U16" s="162">
        <v>19</v>
      </c>
      <c r="V16" s="507">
        <v>20</v>
      </c>
      <c r="W16" s="507">
        <v>21</v>
      </c>
      <c r="X16" s="507">
        <v>22</v>
      </c>
      <c r="Y16" s="507">
        <v>23</v>
      </c>
      <c r="Z16" s="507">
        <v>24</v>
      </c>
      <c r="AA16" s="507">
        <v>25</v>
      </c>
      <c r="AB16" s="507">
        <v>26</v>
      </c>
      <c r="AC16" s="507">
        <v>27</v>
      </c>
      <c r="AD16" s="507">
        <v>28</v>
      </c>
      <c r="AE16" s="507">
        <v>29</v>
      </c>
      <c r="AF16" s="507">
        <v>30</v>
      </c>
      <c r="AG16" s="507">
        <v>31</v>
      </c>
      <c r="AH16" s="162">
        <v>32</v>
      </c>
      <c r="AI16" s="162">
        <v>33</v>
      </c>
      <c r="AJ16" s="508">
        <v>34</v>
      </c>
      <c r="AK16" s="508">
        <v>35</v>
      </c>
      <c r="AL16" s="508">
        <v>36</v>
      </c>
      <c r="AM16" s="508">
        <v>37</v>
      </c>
      <c r="AN16" s="508">
        <v>38</v>
      </c>
      <c r="AO16" s="508">
        <v>39</v>
      </c>
      <c r="AP16" s="508">
        <v>40</v>
      </c>
      <c r="AQ16" s="508">
        <v>41</v>
      </c>
      <c r="AR16" s="508">
        <v>42</v>
      </c>
      <c r="AS16" s="508">
        <v>43</v>
      </c>
      <c r="AT16" s="508">
        <v>44</v>
      </c>
      <c r="AU16" s="508">
        <v>45</v>
      </c>
      <c r="AV16" s="508">
        <v>46</v>
      </c>
      <c r="AW16" s="508">
        <v>47</v>
      </c>
      <c r="AX16" s="508">
        <v>48</v>
      </c>
      <c r="AY16" s="508">
        <v>49</v>
      </c>
      <c r="AZ16" s="508">
        <v>50</v>
      </c>
      <c r="BA16" s="508">
        <v>51</v>
      </c>
      <c r="BB16" s="162">
        <v>52</v>
      </c>
      <c r="BC16" s="3"/>
      <c r="BD16" s="3"/>
      <c r="BE16" s="3"/>
    </row>
    <row r="17" spans="1:57" ht="19.5" hidden="1" customHeight="1" x14ac:dyDescent="0.3">
      <c r="A17" s="30" t="s">
        <v>590</v>
      </c>
      <c r="B17" s="433"/>
      <c r="C17" s="509">
        <v>1.680824306609493E-3</v>
      </c>
      <c r="D17" s="509">
        <f>0.343981605254073%+1%</f>
        <v>1.3439816052540731E-2</v>
      </c>
      <c r="E17" s="509">
        <f>1.34983770160087%+1%</f>
        <v>2.3498377016008702E-2</v>
      </c>
      <c r="F17" s="509">
        <f>1.44380914329294%+1%</f>
        <v>2.4438091432929403E-2</v>
      </c>
      <c r="G17" s="509">
        <v>2.4202290512384431E-2</v>
      </c>
      <c r="H17" s="509">
        <f>8.63377764926369%-4%</f>
        <v>4.6337776492636908E-2</v>
      </c>
      <c r="I17" s="509">
        <f>8.37172377691067%-3%</f>
        <v>5.371723776910671E-2</v>
      </c>
      <c r="J17" s="509">
        <f>7.21940469437205%-2%</f>
        <v>5.2194046943720498E-2</v>
      </c>
      <c r="K17" s="509">
        <f>0.391824385853865%+3%</f>
        <v>3.3918243858538651E-2</v>
      </c>
      <c r="L17" s="509">
        <f>0.499517758053737%+1.5%</f>
        <v>1.9995177580537371E-2</v>
      </c>
      <c r="M17" s="509">
        <f>0.499517758053737%+1.5%</f>
        <v>1.9995177580537371E-2</v>
      </c>
      <c r="N17" s="509">
        <v>1.005138140532133E-2</v>
      </c>
      <c r="O17" s="509">
        <v>1.9384806995976851E-2</v>
      </c>
      <c r="P17" s="509">
        <v>2.8359254679299461E-2</v>
      </c>
      <c r="Q17" s="509">
        <v>2.0862898529420078E-2</v>
      </c>
      <c r="R17" s="509">
        <v>1.583720782675942E-2</v>
      </c>
      <c r="S17" s="509">
        <v>6.8627601434368031E-3</v>
      </c>
      <c r="T17" s="509">
        <v>1.629759699291387E-2</v>
      </c>
      <c r="U17" s="509">
        <v>1.2657561012558209E-2</v>
      </c>
      <c r="V17" s="509">
        <v>1.2657561012558209E-2</v>
      </c>
      <c r="W17" s="509">
        <v>7.282764295016301E-3</v>
      </c>
      <c r="X17" s="509">
        <v>5.5381316653783852E-3</v>
      </c>
      <c r="Y17" s="509">
        <v>5.5381316653783852E-3</v>
      </c>
      <c r="Z17" s="509">
        <v>1.9066932059033561E-2</v>
      </c>
      <c r="AA17" s="509">
        <v>2.014386578103227E-2</v>
      </c>
      <c r="AB17" s="509">
        <v>2.157977741036389E-2</v>
      </c>
      <c r="AC17" s="509">
        <f>0.409037376510478%+1%</f>
        <v>1.4090373765104781E-2</v>
      </c>
      <c r="AD17" s="509">
        <f>0.376056281274267%+1%</f>
        <v>1.3760562812742671E-2</v>
      </c>
      <c r="AE17" s="509">
        <f>0.264773130001067%+1%</f>
        <v>1.264773130001067E-2</v>
      </c>
      <c r="AF17" s="509">
        <v>6.0061491120636601E-3</v>
      </c>
      <c r="AG17" s="509">
        <v>5.259026342427052E-3</v>
      </c>
      <c r="AH17" s="509">
        <v>6.0128799478261523E-3</v>
      </c>
      <c r="AI17" s="509">
        <v>0</v>
      </c>
      <c r="AJ17" s="509">
        <v>1.7159054226036009E-2</v>
      </c>
      <c r="AK17" s="509">
        <v>2.4311689029644128E-2</v>
      </c>
      <c r="AL17" s="509">
        <v>1.8532234466061202E-2</v>
      </c>
      <c r="AM17" s="509">
        <v>1.783608655926586E-2</v>
      </c>
      <c r="AN17" s="509">
        <v>4.0692927874966568E-2</v>
      </c>
      <c r="AO17" s="509">
        <v>3.9544198571501273E-2</v>
      </c>
      <c r="AP17" s="509">
        <v>3.2881299377972059E-2</v>
      </c>
      <c r="AQ17" s="509">
        <v>2.1538674439974272E-3</v>
      </c>
      <c r="AR17" s="509">
        <v>3.1051588984296239E-3</v>
      </c>
      <c r="AS17" s="509">
        <v>1.218729995395211E-2</v>
      </c>
      <c r="AT17" s="509">
        <v>1.1828322046619211E-2</v>
      </c>
      <c r="AU17" s="509">
        <v>1.6340674341793811E-2</v>
      </c>
      <c r="AV17" s="509">
        <f>5.51254551503323%-1%</f>
        <v>4.5125455150332297E-2</v>
      </c>
      <c r="AW17" s="509">
        <f>5.79613806182623%-1%</f>
        <v>4.79613806182623E-2</v>
      </c>
      <c r="AX17" s="509">
        <f>5.35369779103842%-1%</f>
        <v>4.3536977910384196E-2</v>
      </c>
      <c r="AY17" s="509">
        <f>1.07316445397172%+0.98%</f>
        <v>2.05316445397172E-2</v>
      </c>
      <c r="AZ17" s="509">
        <v>7.8957190717872348E-3</v>
      </c>
      <c r="BA17" s="509">
        <v>5.0615884933939547E-3</v>
      </c>
      <c r="BB17" s="509">
        <v>0</v>
      </c>
      <c r="BC17" s="3"/>
      <c r="BD17" s="3"/>
      <c r="BE17" s="3"/>
    </row>
    <row r="18" spans="1:57" ht="19.5" hidden="1" customHeight="1" x14ac:dyDescent="0.3">
      <c r="A18" s="30" t="s">
        <v>591</v>
      </c>
      <c r="B18" s="433"/>
      <c r="C18" s="509">
        <f>1.73384972530494%-1.7%</f>
        <v>3.3849725304940098E-4</v>
      </c>
      <c r="D18" s="509">
        <f>4.26443089783891%-3.5%</f>
        <v>7.6443089783890944E-3</v>
      </c>
      <c r="E18" s="509">
        <f>4.47862936139912%-3.3%</f>
        <v>1.1786293613991201E-2</v>
      </c>
      <c r="F18" s="509">
        <f>4.63152798763438%-3%</f>
        <v>1.6315279876343798E-2</v>
      </c>
      <c r="G18" s="509">
        <v>2.5959189403544119E-2</v>
      </c>
      <c r="H18" s="509">
        <v>2.632101113253096E-2</v>
      </c>
      <c r="I18" s="509">
        <f>1.00760115088256%+2%</f>
        <v>3.0076011508825599E-2</v>
      </c>
      <c r="J18" s="509">
        <f>0.512629025628557%+3%</f>
        <v>3.5126290256285567E-2</v>
      </c>
      <c r="K18" s="509">
        <f>0.0726538031805577%+3.19%</f>
        <v>3.2626538031805576E-2</v>
      </c>
      <c r="L18" s="509">
        <v>2.3867208530888001E-2</v>
      </c>
      <c r="M18" s="509">
        <v>3.2695658718166917E-2</v>
      </c>
      <c r="N18" s="509">
        <v>3.6313876008035331E-2</v>
      </c>
      <c r="O18" s="509">
        <f>1.24466674771473%</f>
        <v>1.2446667477147299E-2</v>
      </c>
      <c r="P18" s="509">
        <f>0.723643457973683%+1%</f>
        <v>1.723643457973683E-2</v>
      </c>
      <c r="Q18" s="509">
        <v>1.6915165830134828E-2</v>
      </c>
      <c r="R18" s="509">
        <v>1.6915165830134828E-2</v>
      </c>
      <c r="S18" s="509">
        <v>1.329694854026642E-2</v>
      </c>
      <c r="T18" s="509">
        <f>2.87431181507147%-1%</f>
        <v>1.8743118150714701E-2</v>
      </c>
      <c r="U18" s="509">
        <f>3.71373822632094%-2%</f>
        <v>1.7137382263209402E-2</v>
      </c>
      <c r="V18" s="509">
        <f>4.6909463519686%-2.5%</f>
        <v>2.1909463519686E-2</v>
      </c>
      <c r="W18" s="509">
        <f>1.81663453689713%+0.5%</f>
        <v>2.3166345368971299E-2</v>
      </c>
      <c r="X18" s="509">
        <f>1.83544926680445%</f>
        <v>1.8354492668044498E-2</v>
      </c>
      <c r="Y18" s="509">
        <f>1.12678522841082%+0.5%</f>
        <v>1.6267852284108198E-2</v>
      </c>
      <c r="Z18" s="509">
        <v>1.51176354805282E-2</v>
      </c>
      <c r="AA18" s="509">
        <v>9.8826539768549874E-3</v>
      </c>
      <c r="AB18" s="509">
        <v>7.1972131043146516E-3</v>
      </c>
      <c r="AC18" s="509">
        <v>8.2247868146372808E-3</v>
      </c>
      <c r="AD18" s="509">
        <v>6.149377377168759E-3</v>
      </c>
      <c r="AE18" s="509">
        <v>1.9451753243369979E-2</v>
      </c>
      <c r="AF18" s="509">
        <v>1.457439633662736E-2</v>
      </c>
      <c r="AG18" s="509">
        <v>1.330237586620122E-2</v>
      </c>
      <c r="AH18" s="509">
        <v>4.2405506637257792E-3</v>
      </c>
      <c r="AI18" s="509">
        <v>0</v>
      </c>
      <c r="AJ18" s="509">
        <v>1.335549129601649E-2</v>
      </c>
      <c r="AK18" s="509">
        <v>1.770314119152237E-2</v>
      </c>
      <c r="AL18" s="509">
        <v>1.784360038671506E-2</v>
      </c>
      <c r="AM18" s="509">
        <v>1.8118584900745058E-2</v>
      </c>
      <c r="AN18" s="509">
        <f>0.95303843415134%+2%</f>
        <v>2.9530384341513401E-2</v>
      </c>
      <c r="AO18" s="509">
        <f>0.438527935532052%+2%</f>
        <v>2.4385279355320519E-2</v>
      </c>
      <c r="AP18" s="509">
        <f>0.201172881316684%+2%</f>
        <v>2.2011728813166841E-2</v>
      </c>
      <c r="AQ18" s="509">
        <f>0.509444994413472%+2%</f>
        <v>2.509444994413472E-2</v>
      </c>
      <c r="AR18" s="509">
        <f>0.337217851415736%+1%</f>
        <v>1.3372178514157361E-2</v>
      </c>
      <c r="AS18" s="509">
        <v>6.9035585890689314E-3</v>
      </c>
      <c r="AT18" s="509">
        <v>2.7888350498156161E-2</v>
      </c>
      <c r="AU18" s="509">
        <v>3.2653036118492268E-2</v>
      </c>
      <c r="AV18" s="509">
        <v>4.1530694060913413E-2</v>
      </c>
      <c r="AW18" s="509">
        <v>1.7463181020858299E-2</v>
      </c>
      <c r="AX18" s="509">
        <v>1.469575134452954E-2</v>
      </c>
      <c r="AY18" s="509">
        <v>3.9628163045554797E-2</v>
      </c>
      <c r="AZ18" s="509">
        <v>3.9628163045554797E-2</v>
      </c>
      <c r="BA18" s="509">
        <f>3.7341449718358%-0.87%</f>
        <v>2.8641449718357997E-2</v>
      </c>
      <c r="BB18" s="509">
        <v>0</v>
      </c>
      <c r="BC18" s="3"/>
      <c r="BD18" s="3"/>
      <c r="BE18" s="3"/>
    </row>
    <row r="19" spans="1:57" ht="19.5" hidden="1" customHeight="1" x14ac:dyDescent="0.3">
      <c r="A19" s="510" t="s">
        <v>592</v>
      </c>
      <c r="B19" s="511"/>
      <c r="C19" s="328"/>
      <c r="D19" s="8"/>
      <c r="E19" s="8"/>
      <c r="F19" s="8"/>
      <c r="G19" s="328"/>
      <c r="H19" s="328"/>
      <c r="I19" s="8"/>
      <c r="J19" s="8"/>
      <c r="K19" s="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8"/>
      <c r="AJ19" s="328"/>
      <c r="AK19" s="328"/>
      <c r="AL19" s="328"/>
      <c r="AM19" s="328"/>
      <c r="AN19" s="328"/>
      <c r="AO19" s="328"/>
      <c r="AP19" s="328"/>
      <c r="AQ19" s="328"/>
      <c r="AR19" s="328"/>
      <c r="AS19" s="328"/>
      <c r="AT19" s="328"/>
      <c r="AU19" s="328"/>
      <c r="AV19" s="328"/>
      <c r="AW19" s="328"/>
      <c r="AX19" s="328"/>
      <c r="AY19" s="328"/>
      <c r="AZ19" s="328"/>
      <c r="BA19" s="328"/>
      <c r="BB19" s="328"/>
      <c r="BC19" s="3"/>
      <c r="BD19" s="3"/>
      <c r="BE19" s="3"/>
    </row>
    <row r="20" spans="1:57" ht="19.5" hidden="1" customHeight="1" x14ac:dyDescent="0.3">
      <c r="A20" s="3"/>
      <c r="B20" s="30" t="s">
        <v>593</v>
      </c>
      <c r="C20" s="258">
        <f t="shared" ref="C20:L21" si="18">SUM(C17:E17)/3</f>
        <v>1.2873005791719641E-2</v>
      </c>
      <c r="D20" s="258">
        <f t="shared" si="18"/>
        <v>2.0458761500492945E-2</v>
      </c>
      <c r="E20" s="258">
        <f t="shared" si="18"/>
        <v>2.4046252987107511E-2</v>
      </c>
      <c r="F20" s="258">
        <f t="shared" si="18"/>
        <v>3.1659386145983577E-2</v>
      </c>
      <c r="G20" s="258">
        <f t="shared" si="18"/>
        <v>4.1419101591376017E-2</v>
      </c>
      <c r="H20" s="258">
        <f t="shared" si="18"/>
        <v>5.0749687068488036E-2</v>
      </c>
      <c r="I20" s="258">
        <f t="shared" si="18"/>
        <v>4.6609842857121948E-2</v>
      </c>
      <c r="J20" s="258">
        <f t="shared" si="18"/>
        <v>3.536915612759884E-2</v>
      </c>
      <c r="K20" s="258">
        <f t="shared" si="18"/>
        <v>2.4636199673204462E-2</v>
      </c>
      <c r="L20" s="258">
        <f t="shared" si="18"/>
        <v>1.6680578855465356E-2</v>
      </c>
      <c r="M20" s="258">
        <f t="shared" ref="M20:V21" si="19">SUM(M17:O17)/3</f>
        <v>1.6477121993945184E-2</v>
      </c>
      <c r="N20" s="258">
        <f t="shared" si="19"/>
        <v>1.9265147693532547E-2</v>
      </c>
      <c r="O20" s="258">
        <f t="shared" si="19"/>
        <v>2.2868986734898799E-2</v>
      </c>
      <c r="P20" s="258">
        <f t="shared" si="19"/>
        <v>2.1686453678492989E-2</v>
      </c>
      <c r="Q20" s="258">
        <f t="shared" si="19"/>
        <v>1.4520955499872099E-2</v>
      </c>
      <c r="R20" s="258">
        <f t="shared" si="19"/>
        <v>1.2999188321036697E-2</v>
      </c>
      <c r="S20" s="258">
        <f t="shared" si="19"/>
        <v>1.1939306049636294E-2</v>
      </c>
      <c r="T20" s="258">
        <f t="shared" si="19"/>
        <v>1.3870906339343431E-2</v>
      </c>
      <c r="U20" s="258">
        <f t="shared" si="19"/>
        <v>1.0865962106710906E-2</v>
      </c>
      <c r="V20" s="258">
        <f>SUM(V17:X17)/3+0.96%</f>
        <v>1.8092818990984298E-2</v>
      </c>
      <c r="W20" s="258">
        <f>SUM(W17:Y17)/3+1%</f>
        <v>1.6119675875257693E-2</v>
      </c>
      <c r="X20" s="258">
        <f>SUM(X17:Z17)/3+0.4%</f>
        <v>1.4047731796596777E-2</v>
      </c>
      <c r="Y20" s="258">
        <f t="shared" ref="Y20:AG20" si="20">SUM(Y17:AA17)/3</f>
        <v>1.4916309835148073E-2</v>
      </c>
      <c r="Z20" s="258">
        <f t="shared" si="20"/>
        <v>2.0263525083476574E-2</v>
      </c>
      <c r="AA20" s="258">
        <f t="shared" si="20"/>
        <v>1.8604672318833646E-2</v>
      </c>
      <c r="AB20" s="258">
        <f t="shared" si="20"/>
        <v>1.6476904662737112E-2</v>
      </c>
      <c r="AC20" s="258">
        <f t="shared" si="20"/>
        <v>1.3499555959286041E-2</v>
      </c>
      <c r="AD20" s="258">
        <f t="shared" si="20"/>
        <v>1.0804814408272334E-2</v>
      </c>
      <c r="AE20" s="258">
        <f t="shared" si="20"/>
        <v>7.9709689181671275E-3</v>
      </c>
      <c r="AF20" s="258">
        <f t="shared" si="20"/>
        <v>5.7593518007722881E-3</v>
      </c>
      <c r="AG20" s="258">
        <f t="shared" si="20"/>
        <v>3.7573020967510682E-3</v>
      </c>
      <c r="AH20" s="258">
        <v>0</v>
      </c>
      <c r="AI20" s="258">
        <v>0</v>
      </c>
      <c r="AJ20" s="258">
        <f>SUM(AJ17:AL17)/3</f>
        <v>2.0000992573913776E-2</v>
      </c>
      <c r="AK20" s="258">
        <f>SUM(AK17:AM17)/3+1%</f>
        <v>3.0226670018323729E-2</v>
      </c>
      <c r="AL20" s="258">
        <f>SUM(AL17:AN17)/3+1%</f>
        <v>3.5687082966764545E-2</v>
      </c>
      <c r="AM20" s="258">
        <f>SUM(AM17:AO17)/3+1%</f>
        <v>4.2691071001911239E-2</v>
      </c>
      <c r="AN20" s="258">
        <f t="shared" ref="AN20:AZ21" si="21">SUM(AN17:AP17)/3</f>
        <v>3.7706141941479969E-2</v>
      </c>
      <c r="AO20" s="258">
        <f t="shared" si="21"/>
        <v>2.4859788464490256E-2</v>
      </c>
      <c r="AP20" s="258">
        <f t="shared" si="21"/>
        <v>1.2713441906799704E-2</v>
      </c>
      <c r="AQ20" s="258">
        <f t="shared" si="21"/>
        <v>5.8154420987930541E-3</v>
      </c>
      <c r="AR20" s="258">
        <f t="shared" si="21"/>
        <v>9.0402602996669818E-3</v>
      </c>
      <c r="AS20" s="258">
        <f t="shared" si="21"/>
        <v>1.3452098780788379E-2</v>
      </c>
      <c r="AT20" s="258">
        <f t="shared" si="21"/>
        <v>2.443148384624844E-2</v>
      </c>
      <c r="AU20" s="258">
        <f t="shared" si="21"/>
        <v>3.6475836703462806E-2</v>
      </c>
      <c r="AV20" s="258">
        <f t="shared" si="21"/>
        <v>4.5541271226326265E-2</v>
      </c>
      <c r="AW20" s="258">
        <f t="shared" si="21"/>
        <v>3.7343334356121229E-2</v>
      </c>
      <c r="AX20" s="258">
        <f t="shared" si="21"/>
        <v>2.3988113840629544E-2</v>
      </c>
      <c r="AY20" s="258">
        <f t="shared" si="21"/>
        <v>1.116298403496613E-2</v>
      </c>
      <c r="AZ20" s="258">
        <f t="shared" si="21"/>
        <v>4.3191025217270635E-3</v>
      </c>
      <c r="BA20" s="258">
        <v>0</v>
      </c>
      <c r="BB20" s="258">
        <f>SUM(BB17:BD17)/3</f>
        <v>0</v>
      </c>
      <c r="BC20" s="3"/>
      <c r="BD20" s="3"/>
      <c r="BE20" s="3"/>
    </row>
    <row r="21" spans="1:57" ht="19.5" hidden="1" customHeight="1" x14ac:dyDescent="0.3">
      <c r="A21" s="3"/>
      <c r="B21" s="30" t="s">
        <v>142</v>
      </c>
      <c r="C21" s="258">
        <f t="shared" si="18"/>
        <v>6.5896999484765656E-3</v>
      </c>
      <c r="D21" s="258">
        <f t="shared" si="18"/>
        <v>1.1915294156241365E-2</v>
      </c>
      <c r="E21" s="258">
        <f t="shared" si="18"/>
        <v>1.8020254297959708E-2</v>
      </c>
      <c r="F21" s="258">
        <f t="shared" si="18"/>
        <v>2.2865160137472959E-2</v>
      </c>
      <c r="G21" s="258">
        <f t="shared" si="18"/>
        <v>2.7452070681633561E-2</v>
      </c>
      <c r="H21" s="258">
        <f t="shared" si="18"/>
        <v>3.0507770965880709E-2</v>
      </c>
      <c r="I21" s="258">
        <f t="shared" si="18"/>
        <v>3.2609613265638909E-2</v>
      </c>
      <c r="J21" s="258">
        <f t="shared" si="18"/>
        <v>3.054001227299305E-2</v>
      </c>
      <c r="K21" s="258">
        <f t="shared" si="18"/>
        <v>2.9729801760286834E-2</v>
      </c>
      <c r="L21" s="258">
        <f t="shared" si="18"/>
        <v>3.0958914419030082E-2</v>
      </c>
      <c r="M21" s="258">
        <f t="shared" si="19"/>
        <v>2.7152067401116517E-2</v>
      </c>
      <c r="N21" s="258">
        <f t="shared" si="19"/>
        <v>2.199899268830649E-2</v>
      </c>
      <c r="O21" s="258">
        <f t="shared" si="19"/>
        <v>1.5532755962339653E-2</v>
      </c>
      <c r="P21" s="258">
        <f t="shared" si="19"/>
        <v>1.7022255413335494E-2</v>
      </c>
      <c r="Q21" s="258">
        <f t="shared" si="19"/>
        <v>1.5709093400178693E-2</v>
      </c>
      <c r="R21" s="258">
        <f t="shared" si="19"/>
        <v>1.6318410840371982E-2</v>
      </c>
      <c r="S21" s="258">
        <f t="shared" si="19"/>
        <v>1.6392482984730172E-2</v>
      </c>
      <c r="T21" s="258">
        <f t="shared" si="19"/>
        <v>1.9263321311203365E-2</v>
      </c>
      <c r="U21" s="258">
        <f t="shared" si="19"/>
        <v>2.0737730383955568E-2</v>
      </c>
      <c r="V21" s="258">
        <f>SUM(V18:X18)/3</f>
        <v>2.1143433852233929E-2</v>
      </c>
      <c r="W21" s="258">
        <f>SUM(W18:Y18)/3-0.18%</f>
        <v>1.7462896773707999E-2</v>
      </c>
      <c r="X21" s="258">
        <f>SUM(X18:Z18)/3</f>
        <v>1.6579993477560298E-2</v>
      </c>
      <c r="Y21" s="258">
        <f>SUM(Y18:AA18)/3</f>
        <v>1.3756047247163797E-2</v>
      </c>
      <c r="Z21" s="258">
        <f>SUM(Z18:AB18)/3</f>
        <v>1.0732500853899282E-2</v>
      </c>
      <c r="AA21" s="258">
        <f>SUM(AA18:AC18)/3+1.8%</f>
        <v>2.6434884631935641E-2</v>
      </c>
      <c r="AB21" s="258">
        <f>SUM(AB18:AD18)/3+1%</f>
        <v>1.7190459098706899E-2</v>
      </c>
      <c r="AC21" s="258">
        <f>SUM(AC18:AE18)/3</f>
        <v>1.1275305811725339E-2</v>
      </c>
      <c r="AD21" s="258">
        <f>SUM(AD18:AF18)/3</f>
        <v>1.3391842319055366E-2</v>
      </c>
      <c r="AE21" s="258">
        <f>SUM(AE18:AG18)/3</f>
        <v>1.5776175148732852E-2</v>
      </c>
      <c r="AF21" s="258">
        <f>SUM(AF18:AH18)/3</f>
        <v>1.0705774288851453E-2</v>
      </c>
      <c r="AG21" s="258">
        <f>SUM(AG18:AI18)/3</f>
        <v>5.8476421766423328E-3</v>
      </c>
      <c r="AH21" s="258">
        <v>0</v>
      </c>
      <c r="AI21" s="258">
        <v>0</v>
      </c>
      <c r="AJ21" s="258">
        <f>SUM(AJ18:AL18)/3+1%</f>
        <v>2.6300744291417974E-2</v>
      </c>
      <c r="AK21" s="258">
        <f>SUM(AK18:AM18)/3+1%</f>
        <v>2.7888442159660833E-2</v>
      </c>
      <c r="AL21" s="258">
        <f>SUM(AL18:AN18)/3+1%</f>
        <v>3.1830856542991171E-2</v>
      </c>
      <c r="AM21" s="258">
        <f>SUM(AM18:AO18)/3</f>
        <v>2.4011416199192993E-2</v>
      </c>
      <c r="AN21" s="258">
        <f t="shared" si="21"/>
        <v>2.5309130836666919E-2</v>
      </c>
      <c r="AO21" s="258">
        <f t="shared" si="21"/>
        <v>2.3830486037540694E-2</v>
      </c>
      <c r="AP21" s="258">
        <f t="shared" si="21"/>
        <v>2.015945242381964E-2</v>
      </c>
      <c r="AQ21" s="258">
        <f t="shared" si="21"/>
        <v>1.512339568245367E-2</v>
      </c>
      <c r="AR21" s="258">
        <f t="shared" si="21"/>
        <v>1.6054695867127485E-2</v>
      </c>
      <c r="AS21" s="258">
        <f t="shared" si="21"/>
        <v>2.248164840190579E-2</v>
      </c>
      <c r="AT21" s="258">
        <f t="shared" si="21"/>
        <v>3.4024026892520619E-2</v>
      </c>
      <c r="AU21" s="258">
        <f t="shared" si="21"/>
        <v>3.0548970400087996E-2</v>
      </c>
      <c r="AV21" s="258">
        <f t="shared" si="21"/>
        <v>2.4563208808767084E-2</v>
      </c>
      <c r="AW21" s="258">
        <f t="shared" si="21"/>
        <v>2.3929031803647544E-2</v>
      </c>
      <c r="AX21" s="258">
        <f t="shared" si="21"/>
        <v>3.1317359145213046E-2</v>
      </c>
      <c r="AY21" s="258">
        <f t="shared" si="21"/>
        <v>3.5965925269822528E-2</v>
      </c>
      <c r="AZ21" s="258">
        <f t="shared" si="21"/>
        <v>2.2756537587970933E-2</v>
      </c>
      <c r="BA21" s="258">
        <f>SUM(BA18:BC18)/3+0.27%</f>
        <v>1.2247149906119331E-2</v>
      </c>
      <c r="BB21" s="258">
        <f>SUM(BB18:BD18)/3</f>
        <v>0</v>
      </c>
      <c r="BC21" s="3"/>
      <c r="BD21" s="3"/>
      <c r="BE21" s="3"/>
    </row>
    <row r="22" spans="1:57" ht="19.5" customHeight="1" x14ac:dyDescent="0.3">
      <c r="A22" s="3"/>
      <c r="B22" s="30" t="s">
        <v>594</v>
      </c>
      <c r="C22" s="433"/>
      <c r="D22" s="433"/>
      <c r="E22" s="433"/>
      <c r="F22" s="433"/>
      <c r="G22" s="433"/>
      <c r="H22" s="433"/>
      <c r="I22" s="433"/>
      <c r="J22" s="433"/>
      <c r="K22" s="433"/>
      <c r="L22" s="433"/>
      <c r="M22" s="433"/>
      <c r="N22" s="433"/>
      <c r="O22" s="433"/>
      <c r="P22" s="433"/>
      <c r="Q22" s="433"/>
      <c r="R22" s="433"/>
      <c r="S22" s="433"/>
      <c r="T22" s="433"/>
      <c r="U22" s="433"/>
      <c r="V22" s="433"/>
      <c r="W22" s="433"/>
      <c r="X22" s="433"/>
      <c r="Y22" s="433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3"/>
      <c r="BD22" s="3"/>
      <c r="BE22" s="3"/>
    </row>
    <row r="23" spans="1:57" ht="19.5" customHeight="1" x14ac:dyDescent="0.3">
      <c r="A23" s="3"/>
      <c r="B23" s="3"/>
      <c r="C23" s="433"/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  <c r="V23" s="433"/>
      <c r="W23" s="433"/>
      <c r="X23" s="433"/>
      <c r="Y23" s="433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3"/>
      <c r="BD23" s="3"/>
      <c r="BE23" s="3"/>
    </row>
    <row r="24" spans="1:57" ht="19.5" customHeight="1" x14ac:dyDescent="0.3">
      <c r="A24" s="3"/>
      <c r="B24" s="3"/>
      <c r="C24" s="433"/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  <c r="V24" s="433"/>
      <c r="W24" s="433"/>
      <c r="X24" s="433"/>
      <c r="Y24" s="433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3"/>
      <c r="BD24" s="3"/>
      <c r="BE24" s="3"/>
    </row>
    <row r="25" spans="1:57" ht="19.5" customHeight="1" x14ac:dyDescent="0.3">
      <c r="A25" s="3"/>
      <c r="B25" s="33" t="s">
        <v>455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3"/>
      <c r="BD25" s="3"/>
      <c r="BE25" s="3"/>
    </row>
    <row r="26" spans="1:57" ht="19.5" customHeight="1" x14ac:dyDescent="0.3">
      <c r="A26" s="3"/>
      <c r="B26" s="33" t="s">
        <v>456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3"/>
      <c r="BD26" s="3"/>
      <c r="BE26" s="3"/>
    </row>
    <row r="27" spans="1:57" ht="19.5" customHeight="1" x14ac:dyDescent="0.3">
      <c r="A27" s="3"/>
      <c r="B27" s="33" t="s">
        <v>457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3"/>
      <c r="BE27" s="3"/>
    </row>
    <row r="28" spans="1:57" ht="19.5" customHeight="1" x14ac:dyDescent="0.3">
      <c r="A28" s="3"/>
      <c r="B28" s="33" t="s">
        <v>458</v>
      </c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3"/>
      <c r="BD28" s="3"/>
      <c r="BE28" s="3"/>
    </row>
    <row r="29" spans="1:57" ht="19.5" customHeight="1" x14ac:dyDescent="0.3">
      <c r="A29" s="3"/>
      <c r="B29" s="33" t="s">
        <v>459</v>
      </c>
      <c r="C29" s="235">
        <f>C25</f>
        <v>0</v>
      </c>
      <c r="D29" s="235">
        <f t="shared" ref="D29:AI29" si="22">C29+D25</f>
        <v>0</v>
      </c>
      <c r="E29" s="235">
        <f t="shared" si="22"/>
        <v>0</v>
      </c>
      <c r="F29" s="235">
        <f t="shared" si="22"/>
        <v>0</v>
      </c>
      <c r="G29" s="235">
        <f t="shared" si="22"/>
        <v>0</v>
      </c>
      <c r="H29" s="235">
        <f t="shared" si="22"/>
        <v>0</v>
      </c>
      <c r="I29" s="235">
        <f t="shared" si="22"/>
        <v>0</v>
      </c>
      <c r="J29" s="235">
        <f t="shared" si="22"/>
        <v>0</v>
      </c>
      <c r="K29" s="235">
        <f t="shared" si="22"/>
        <v>0</v>
      </c>
      <c r="L29" s="235">
        <f t="shared" si="22"/>
        <v>0</v>
      </c>
      <c r="M29" s="235">
        <f t="shared" si="22"/>
        <v>0</v>
      </c>
      <c r="N29" s="235">
        <f t="shared" si="22"/>
        <v>0</v>
      </c>
      <c r="O29" s="235">
        <f t="shared" si="22"/>
        <v>0</v>
      </c>
      <c r="P29" s="235">
        <f t="shared" si="22"/>
        <v>0</v>
      </c>
      <c r="Q29" s="235">
        <f t="shared" si="22"/>
        <v>0</v>
      </c>
      <c r="R29" s="235">
        <f t="shared" si="22"/>
        <v>0</v>
      </c>
      <c r="S29" s="235">
        <f t="shared" si="22"/>
        <v>0</v>
      </c>
      <c r="T29" s="235">
        <f t="shared" si="22"/>
        <v>0</v>
      </c>
      <c r="U29" s="235">
        <f t="shared" si="22"/>
        <v>0</v>
      </c>
      <c r="V29" s="235">
        <f t="shared" si="22"/>
        <v>0</v>
      </c>
      <c r="W29" s="235">
        <f t="shared" si="22"/>
        <v>0</v>
      </c>
      <c r="X29" s="235">
        <f t="shared" si="22"/>
        <v>0</v>
      </c>
      <c r="Y29" s="235">
        <f t="shared" si="22"/>
        <v>0</v>
      </c>
      <c r="Z29" s="235">
        <f t="shared" si="22"/>
        <v>0</v>
      </c>
      <c r="AA29" s="235">
        <f t="shared" si="22"/>
        <v>0</v>
      </c>
      <c r="AB29" s="235">
        <f t="shared" si="22"/>
        <v>0</v>
      </c>
      <c r="AC29" s="235">
        <f t="shared" si="22"/>
        <v>0</v>
      </c>
      <c r="AD29" s="235">
        <f t="shared" si="22"/>
        <v>0</v>
      </c>
      <c r="AE29" s="235">
        <f t="shared" si="22"/>
        <v>0</v>
      </c>
      <c r="AF29" s="235">
        <f t="shared" si="22"/>
        <v>0</v>
      </c>
      <c r="AG29" s="235">
        <f t="shared" si="22"/>
        <v>0</v>
      </c>
      <c r="AH29" s="235">
        <f t="shared" si="22"/>
        <v>0</v>
      </c>
      <c r="AI29" s="235">
        <f t="shared" si="22"/>
        <v>0</v>
      </c>
      <c r="AJ29" s="235">
        <f t="shared" ref="AJ29:BB29" si="23">AI29+AJ25</f>
        <v>0</v>
      </c>
      <c r="AK29" s="235">
        <f t="shared" si="23"/>
        <v>0</v>
      </c>
      <c r="AL29" s="235">
        <f t="shared" si="23"/>
        <v>0</v>
      </c>
      <c r="AM29" s="235">
        <f t="shared" si="23"/>
        <v>0</v>
      </c>
      <c r="AN29" s="235">
        <f t="shared" si="23"/>
        <v>0</v>
      </c>
      <c r="AO29" s="235">
        <f t="shared" si="23"/>
        <v>0</v>
      </c>
      <c r="AP29" s="235">
        <f t="shared" si="23"/>
        <v>0</v>
      </c>
      <c r="AQ29" s="235">
        <f t="shared" si="23"/>
        <v>0</v>
      </c>
      <c r="AR29" s="235">
        <f t="shared" si="23"/>
        <v>0</v>
      </c>
      <c r="AS29" s="235">
        <f t="shared" si="23"/>
        <v>0</v>
      </c>
      <c r="AT29" s="235">
        <f t="shared" si="23"/>
        <v>0</v>
      </c>
      <c r="AU29" s="235">
        <f t="shared" si="23"/>
        <v>0</v>
      </c>
      <c r="AV29" s="235">
        <f t="shared" si="23"/>
        <v>0</v>
      </c>
      <c r="AW29" s="235">
        <f t="shared" si="23"/>
        <v>0</v>
      </c>
      <c r="AX29" s="235">
        <f t="shared" si="23"/>
        <v>0</v>
      </c>
      <c r="AY29" s="235">
        <f t="shared" si="23"/>
        <v>0</v>
      </c>
      <c r="AZ29" s="235">
        <f t="shared" si="23"/>
        <v>0</v>
      </c>
      <c r="BA29" s="235">
        <f t="shared" si="23"/>
        <v>0</v>
      </c>
      <c r="BB29" s="235">
        <f t="shared" si="23"/>
        <v>0</v>
      </c>
      <c r="BC29" s="3"/>
      <c r="BD29" s="3"/>
      <c r="BE29" s="3"/>
    </row>
    <row r="30" spans="1:57" ht="19.5" customHeight="1" x14ac:dyDescent="0.3">
      <c r="A30" s="3"/>
      <c r="B30" s="33" t="s">
        <v>460</v>
      </c>
      <c r="C30" s="9">
        <f>C26</f>
        <v>0</v>
      </c>
      <c r="D30" s="9">
        <f t="shared" ref="D30:AI30" si="24">C30+D26</f>
        <v>0</v>
      </c>
      <c r="E30" s="9">
        <f t="shared" si="24"/>
        <v>0</v>
      </c>
      <c r="F30" s="9">
        <f t="shared" si="24"/>
        <v>0</v>
      </c>
      <c r="G30" s="9">
        <f t="shared" si="24"/>
        <v>0</v>
      </c>
      <c r="H30" s="9">
        <f t="shared" si="24"/>
        <v>0</v>
      </c>
      <c r="I30" s="9">
        <f t="shared" si="24"/>
        <v>0</v>
      </c>
      <c r="J30" s="9">
        <f t="shared" si="24"/>
        <v>0</v>
      </c>
      <c r="K30" s="9">
        <f t="shared" si="24"/>
        <v>0</v>
      </c>
      <c r="L30" s="9">
        <f t="shared" si="24"/>
        <v>0</v>
      </c>
      <c r="M30" s="9">
        <f t="shared" si="24"/>
        <v>0</v>
      </c>
      <c r="N30" s="9">
        <f t="shared" si="24"/>
        <v>0</v>
      </c>
      <c r="O30" s="9">
        <f t="shared" si="24"/>
        <v>0</v>
      </c>
      <c r="P30" s="9">
        <f t="shared" si="24"/>
        <v>0</v>
      </c>
      <c r="Q30" s="9">
        <f t="shared" si="24"/>
        <v>0</v>
      </c>
      <c r="R30" s="9">
        <f t="shared" si="24"/>
        <v>0</v>
      </c>
      <c r="S30" s="9">
        <f t="shared" si="24"/>
        <v>0</v>
      </c>
      <c r="T30" s="9">
        <f t="shared" si="24"/>
        <v>0</v>
      </c>
      <c r="U30" s="9">
        <f t="shared" si="24"/>
        <v>0</v>
      </c>
      <c r="V30" s="9">
        <f t="shared" si="24"/>
        <v>0</v>
      </c>
      <c r="W30" s="9">
        <f t="shared" si="24"/>
        <v>0</v>
      </c>
      <c r="X30" s="9">
        <f t="shared" si="24"/>
        <v>0</v>
      </c>
      <c r="Y30" s="9">
        <f t="shared" si="24"/>
        <v>0</v>
      </c>
      <c r="Z30" s="9">
        <f t="shared" si="24"/>
        <v>0</v>
      </c>
      <c r="AA30" s="9">
        <f t="shared" si="24"/>
        <v>0</v>
      </c>
      <c r="AB30" s="9">
        <f t="shared" si="24"/>
        <v>0</v>
      </c>
      <c r="AC30" s="9">
        <f t="shared" si="24"/>
        <v>0</v>
      </c>
      <c r="AD30" s="9">
        <f t="shared" si="24"/>
        <v>0</v>
      </c>
      <c r="AE30" s="9">
        <f t="shared" si="24"/>
        <v>0</v>
      </c>
      <c r="AF30" s="9">
        <f t="shared" si="24"/>
        <v>0</v>
      </c>
      <c r="AG30" s="9">
        <f t="shared" si="24"/>
        <v>0</v>
      </c>
      <c r="AH30" s="9">
        <f t="shared" si="24"/>
        <v>0</v>
      </c>
      <c r="AI30" s="9">
        <f t="shared" si="24"/>
        <v>0</v>
      </c>
      <c r="AJ30" s="9">
        <f t="shared" ref="AJ30:BB30" si="25">AI30+AJ26</f>
        <v>0</v>
      </c>
      <c r="AK30" s="9">
        <f t="shared" si="25"/>
        <v>0</v>
      </c>
      <c r="AL30" s="9">
        <f t="shared" si="25"/>
        <v>0</v>
      </c>
      <c r="AM30" s="9">
        <f t="shared" si="25"/>
        <v>0</v>
      </c>
      <c r="AN30" s="9">
        <f t="shared" si="25"/>
        <v>0</v>
      </c>
      <c r="AO30" s="9">
        <f t="shared" si="25"/>
        <v>0</v>
      </c>
      <c r="AP30" s="9">
        <f t="shared" si="25"/>
        <v>0</v>
      </c>
      <c r="AQ30" s="9">
        <f t="shared" si="25"/>
        <v>0</v>
      </c>
      <c r="AR30" s="9">
        <f t="shared" si="25"/>
        <v>0</v>
      </c>
      <c r="AS30" s="9">
        <f t="shared" si="25"/>
        <v>0</v>
      </c>
      <c r="AT30" s="9">
        <f t="shared" si="25"/>
        <v>0</v>
      </c>
      <c r="AU30" s="9">
        <f t="shared" si="25"/>
        <v>0</v>
      </c>
      <c r="AV30" s="9">
        <f t="shared" si="25"/>
        <v>0</v>
      </c>
      <c r="AW30" s="9">
        <f t="shared" si="25"/>
        <v>0</v>
      </c>
      <c r="AX30" s="9">
        <f t="shared" si="25"/>
        <v>0</v>
      </c>
      <c r="AY30" s="9">
        <f t="shared" si="25"/>
        <v>0</v>
      </c>
      <c r="AZ30" s="9">
        <f t="shared" si="25"/>
        <v>0</v>
      </c>
      <c r="BA30" s="9">
        <f t="shared" si="25"/>
        <v>0</v>
      </c>
      <c r="BB30" s="9">
        <f t="shared" si="25"/>
        <v>0</v>
      </c>
      <c r="BC30" s="3"/>
      <c r="BD30" s="3"/>
      <c r="BE30" s="3"/>
    </row>
    <row r="31" spans="1:57" ht="19.5" customHeight="1" x14ac:dyDescent="0.3">
      <c r="A31" s="3"/>
      <c r="B31" s="33" t="s">
        <v>461</v>
      </c>
      <c r="C31" s="9">
        <f>C27</f>
        <v>0</v>
      </c>
      <c r="D31" s="9">
        <f t="shared" ref="D31:AI31" si="26">C31+D27</f>
        <v>0</v>
      </c>
      <c r="E31" s="9">
        <f t="shared" si="26"/>
        <v>0</v>
      </c>
      <c r="F31" s="9">
        <f t="shared" si="26"/>
        <v>0</v>
      </c>
      <c r="G31" s="9">
        <f t="shared" si="26"/>
        <v>0</v>
      </c>
      <c r="H31" s="9">
        <f t="shared" si="26"/>
        <v>0</v>
      </c>
      <c r="I31" s="9">
        <f t="shared" si="26"/>
        <v>0</v>
      </c>
      <c r="J31" s="9">
        <f t="shared" si="26"/>
        <v>0</v>
      </c>
      <c r="K31" s="9">
        <f t="shared" si="26"/>
        <v>0</v>
      </c>
      <c r="L31" s="9">
        <f t="shared" si="26"/>
        <v>0</v>
      </c>
      <c r="M31" s="9">
        <f t="shared" si="26"/>
        <v>0</v>
      </c>
      <c r="N31" s="9">
        <f t="shared" si="26"/>
        <v>0</v>
      </c>
      <c r="O31" s="9">
        <f t="shared" si="26"/>
        <v>0</v>
      </c>
      <c r="P31" s="9">
        <f t="shared" si="26"/>
        <v>0</v>
      </c>
      <c r="Q31" s="9">
        <f t="shared" si="26"/>
        <v>0</v>
      </c>
      <c r="R31" s="9">
        <f t="shared" si="26"/>
        <v>0</v>
      </c>
      <c r="S31" s="9">
        <f t="shared" si="26"/>
        <v>0</v>
      </c>
      <c r="T31" s="9">
        <f t="shared" si="26"/>
        <v>0</v>
      </c>
      <c r="U31" s="9">
        <f t="shared" si="26"/>
        <v>0</v>
      </c>
      <c r="V31" s="9">
        <f t="shared" si="26"/>
        <v>0</v>
      </c>
      <c r="W31" s="9">
        <f t="shared" si="26"/>
        <v>0</v>
      </c>
      <c r="X31" s="9">
        <f t="shared" si="26"/>
        <v>0</v>
      </c>
      <c r="Y31" s="9">
        <f t="shared" si="26"/>
        <v>0</v>
      </c>
      <c r="Z31" s="9">
        <f t="shared" si="26"/>
        <v>0</v>
      </c>
      <c r="AA31" s="9">
        <f t="shared" si="26"/>
        <v>0</v>
      </c>
      <c r="AB31" s="9">
        <f t="shared" si="26"/>
        <v>0</v>
      </c>
      <c r="AC31" s="9">
        <f t="shared" si="26"/>
        <v>0</v>
      </c>
      <c r="AD31" s="9">
        <f t="shared" si="26"/>
        <v>0</v>
      </c>
      <c r="AE31" s="9">
        <f t="shared" si="26"/>
        <v>0</v>
      </c>
      <c r="AF31" s="9">
        <f t="shared" si="26"/>
        <v>0</v>
      </c>
      <c r="AG31" s="9">
        <f t="shared" si="26"/>
        <v>0</v>
      </c>
      <c r="AH31" s="9">
        <f t="shared" si="26"/>
        <v>0</v>
      </c>
      <c r="AI31" s="9">
        <f t="shared" si="26"/>
        <v>0</v>
      </c>
      <c r="AJ31" s="9">
        <f t="shared" ref="AJ31:BB31" si="27">AI31+AJ27</f>
        <v>0</v>
      </c>
      <c r="AK31" s="9">
        <f t="shared" si="27"/>
        <v>0</v>
      </c>
      <c r="AL31" s="9">
        <f t="shared" si="27"/>
        <v>0</v>
      </c>
      <c r="AM31" s="9">
        <f t="shared" si="27"/>
        <v>0</v>
      </c>
      <c r="AN31" s="9">
        <f t="shared" si="27"/>
        <v>0</v>
      </c>
      <c r="AO31" s="9">
        <f t="shared" si="27"/>
        <v>0</v>
      </c>
      <c r="AP31" s="9">
        <f t="shared" si="27"/>
        <v>0</v>
      </c>
      <c r="AQ31" s="9">
        <f t="shared" si="27"/>
        <v>0</v>
      </c>
      <c r="AR31" s="9">
        <f t="shared" si="27"/>
        <v>0</v>
      </c>
      <c r="AS31" s="9">
        <f t="shared" si="27"/>
        <v>0</v>
      </c>
      <c r="AT31" s="9">
        <f t="shared" si="27"/>
        <v>0</v>
      </c>
      <c r="AU31" s="9">
        <f t="shared" si="27"/>
        <v>0</v>
      </c>
      <c r="AV31" s="9">
        <f t="shared" si="27"/>
        <v>0</v>
      </c>
      <c r="AW31" s="9">
        <f t="shared" si="27"/>
        <v>0</v>
      </c>
      <c r="AX31" s="9">
        <f t="shared" si="27"/>
        <v>0</v>
      </c>
      <c r="AY31" s="9">
        <f t="shared" si="27"/>
        <v>0</v>
      </c>
      <c r="AZ31" s="9">
        <f t="shared" si="27"/>
        <v>0</v>
      </c>
      <c r="BA31" s="9">
        <f t="shared" si="27"/>
        <v>0</v>
      </c>
      <c r="BB31" s="9">
        <f t="shared" si="27"/>
        <v>0</v>
      </c>
      <c r="BC31" s="3"/>
      <c r="BD31" s="3"/>
      <c r="BE31" s="3"/>
    </row>
    <row r="32" spans="1:57" ht="19.5" customHeight="1" x14ac:dyDescent="0.3">
      <c r="A32" s="3"/>
      <c r="B32" s="33" t="s">
        <v>462</v>
      </c>
      <c r="C32" s="9">
        <f>C28</f>
        <v>0</v>
      </c>
      <c r="D32" s="9">
        <f t="shared" ref="D32:AI32" si="28">C32+D28</f>
        <v>0</v>
      </c>
      <c r="E32" s="9">
        <f t="shared" si="28"/>
        <v>0</v>
      </c>
      <c r="F32" s="9">
        <f t="shared" si="28"/>
        <v>0</v>
      </c>
      <c r="G32" s="9">
        <f t="shared" si="28"/>
        <v>0</v>
      </c>
      <c r="H32" s="9">
        <f t="shared" si="28"/>
        <v>0</v>
      </c>
      <c r="I32" s="9">
        <f t="shared" si="28"/>
        <v>0</v>
      </c>
      <c r="J32" s="9">
        <f t="shared" si="28"/>
        <v>0</v>
      </c>
      <c r="K32" s="9">
        <f t="shared" si="28"/>
        <v>0</v>
      </c>
      <c r="L32" s="9">
        <f t="shared" si="28"/>
        <v>0</v>
      </c>
      <c r="M32" s="9">
        <f t="shared" si="28"/>
        <v>0</v>
      </c>
      <c r="N32" s="9">
        <f t="shared" si="28"/>
        <v>0</v>
      </c>
      <c r="O32" s="9">
        <f t="shared" si="28"/>
        <v>0</v>
      </c>
      <c r="P32" s="9">
        <f t="shared" si="28"/>
        <v>0</v>
      </c>
      <c r="Q32" s="9">
        <f t="shared" si="28"/>
        <v>0</v>
      </c>
      <c r="R32" s="9">
        <f t="shared" si="28"/>
        <v>0</v>
      </c>
      <c r="S32" s="9">
        <f t="shared" si="28"/>
        <v>0</v>
      </c>
      <c r="T32" s="9">
        <f t="shared" si="28"/>
        <v>0</v>
      </c>
      <c r="U32" s="9">
        <f t="shared" si="28"/>
        <v>0</v>
      </c>
      <c r="V32" s="9">
        <f t="shared" si="28"/>
        <v>0</v>
      </c>
      <c r="W32" s="9">
        <f t="shared" si="28"/>
        <v>0</v>
      </c>
      <c r="X32" s="9">
        <f t="shared" si="28"/>
        <v>0</v>
      </c>
      <c r="Y32" s="9">
        <f t="shared" si="28"/>
        <v>0</v>
      </c>
      <c r="Z32" s="9">
        <f t="shared" si="28"/>
        <v>0</v>
      </c>
      <c r="AA32" s="9">
        <f t="shared" si="28"/>
        <v>0</v>
      </c>
      <c r="AB32" s="9">
        <f t="shared" si="28"/>
        <v>0</v>
      </c>
      <c r="AC32" s="9">
        <f t="shared" si="28"/>
        <v>0</v>
      </c>
      <c r="AD32" s="9">
        <f t="shared" si="28"/>
        <v>0</v>
      </c>
      <c r="AE32" s="9">
        <f t="shared" si="28"/>
        <v>0</v>
      </c>
      <c r="AF32" s="9">
        <f t="shared" si="28"/>
        <v>0</v>
      </c>
      <c r="AG32" s="9">
        <f t="shared" si="28"/>
        <v>0</v>
      </c>
      <c r="AH32" s="9">
        <f t="shared" si="28"/>
        <v>0</v>
      </c>
      <c r="AI32" s="9">
        <f t="shared" si="28"/>
        <v>0</v>
      </c>
      <c r="AJ32" s="9">
        <f t="shared" ref="AJ32:BB32" si="29">AI32+AJ28</f>
        <v>0</v>
      </c>
      <c r="AK32" s="9">
        <f t="shared" si="29"/>
        <v>0</v>
      </c>
      <c r="AL32" s="9">
        <f t="shared" si="29"/>
        <v>0</v>
      </c>
      <c r="AM32" s="9">
        <f t="shared" si="29"/>
        <v>0</v>
      </c>
      <c r="AN32" s="9">
        <f t="shared" si="29"/>
        <v>0</v>
      </c>
      <c r="AO32" s="9">
        <f t="shared" si="29"/>
        <v>0</v>
      </c>
      <c r="AP32" s="9">
        <f t="shared" si="29"/>
        <v>0</v>
      </c>
      <c r="AQ32" s="9">
        <f t="shared" si="29"/>
        <v>0</v>
      </c>
      <c r="AR32" s="9">
        <f t="shared" si="29"/>
        <v>0</v>
      </c>
      <c r="AS32" s="9">
        <f t="shared" si="29"/>
        <v>0</v>
      </c>
      <c r="AT32" s="9">
        <f t="shared" si="29"/>
        <v>0</v>
      </c>
      <c r="AU32" s="9">
        <f t="shared" si="29"/>
        <v>0</v>
      </c>
      <c r="AV32" s="9">
        <f t="shared" si="29"/>
        <v>0</v>
      </c>
      <c r="AW32" s="9">
        <f t="shared" si="29"/>
        <v>0</v>
      </c>
      <c r="AX32" s="9">
        <f t="shared" si="29"/>
        <v>0</v>
      </c>
      <c r="AY32" s="9">
        <f t="shared" si="29"/>
        <v>0</v>
      </c>
      <c r="AZ32" s="9">
        <f t="shared" si="29"/>
        <v>0</v>
      </c>
      <c r="BA32" s="9">
        <f t="shared" si="29"/>
        <v>0</v>
      </c>
      <c r="BB32" s="9">
        <f t="shared" si="29"/>
        <v>0</v>
      </c>
      <c r="BC32" s="3"/>
      <c r="BD32" s="3"/>
      <c r="BE32" s="3"/>
    </row>
    <row r="33" spans="1:57" ht="19.5" customHeight="1" x14ac:dyDescent="0.3">
      <c r="A33" s="3"/>
      <c r="B33" s="3"/>
      <c r="C33" s="328"/>
      <c r="D33" s="8"/>
      <c r="E33" s="8"/>
      <c r="F33" s="8"/>
      <c r="G33" s="328"/>
      <c r="H33" s="328"/>
      <c r="I33" s="8"/>
      <c r="J33" s="8"/>
      <c r="K33" s="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8"/>
      <c r="AA33" s="328"/>
      <c r="AB33" s="328"/>
      <c r="AC33" s="328"/>
      <c r="AD33" s="328"/>
      <c r="AE33" s="328"/>
      <c r="AF33" s="328"/>
      <c r="AG33" s="328"/>
      <c r="AH33" s="328"/>
      <c r="AI33" s="328"/>
      <c r="AJ33" s="328"/>
      <c r="AK33" s="328"/>
      <c r="AL33" s="328"/>
      <c r="AM33" s="328"/>
      <c r="AN33" s="328"/>
      <c r="AO33" s="328"/>
      <c r="AP33" s="328"/>
      <c r="AQ33" s="328"/>
      <c r="AR33" s="328"/>
      <c r="AS33" s="328"/>
      <c r="AT33" s="328"/>
      <c r="AU33" s="328"/>
      <c r="AV33" s="328"/>
      <c r="AW33" s="328"/>
      <c r="AX33" s="328"/>
      <c r="AY33" s="328"/>
      <c r="AZ33" s="328"/>
      <c r="BA33" s="328"/>
      <c r="BB33" s="328"/>
      <c r="BC33" s="3"/>
      <c r="BD33" s="3"/>
      <c r="BE33" s="3"/>
    </row>
    <row r="34" spans="1:57" ht="19.5" customHeight="1" x14ac:dyDescent="0.3">
      <c r="A34" s="3"/>
      <c r="B34" s="3"/>
      <c r="C34" s="328"/>
      <c r="D34" s="8"/>
      <c r="E34" s="8"/>
      <c r="F34" s="8"/>
      <c r="G34" s="328"/>
      <c r="H34" s="328"/>
      <c r="I34" s="8"/>
      <c r="J34" s="8"/>
      <c r="K34" s="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28"/>
      <c r="AB34" s="328"/>
      <c r="AC34" s="328"/>
      <c r="AD34" s="328"/>
      <c r="AE34" s="328"/>
      <c r="AF34" s="328"/>
      <c r="AG34" s="328"/>
      <c r="AH34" s="328"/>
      <c r="AI34" s="328"/>
      <c r="AJ34" s="328"/>
      <c r="AK34" s="328"/>
      <c r="AL34" s="328"/>
      <c r="AM34" s="328"/>
      <c r="AN34" s="328"/>
      <c r="AO34" s="328"/>
      <c r="AP34" s="328"/>
      <c r="AQ34" s="328"/>
      <c r="AR34" s="328"/>
      <c r="AS34" s="328"/>
      <c r="AT34" s="328"/>
      <c r="AU34" s="328"/>
      <c r="AV34" s="328"/>
      <c r="AW34" s="328"/>
      <c r="AX34" s="328"/>
      <c r="AY34" s="328"/>
      <c r="AZ34" s="328"/>
      <c r="BA34" s="328"/>
      <c r="BB34" s="328"/>
      <c r="BC34" s="3"/>
      <c r="BD34" s="3"/>
      <c r="BE34" s="3"/>
    </row>
    <row r="35" spans="1:57" ht="19.5" customHeight="1" x14ac:dyDescent="0.3">
      <c r="A35" s="3"/>
      <c r="B35" s="3"/>
      <c r="C35" s="328"/>
      <c r="D35" s="8"/>
      <c r="E35" s="8"/>
      <c r="F35" s="8"/>
      <c r="G35" s="328"/>
      <c r="H35" s="328"/>
      <c r="I35" s="8"/>
      <c r="J35" s="8"/>
      <c r="K35" s="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28"/>
      <c r="AB35" s="328"/>
      <c r="AC35" s="328"/>
      <c r="AD35" s="328"/>
      <c r="AE35" s="328"/>
      <c r="AF35" s="328"/>
      <c r="AG35" s="328"/>
      <c r="AH35" s="328"/>
      <c r="AI35" s="328"/>
      <c r="AJ35" s="328"/>
      <c r="AK35" s="328"/>
      <c r="AL35" s="328"/>
      <c r="AM35" s="328"/>
      <c r="AN35" s="328"/>
      <c r="AO35" s="328"/>
      <c r="AP35" s="328"/>
      <c r="AQ35" s="328"/>
      <c r="AR35" s="328"/>
      <c r="AS35" s="328"/>
      <c r="AT35" s="328"/>
      <c r="AU35" s="328"/>
      <c r="AV35" s="328"/>
      <c r="AW35" s="328"/>
      <c r="AX35" s="328"/>
      <c r="AY35" s="328"/>
      <c r="AZ35" s="328"/>
      <c r="BA35" s="328"/>
      <c r="BB35" s="328"/>
      <c r="BC35" s="3"/>
      <c r="BD35" s="3"/>
      <c r="BE35" s="3"/>
    </row>
    <row r="36" spans="1:57" ht="19.5" customHeight="1" x14ac:dyDescent="0.3">
      <c r="A36" s="3"/>
      <c r="B36" s="33" t="s">
        <v>463</v>
      </c>
      <c r="C36" s="9">
        <f>SUMIFS(tbl_DCFC[F Montant HT],tbl_DCFC[CW REV],C$1,tbl_DCFC[BU_Key],"GSE")</f>
        <v>8579</v>
      </c>
      <c r="D36" s="9">
        <f>SUMIFS(tbl_DCFC[F Montant HT],tbl_DCFC[CW REV],D$1,tbl_DCFC[BU_Key],"GSE")</f>
        <v>0</v>
      </c>
      <c r="E36" s="9">
        <f>SUMIFS(tbl_DCFC[F Montant HT],tbl_DCFC[CW REV],E$1,tbl_DCFC[BU_Key],"GSE")</f>
        <v>0</v>
      </c>
      <c r="F36" s="9">
        <f>SUMIFS(tbl_DCFC[F Montant HT],tbl_DCFC[CW REV],F$1,tbl_DCFC[BU_Key],"GSE")</f>
        <v>0</v>
      </c>
      <c r="G36" s="9">
        <f>SUMIFS(tbl_DCFC[F Montant HT],tbl_DCFC[CW REV],G$1,tbl_DCFC[BU_Key],"GSE")</f>
        <v>0</v>
      </c>
      <c r="H36" s="9">
        <f>SUMIFS(tbl_DCFC[F Montant HT],tbl_DCFC[CW REV],H$1,tbl_DCFC[BU_Key],"GSE")</f>
        <v>0</v>
      </c>
      <c r="I36" s="9">
        <f>SUMIFS(tbl_DCFC[F Montant HT],tbl_DCFC[CW REV],I$1,tbl_DCFC[BU_Key],"GSE")</f>
        <v>0</v>
      </c>
      <c r="J36" s="9">
        <f>SUMIFS(tbl_DCFC[F Montant HT],tbl_DCFC[CW REV],J$1,tbl_DCFC[BU_Key],"GSE")</f>
        <v>0</v>
      </c>
      <c r="K36" s="9">
        <f>SUMIFS(tbl_DCFC[F Montant HT],tbl_DCFC[CW REV],K$1,tbl_DCFC[BU_Key],"GSE")</f>
        <v>0</v>
      </c>
      <c r="L36" s="9">
        <f>SUMIFS(tbl_DCFC[F Montant HT],tbl_DCFC[CW REV],L$1,tbl_DCFC[BU_Key],"GSE")</f>
        <v>0</v>
      </c>
      <c r="M36" s="9">
        <f>SUMIFS(tbl_DCFC[F Montant HT],tbl_DCFC[CW REV],M$1,tbl_DCFC[BU_Key],"GSE")</f>
        <v>0</v>
      </c>
      <c r="N36" s="9">
        <f>SUMIFS(tbl_DCFC[F Montant HT],tbl_DCFC[CW REV],N$1,tbl_DCFC[BU_Key],"GSE")</f>
        <v>0</v>
      </c>
      <c r="O36" s="9">
        <f>SUMIFS(tbl_DCFC[F Montant HT],tbl_DCFC[CW REV],O$1,tbl_DCFC[BU_Key],"GSE")</f>
        <v>0</v>
      </c>
      <c r="P36" s="9">
        <f>SUMIFS(tbl_DCFC[F Montant HT],tbl_DCFC[CW REV],P$1,tbl_DCFC[BU_Key],"GSE")</f>
        <v>0</v>
      </c>
      <c r="Q36" s="9">
        <f>SUMIFS(tbl_DCFC[F Montant HT],tbl_DCFC[CW REV],Q$1,tbl_DCFC[BU_Key],"GSE")</f>
        <v>0</v>
      </c>
      <c r="R36" s="9">
        <f>SUMIFS(tbl_DCFC[F Montant HT],tbl_DCFC[CW REV],R$1,tbl_DCFC[BU_Key],"GSE")</f>
        <v>0</v>
      </c>
      <c r="S36" s="9">
        <f>SUMIFS(tbl_DCFC[F Montant HT],tbl_DCFC[CW REV],S$1,tbl_DCFC[BU_Key],"GSE")</f>
        <v>0</v>
      </c>
      <c r="T36" s="9">
        <f>SUMIFS(tbl_DCFC[F Montant HT],tbl_DCFC[CW REV],T$1,tbl_DCFC[BU_Key],"GSE")</f>
        <v>0</v>
      </c>
      <c r="U36" s="9">
        <f>SUMIFS(tbl_DCFC[F Montant HT],tbl_DCFC[CW REV],U$1,tbl_DCFC[BU_Key],"GSE")</f>
        <v>0</v>
      </c>
      <c r="V36" s="9">
        <f>SUMIFS(tbl_DCFC[F Montant HT],tbl_DCFC[CW REV],V$1,tbl_DCFC[BU_Key],"GSE")</f>
        <v>0</v>
      </c>
      <c r="W36" s="9">
        <f>SUMIFS(tbl_DCFC[F Montant HT],tbl_DCFC[CW REV],W$1,tbl_DCFC[BU_Key],"GSE")</f>
        <v>0</v>
      </c>
      <c r="X36" s="9">
        <f>SUMIFS(tbl_DCFC[F Montant HT],tbl_DCFC[CW REV],X$1,tbl_DCFC[BU_Key],"GSE")</f>
        <v>0</v>
      </c>
      <c r="Y36" s="9">
        <f>SUMIFS(tbl_DCFC[F Montant HT],tbl_DCFC[CW REV],Y$1,tbl_DCFC[BU_Key],"GSE")</f>
        <v>0</v>
      </c>
      <c r="Z36" s="9">
        <f>SUMIFS(tbl_DCFC[F Montant HT],tbl_DCFC[CW REV],Z$1,tbl_DCFC[BU_Key],"GSE")</f>
        <v>0</v>
      </c>
      <c r="AA36" s="9">
        <f>SUMIFS(tbl_DCFC[F Montant HT],tbl_DCFC[CW REV],AA$1,tbl_DCFC[BU_Key],"GSE")</f>
        <v>0</v>
      </c>
      <c r="AB36" s="9">
        <f>SUMIFS(tbl_DCFC[F Montant HT],tbl_DCFC[CW REV],AB$1,tbl_DCFC[BU_Key],"GSE")</f>
        <v>0</v>
      </c>
      <c r="AC36" s="9">
        <f>SUMIFS(tbl_DCFC[F Montant HT],tbl_DCFC[CW REV],AC$1,tbl_DCFC[BU_Key],"GSE")</f>
        <v>0</v>
      </c>
      <c r="AD36" s="9">
        <f>SUMIFS(tbl_DCFC[F Montant HT],tbl_DCFC[CW REV],AD$1,tbl_DCFC[BU_Key],"GSE")</f>
        <v>0</v>
      </c>
      <c r="AE36" s="9">
        <f>SUMIFS(tbl_DCFC[F Montant HT],tbl_DCFC[CW REV],AE$1,tbl_DCFC[BU_Key],"GSE")</f>
        <v>0</v>
      </c>
      <c r="AF36" s="9">
        <f>SUMIFS(tbl_DCFC[F Montant HT],tbl_DCFC[CW REV],AF$1,tbl_DCFC[BU_Key],"GSE")</f>
        <v>0</v>
      </c>
      <c r="AG36" s="9">
        <f>SUMIFS(tbl_DCFC[F Montant HT],tbl_DCFC[CW REV],AG$1,tbl_DCFC[BU_Key],"GSE")</f>
        <v>0</v>
      </c>
      <c r="AH36" s="9">
        <f>SUMIFS(tbl_DCFC[F Montant HT],tbl_DCFC[CW REV],AH$1,tbl_DCFC[BU_Key],"GSE")</f>
        <v>0</v>
      </c>
      <c r="AI36" s="9">
        <f>SUMIFS(tbl_DCFC[F Montant HT],tbl_DCFC[CW REV],AI$1,tbl_DCFC[BU_Key],"GSE")</f>
        <v>0</v>
      </c>
      <c r="AJ36" s="9">
        <f>SUMIFS(tbl_DCFC[F Montant HT],tbl_DCFC[CW REV],AJ$1,tbl_DCFC[BU_Key],"GSE")</f>
        <v>0</v>
      </c>
      <c r="AK36" s="9">
        <f>SUMIFS(tbl_DCFC[F Montant HT],tbl_DCFC[CW REV],AK$1,tbl_DCFC[BU_Key],"GSE")</f>
        <v>0</v>
      </c>
      <c r="AL36" s="9">
        <f>SUMIFS(tbl_DCFC[F Montant HT],tbl_DCFC[CW REV],AL$1,tbl_DCFC[BU_Key],"GSE")</f>
        <v>0</v>
      </c>
      <c r="AM36" s="9">
        <f>SUMIFS(tbl_DCFC[F Montant HT],tbl_DCFC[CW REV],AM$1,tbl_DCFC[BU_Key],"GSE")</f>
        <v>0</v>
      </c>
      <c r="AN36" s="9">
        <f>SUMIFS(tbl_DCFC[F Montant HT],tbl_DCFC[CW REV],AN$1,tbl_DCFC[BU_Key],"GSE")</f>
        <v>0</v>
      </c>
      <c r="AO36" s="9">
        <f>SUMIFS(tbl_DCFC[F Montant HT],tbl_DCFC[CW REV],AO$1,tbl_DCFC[BU_Key],"GSE")</f>
        <v>0</v>
      </c>
      <c r="AP36" s="9">
        <f>SUMIFS(tbl_DCFC[F Montant HT],tbl_DCFC[CW REV],AP$1,tbl_DCFC[BU_Key],"GSE")</f>
        <v>0</v>
      </c>
      <c r="AQ36" s="9">
        <f>SUMIFS(tbl_DCFC[F Montant HT],tbl_DCFC[CW REV],AQ$1,tbl_DCFC[BU_Key],"GSE")</f>
        <v>0</v>
      </c>
      <c r="AR36" s="9">
        <f>SUMIFS(tbl_DCFC[F Montant HT],tbl_DCFC[CW REV],AR$1,tbl_DCFC[BU_Key],"GSE")</f>
        <v>0</v>
      </c>
      <c r="AS36" s="9">
        <f>SUMIFS(tbl_DCFC[F Montant HT],tbl_DCFC[CW REV],AS$1,tbl_DCFC[BU_Key],"GSE")</f>
        <v>0</v>
      </c>
      <c r="AT36" s="9">
        <f>SUMIFS(tbl_DCFC[F Montant HT],tbl_DCFC[CW REV],AT$1,tbl_DCFC[BU_Key],"GSE")</f>
        <v>0</v>
      </c>
      <c r="AU36" s="9">
        <f>SUMIFS(tbl_DCFC[F Montant HT],tbl_DCFC[CW REV],AU$1,tbl_DCFC[BU_Key],"GSE")</f>
        <v>0</v>
      </c>
      <c r="AV36" s="9">
        <f>SUMIFS(tbl_DCFC[F Montant HT],tbl_DCFC[CW REV],AV$1,tbl_DCFC[BU_Key],"GSE")</f>
        <v>0</v>
      </c>
      <c r="AW36" s="9">
        <f>SUMIFS(tbl_DCFC[F Montant HT],tbl_DCFC[CW REV],AW$1,tbl_DCFC[BU_Key],"GSE")</f>
        <v>0</v>
      </c>
      <c r="AX36" s="9">
        <f>SUMIFS(tbl_DCFC[F Montant HT],tbl_DCFC[CW REV],AX$1,tbl_DCFC[BU_Key],"GSE")</f>
        <v>0</v>
      </c>
      <c r="AY36" s="9">
        <f>SUMIFS(tbl_DCFC[F Montant HT],tbl_DCFC[CW REV],AY$1,tbl_DCFC[BU_Key],"GSE")</f>
        <v>0</v>
      </c>
      <c r="AZ36" s="9">
        <f>SUMIFS(tbl_DCFC[F Montant HT],tbl_DCFC[CW REV],AZ$1,tbl_DCFC[BU_Key],"GSE")</f>
        <v>0</v>
      </c>
      <c r="BA36" s="9">
        <f>SUMIFS(tbl_DCFC[F Montant HT],tbl_DCFC[CW REV],BA$1,tbl_DCFC[BU_Key],"GSE")</f>
        <v>0</v>
      </c>
      <c r="BB36" s="9">
        <f>SUMIFS(tbl_DCFC[F Montant HT],tbl_DCFC[CW REV],BB$1,tbl_DCFC[BU_Key],"GSE")</f>
        <v>0</v>
      </c>
      <c r="BC36" s="3"/>
      <c r="BD36" s="3"/>
      <c r="BE36" s="3"/>
    </row>
    <row r="37" spans="1:57" ht="19.5" customHeight="1" x14ac:dyDescent="0.3">
      <c r="A37" s="3"/>
      <c r="B37" s="33" t="s">
        <v>464</v>
      </c>
      <c r="C37" s="9">
        <f>SUMIFS(tbl_DCFC[F Montant HT],tbl_DCFC[CW REV],C$1,tbl_DCFC[BU_Key],"TOO")</f>
        <v>10597</v>
      </c>
      <c r="D37" s="9">
        <f>SUMIFS(tbl_DCFC[F Montant HT],tbl_DCFC[CW REV],D$1,tbl_DCFC[BU_Key],"TOO")</f>
        <v>0</v>
      </c>
      <c r="E37" s="9">
        <f>SUMIFS(tbl_DCFC[F Montant HT],tbl_DCFC[CW REV],E$1,tbl_DCFC[BU_Key],"TOO")</f>
        <v>0</v>
      </c>
      <c r="F37" s="9">
        <f>SUMIFS(tbl_DCFC[F Montant HT],tbl_DCFC[CW REV],F$1,tbl_DCFC[BU_Key],"TOO")</f>
        <v>0</v>
      </c>
      <c r="G37" s="9">
        <f>SUMIFS(tbl_DCFC[F Montant HT],tbl_DCFC[CW REV],G$1,tbl_DCFC[BU_Key],"TOO")</f>
        <v>0</v>
      </c>
      <c r="H37" s="9">
        <f>SUMIFS(tbl_DCFC[F Montant HT],tbl_DCFC[CW REV],H$1,tbl_DCFC[BU_Key],"TOO")</f>
        <v>0</v>
      </c>
      <c r="I37" s="9">
        <f>SUMIFS(tbl_DCFC[F Montant HT],tbl_DCFC[CW REV],I$1,tbl_DCFC[BU_Key],"TOO")</f>
        <v>0</v>
      </c>
      <c r="J37" s="9">
        <f>SUMIFS(tbl_DCFC[F Montant HT],tbl_DCFC[CW REV],J$1,tbl_DCFC[BU_Key],"TOO")</f>
        <v>0</v>
      </c>
      <c r="K37" s="9">
        <f>SUMIFS(tbl_DCFC[F Montant HT],tbl_DCFC[CW REV],K$1,tbl_DCFC[BU_Key],"TOO")</f>
        <v>0</v>
      </c>
      <c r="L37" s="9">
        <f>SUMIFS(tbl_DCFC[F Montant HT],tbl_DCFC[CW REV],L$1,tbl_DCFC[BU_Key],"TOO")</f>
        <v>0</v>
      </c>
      <c r="M37" s="9">
        <f>SUMIFS(tbl_DCFC[F Montant HT],tbl_DCFC[CW REV],M$1,tbl_DCFC[BU_Key],"TOO")</f>
        <v>0</v>
      </c>
      <c r="N37" s="9">
        <f>SUMIFS(tbl_DCFC[F Montant HT],tbl_DCFC[CW REV],N$1,tbl_DCFC[BU_Key],"TOO")</f>
        <v>0</v>
      </c>
      <c r="O37" s="9">
        <f>SUMIFS(tbl_DCFC[F Montant HT],tbl_DCFC[CW REV],O$1,tbl_DCFC[BU_Key],"TOO")</f>
        <v>0</v>
      </c>
      <c r="P37" s="9">
        <f>SUMIFS(tbl_DCFC[F Montant HT],tbl_DCFC[CW REV],P$1,tbl_DCFC[BU_Key],"TOO")</f>
        <v>0</v>
      </c>
      <c r="Q37" s="9">
        <f>SUMIFS(tbl_DCFC[F Montant HT],tbl_DCFC[CW REV],Q$1,tbl_DCFC[BU_Key],"TOO")</f>
        <v>0</v>
      </c>
      <c r="R37" s="9">
        <f>SUMIFS(tbl_DCFC[F Montant HT],tbl_DCFC[CW REV],R$1,tbl_DCFC[BU_Key],"TOO")</f>
        <v>0</v>
      </c>
      <c r="S37" s="9">
        <f>SUMIFS(tbl_DCFC[F Montant HT],tbl_DCFC[CW REV],S$1,tbl_DCFC[BU_Key],"TOO")</f>
        <v>0</v>
      </c>
      <c r="T37" s="9">
        <f>SUMIFS(tbl_DCFC[F Montant HT],tbl_DCFC[CW REV],T$1,tbl_DCFC[BU_Key],"TOO")</f>
        <v>0</v>
      </c>
      <c r="U37" s="9">
        <f>SUMIFS(tbl_DCFC[F Montant HT],tbl_DCFC[CW REV],U$1,tbl_DCFC[BU_Key],"TOO")</f>
        <v>0</v>
      </c>
      <c r="V37" s="9">
        <f>SUMIFS(tbl_DCFC[F Montant HT],tbl_DCFC[CW REV],V$1,tbl_DCFC[BU_Key],"TOO")</f>
        <v>0</v>
      </c>
      <c r="W37" s="9">
        <f>SUMIFS(tbl_DCFC[F Montant HT],tbl_DCFC[CW REV],W$1,tbl_DCFC[BU_Key],"TOO")</f>
        <v>0</v>
      </c>
      <c r="X37" s="9">
        <f>SUMIFS(tbl_DCFC[F Montant HT],tbl_DCFC[CW REV],X$1,tbl_DCFC[BU_Key],"TOO")</f>
        <v>0</v>
      </c>
      <c r="Y37" s="9">
        <f>SUMIFS(tbl_DCFC[F Montant HT],tbl_DCFC[CW REV],Y$1,tbl_DCFC[BU_Key],"TOO")</f>
        <v>0</v>
      </c>
      <c r="Z37" s="9">
        <f>SUMIFS(tbl_DCFC[F Montant HT],tbl_DCFC[CW REV],Z$1,tbl_DCFC[BU_Key],"TOO")</f>
        <v>0</v>
      </c>
      <c r="AA37" s="9">
        <f>SUMIFS(tbl_DCFC[F Montant HT],tbl_DCFC[CW REV],AA$1,tbl_DCFC[BU_Key],"TOO")</f>
        <v>0</v>
      </c>
      <c r="AB37" s="9">
        <f>SUMIFS(tbl_DCFC[F Montant HT],tbl_DCFC[CW REV],AB$1,tbl_DCFC[BU_Key],"TOO")</f>
        <v>0</v>
      </c>
      <c r="AC37" s="9">
        <f>SUMIFS(tbl_DCFC[F Montant HT],tbl_DCFC[CW REV],AC$1,tbl_DCFC[BU_Key],"TOO")</f>
        <v>0</v>
      </c>
      <c r="AD37" s="9">
        <f>SUMIFS(tbl_DCFC[F Montant HT],tbl_DCFC[CW REV],AD$1,tbl_DCFC[BU_Key],"TOO")</f>
        <v>0</v>
      </c>
      <c r="AE37" s="9">
        <f>SUMIFS(tbl_DCFC[F Montant HT],tbl_DCFC[CW REV],AE$1,tbl_DCFC[BU_Key],"TOO")</f>
        <v>0</v>
      </c>
      <c r="AF37" s="9">
        <f>SUMIFS(tbl_DCFC[F Montant HT],tbl_DCFC[CW REV],AF$1,tbl_DCFC[BU_Key],"TOO")</f>
        <v>0</v>
      </c>
      <c r="AG37" s="9">
        <f>SUMIFS(tbl_DCFC[F Montant HT],tbl_DCFC[CW REV],AG$1,tbl_DCFC[BU_Key],"TOO")</f>
        <v>0</v>
      </c>
      <c r="AH37" s="9">
        <f>SUMIFS(tbl_DCFC[F Montant HT],tbl_DCFC[CW REV],AH$1,tbl_DCFC[BU_Key],"TOO")</f>
        <v>0</v>
      </c>
      <c r="AI37" s="9">
        <f>SUMIFS(tbl_DCFC[F Montant HT],tbl_DCFC[CW REV],AI$1,tbl_DCFC[BU_Key],"TOO")</f>
        <v>0</v>
      </c>
      <c r="AJ37" s="9">
        <f>SUMIFS(tbl_DCFC[F Montant HT],tbl_DCFC[CW REV],AJ$1,tbl_DCFC[BU_Key],"TOO")</f>
        <v>0</v>
      </c>
      <c r="AK37" s="9">
        <f>SUMIFS(tbl_DCFC[F Montant HT],tbl_DCFC[CW REV],AK$1,tbl_DCFC[BU_Key],"TOO")</f>
        <v>0</v>
      </c>
      <c r="AL37" s="9">
        <f>SUMIFS(tbl_DCFC[F Montant HT],tbl_DCFC[CW REV],AL$1,tbl_DCFC[BU_Key],"TOO")</f>
        <v>0</v>
      </c>
      <c r="AM37" s="9">
        <f>SUMIFS(tbl_DCFC[F Montant HT],tbl_DCFC[CW REV],AM$1,tbl_DCFC[BU_Key],"TOO")</f>
        <v>0</v>
      </c>
      <c r="AN37" s="9">
        <f>SUMIFS(tbl_DCFC[F Montant HT],tbl_DCFC[CW REV],AN$1,tbl_DCFC[BU_Key],"TOO")</f>
        <v>0</v>
      </c>
      <c r="AO37" s="9">
        <f>SUMIFS(tbl_DCFC[F Montant HT],tbl_DCFC[CW REV],AO$1,tbl_DCFC[BU_Key],"TOO")</f>
        <v>0</v>
      </c>
      <c r="AP37" s="9">
        <f>SUMIFS(tbl_DCFC[F Montant HT],tbl_DCFC[CW REV],AP$1,tbl_DCFC[BU_Key],"TOO")</f>
        <v>0</v>
      </c>
      <c r="AQ37" s="9">
        <f>SUMIFS(tbl_DCFC[F Montant HT],tbl_DCFC[CW REV],AQ$1,tbl_DCFC[BU_Key],"TOO")</f>
        <v>0</v>
      </c>
      <c r="AR37" s="9">
        <f>SUMIFS(tbl_DCFC[F Montant HT],tbl_DCFC[CW REV],AR$1,tbl_DCFC[BU_Key],"TOO")</f>
        <v>0</v>
      </c>
      <c r="AS37" s="9">
        <f>SUMIFS(tbl_DCFC[F Montant HT],tbl_DCFC[CW REV],AS$1,tbl_DCFC[BU_Key],"TOO")</f>
        <v>0</v>
      </c>
      <c r="AT37" s="9">
        <f>SUMIFS(tbl_DCFC[F Montant HT],tbl_DCFC[CW REV],AT$1,tbl_DCFC[BU_Key],"TOO")</f>
        <v>0</v>
      </c>
      <c r="AU37" s="9">
        <f>SUMIFS(tbl_DCFC[F Montant HT],tbl_DCFC[CW REV],AU$1,tbl_DCFC[BU_Key],"TOO")</f>
        <v>0</v>
      </c>
      <c r="AV37" s="9">
        <f>SUMIFS(tbl_DCFC[F Montant HT],tbl_DCFC[CW REV],AV$1,tbl_DCFC[BU_Key],"TOO")</f>
        <v>0</v>
      </c>
      <c r="AW37" s="9">
        <f>SUMIFS(tbl_DCFC[F Montant HT],tbl_DCFC[CW REV],AW$1,tbl_DCFC[BU_Key],"TOO")</f>
        <v>0</v>
      </c>
      <c r="AX37" s="9">
        <f>SUMIFS(tbl_DCFC[F Montant HT],tbl_DCFC[CW REV],AX$1,tbl_DCFC[BU_Key],"TOO")</f>
        <v>0</v>
      </c>
      <c r="AY37" s="9">
        <f>SUMIFS(tbl_DCFC[F Montant HT],tbl_DCFC[CW REV],AY$1,tbl_DCFC[BU_Key],"TOO")</f>
        <v>0</v>
      </c>
      <c r="AZ37" s="9">
        <f>SUMIFS(tbl_DCFC[F Montant HT],tbl_DCFC[CW REV],AZ$1,tbl_DCFC[BU_Key],"TOO")</f>
        <v>0</v>
      </c>
      <c r="BA37" s="9">
        <f>SUMIFS(tbl_DCFC[F Montant HT],tbl_DCFC[CW REV],BA$1,tbl_DCFC[BU_Key],"TOO")</f>
        <v>0</v>
      </c>
      <c r="BB37" s="9">
        <f>SUMIFS(tbl_DCFC[F Montant HT],tbl_DCFC[CW REV],BB$1,tbl_DCFC[BU_Key],"TOO")</f>
        <v>0</v>
      </c>
      <c r="BC37" s="3"/>
      <c r="BD37" s="3"/>
      <c r="BE37" s="3"/>
    </row>
    <row r="38" spans="1:57" ht="19.5" customHeight="1" x14ac:dyDescent="0.3">
      <c r="A38" s="3"/>
      <c r="B38" s="33" t="s">
        <v>465</v>
      </c>
      <c r="C38" s="9">
        <f>SUMIFS(tbl_DCFC[F Montant HT],tbl_DCFC[CW REV],C$1,tbl_DCFC[BU_Key],"SER")</f>
        <v>109093</v>
      </c>
      <c r="D38" s="9">
        <f>SUMIFS(tbl_DCFC[F Montant HT],tbl_DCFC[CW REV],D$1,tbl_DCFC[BU_Key],"SER")</f>
        <v>0</v>
      </c>
      <c r="E38" s="9">
        <f>SUMIFS(tbl_DCFC[F Montant HT],tbl_DCFC[CW REV],E$1,tbl_DCFC[BU_Key],"SER")</f>
        <v>0</v>
      </c>
      <c r="F38" s="9">
        <f>SUMIFS(tbl_DCFC[F Montant HT],tbl_DCFC[CW REV],F$1,tbl_DCFC[BU_Key],"SER")</f>
        <v>0</v>
      </c>
      <c r="G38" s="9">
        <f>SUMIFS(tbl_DCFC[F Montant HT],tbl_DCFC[CW REV],G$1,tbl_DCFC[BU_Key],"SER")</f>
        <v>0</v>
      </c>
      <c r="H38" s="9">
        <f>SUMIFS(tbl_DCFC[F Montant HT],tbl_DCFC[CW REV],H$1,tbl_DCFC[BU_Key],"SER")</f>
        <v>0</v>
      </c>
      <c r="I38" s="9">
        <f>SUMIFS(tbl_DCFC[F Montant HT],tbl_DCFC[CW REV],I$1,tbl_DCFC[BU_Key],"SER")</f>
        <v>0</v>
      </c>
      <c r="J38" s="9">
        <f>SUMIFS(tbl_DCFC[F Montant HT],tbl_DCFC[CW REV],J$1,tbl_DCFC[BU_Key],"SER")</f>
        <v>0</v>
      </c>
      <c r="K38" s="9">
        <f>SUMIFS(tbl_DCFC[F Montant HT],tbl_DCFC[CW REV],K$1,tbl_DCFC[BU_Key],"SER")</f>
        <v>0</v>
      </c>
      <c r="L38" s="9">
        <f>SUMIFS(tbl_DCFC[F Montant HT],tbl_DCFC[CW REV],L$1,tbl_DCFC[BU_Key],"SER")</f>
        <v>0</v>
      </c>
      <c r="M38" s="9">
        <f>SUMIFS(tbl_DCFC[F Montant HT],tbl_DCFC[CW REV],M$1,tbl_DCFC[BU_Key],"SER")</f>
        <v>0</v>
      </c>
      <c r="N38" s="9">
        <f>SUMIFS(tbl_DCFC[F Montant HT],tbl_DCFC[CW REV],N$1,tbl_DCFC[BU_Key],"SER")</f>
        <v>0</v>
      </c>
      <c r="O38" s="9">
        <f>SUMIFS(tbl_DCFC[F Montant HT],tbl_DCFC[CW REV],O$1,tbl_DCFC[BU_Key],"SER")</f>
        <v>0</v>
      </c>
      <c r="P38" s="9">
        <f>SUMIFS(tbl_DCFC[F Montant HT],tbl_DCFC[CW REV],P$1,tbl_DCFC[BU_Key],"SER")</f>
        <v>0</v>
      </c>
      <c r="Q38" s="9">
        <f>SUMIFS(tbl_DCFC[F Montant HT],tbl_DCFC[CW REV],Q$1,tbl_DCFC[BU_Key],"SER")</f>
        <v>0</v>
      </c>
      <c r="R38" s="9">
        <f>SUMIFS(tbl_DCFC[F Montant HT],tbl_DCFC[CW REV],R$1,tbl_DCFC[BU_Key],"SER")</f>
        <v>0</v>
      </c>
      <c r="S38" s="9">
        <f>SUMIFS(tbl_DCFC[F Montant HT],tbl_DCFC[CW REV],S$1,tbl_DCFC[BU_Key],"SER")</f>
        <v>0</v>
      </c>
      <c r="T38" s="9">
        <f>SUMIFS(tbl_DCFC[F Montant HT],tbl_DCFC[CW REV],T$1,tbl_DCFC[BU_Key],"SER")</f>
        <v>0</v>
      </c>
      <c r="U38" s="9">
        <f>SUMIFS(tbl_DCFC[F Montant HT],tbl_DCFC[CW REV],U$1,tbl_DCFC[BU_Key],"SER")</f>
        <v>0</v>
      </c>
      <c r="V38" s="9">
        <f>SUMIFS(tbl_DCFC[F Montant HT],tbl_DCFC[CW REV],V$1,tbl_DCFC[BU_Key],"SER")</f>
        <v>0</v>
      </c>
      <c r="W38" s="9">
        <f>SUMIFS(tbl_DCFC[F Montant HT],tbl_DCFC[CW REV],W$1,tbl_DCFC[BU_Key],"SER")</f>
        <v>0</v>
      </c>
      <c r="X38" s="9">
        <f>SUMIFS(tbl_DCFC[F Montant HT],tbl_DCFC[CW REV],X$1,tbl_DCFC[BU_Key],"SER")</f>
        <v>0</v>
      </c>
      <c r="Y38" s="9">
        <f>SUMIFS(tbl_DCFC[F Montant HT],tbl_DCFC[CW REV],Y$1,tbl_DCFC[BU_Key],"SER")</f>
        <v>0</v>
      </c>
      <c r="Z38" s="9">
        <f>SUMIFS(tbl_DCFC[F Montant HT],tbl_DCFC[CW REV],Z$1,tbl_DCFC[BU_Key],"SER")</f>
        <v>0</v>
      </c>
      <c r="AA38" s="9">
        <f>SUMIFS(tbl_DCFC[F Montant HT],tbl_DCFC[CW REV],AA$1,tbl_DCFC[BU_Key],"SER")</f>
        <v>0</v>
      </c>
      <c r="AB38" s="9">
        <f>SUMIFS(tbl_DCFC[F Montant HT],tbl_DCFC[CW REV],AB$1,tbl_DCFC[BU_Key],"SER")</f>
        <v>0</v>
      </c>
      <c r="AC38" s="9">
        <f>SUMIFS(tbl_DCFC[F Montant HT],tbl_DCFC[CW REV],AC$1,tbl_DCFC[BU_Key],"SER")</f>
        <v>0</v>
      </c>
      <c r="AD38" s="9">
        <f>SUMIFS(tbl_DCFC[F Montant HT],tbl_DCFC[CW REV],AD$1,tbl_DCFC[BU_Key],"SER")</f>
        <v>0</v>
      </c>
      <c r="AE38" s="9">
        <f>SUMIFS(tbl_DCFC[F Montant HT],tbl_DCFC[CW REV],AE$1,tbl_DCFC[BU_Key],"SER")</f>
        <v>0</v>
      </c>
      <c r="AF38" s="9">
        <f>SUMIFS(tbl_DCFC[F Montant HT],tbl_DCFC[CW REV],AF$1,tbl_DCFC[BU_Key],"SER")</f>
        <v>0</v>
      </c>
      <c r="AG38" s="9">
        <f>SUMIFS(tbl_DCFC[F Montant HT],tbl_DCFC[CW REV],AG$1,tbl_DCFC[BU_Key],"SER")</f>
        <v>0</v>
      </c>
      <c r="AH38" s="9">
        <f>SUMIFS(tbl_DCFC[F Montant HT],tbl_DCFC[CW REV],AH$1,tbl_DCFC[BU_Key],"SER")</f>
        <v>0</v>
      </c>
      <c r="AI38" s="9">
        <f>SUMIFS(tbl_DCFC[F Montant HT],tbl_DCFC[CW REV],AI$1,tbl_DCFC[BU_Key],"SER")</f>
        <v>0</v>
      </c>
      <c r="AJ38" s="9">
        <f>SUMIFS(tbl_DCFC[F Montant HT],tbl_DCFC[CW REV],AJ$1,tbl_DCFC[BU_Key],"SER")</f>
        <v>0</v>
      </c>
      <c r="AK38" s="9">
        <f>SUMIFS(tbl_DCFC[F Montant HT],tbl_DCFC[CW REV],AK$1,tbl_DCFC[BU_Key],"SER")</f>
        <v>0</v>
      </c>
      <c r="AL38" s="9">
        <f>SUMIFS(tbl_DCFC[F Montant HT],tbl_DCFC[CW REV],AL$1,tbl_DCFC[BU_Key],"SER")</f>
        <v>0</v>
      </c>
      <c r="AM38" s="9">
        <f>SUMIFS(tbl_DCFC[F Montant HT],tbl_DCFC[CW REV],AM$1,tbl_DCFC[BU_Key],"SER")</f>
        <v>0</v>
      </c>
      <c r="AN38" s="9">
        <f>SUMIFS(tbl_DCFC[F Montant HT],tbl_DCFC[CW REV],AN$1,tbl_DCFC[BU_Key],"SER")</f>
        <v>0</v>
      </c>
      <c r="AO38" s="9">
        <f>SUMIFS(tbl_DCFC[F Montant HT],tbl_DCFC[CW REV],AO$1,tbl_DCFC[BU_Key],"SER")</f>
        <v>0</v>
      </c>
      <c r="AP38" s="9">
        <f>SUMIFS(tbl_DCFC[F Montant HT],tbl_DCFC[CW REV],AP$1,tbl_DCFC[BU_Key],"SER")</f>
        <v>0</v>
      </c>
      <c r="AQ38" s="9">
        <f>SUMIFS(tbl_DCFC[F Montant HT],tbl_DCFC[CW REV],AQ$1,tbl_DCFC[BU_Key],"SER")</f>
        <v>0</v>
      </c>
      <c r="AR38" s="9">
        <f>SUMIFS(tbl_DCFC[F Montant HT],tbl_DCFC[CW REV],AR$1,tbl_DCFC[BU_Key],"SER")</f>
        <v>0</v>
      </c>
      <c r="AS38" s="9">
        <f>SUMIFS(tbl_DCFC[F Montant HT],tbl_DCFC[CW REV],AS$1,tbl_DCFC[BU_Key],"SER")</f>
        <v>0</v>
      </c>
      <c r="AT38" s="9">
        <f>SUMIFS(tbl_DCFC[F Montant HT],tbl_DCFC[CW REV],AT$1,tbl_DCFC[BU_Key],"SER")</f>
        <v>0</v>
      </c>
      <c r="AU38" s="9">
        <f>SUMIFS(tbl_DCFC[F Montant HT],tbl_DCFC[CW REV],AU$1,tbl_DCFC[BU_Key],"SER")</f>
        <v>0</v>
      </c>
      <c r="AV38" s="9">
        <f>SUMIFS(tbl_DCFC[F Montant HT],tbl_DCFC[CW REV],AV$1,tbl_DCFC[BU_Key],"SER")</f>
        <v>0</v>
      </c>
      <c r="AW38" s="9">
        <f>SUMIFS(tbl_DCFC[F Montant HT],tbl_DCFC[CW REV],AW$1,tbl_DCFC[BU_Key],"SER")</f>
        <v>0</v>
      </c>
      <c r="AX38" s="9">
        <f>SUMIFS(tbl_DCFC[F Montant HT],tbl_DCFC[CW REV],AX$1,tbl_DCFC[BU_Key],"SER")</f>
        <v>0</v>
      </c>
      <c r="AY38" s="9">
        <f>SUMIFS(tbl_DCFC[F Montant HT],tbl_DCFC[CW REV],AY$1,tbl_DCFC[BU_Key],"SER")</f>
        <v>0</v>
      </c>
      <c r="AZ38" s="9">
        <f>SUMIFS(tbl_DCFC[F Montant HT],tbl_DCFC[CW REV],AZ$1,tbl_DCFC[BU_Key],"SER")</f>
        <v>0</v>
      </c>
      <c r="BA38" s="9">
        <f>SUMIFS(tbl_DCFC[F Montant HT],tbl_DCFC[CW REV],BA$1,tbl_DCFC[BU_Key],"SER")</f>
        <v>0</v>
      </c>
      <c r="BB38" s="9">
        <f>SUMIFS(tbl_DCFC[F Montant HT],tbl_DCFC[CW REV],BB$1,tbl_DCFC[BU_Key],"SER")</f>
        <v>0</v>
      </c>
      <c r="BC38" s="3"/>
      <c r="BD38" s="3"/>
      <c r="BE38" s="3"/>
    </row>
    <row r="39" spans="1:57" ht="19.5" customHeight="1" x14ac:dyDescent="0.3">
      <c r="A39" s="3"/>
      <c r="B39" s="33" t="s">
        <v>458</v>
      </c>
      <c r="C39" s="155">
        <f>SUMIFS(tbl_DCFC[F Montant HT],tbl_DCFC[CW REV],C$1,tbl_DCFC[BU_Key],"INT")</f>
        <v>0</v>
      </c>
      <c r="D39" s="155">
        <f>SUMIFS(tbl_DCFC[F Montant HT],tbl_DCFC[CW REV],D$1,tbl_DCFC[BU_Key],"INT")</f>
        <v>0</v>
      </c>
      <c r="E39" s="155">
        <f>SUMIFS(tbl_DCFC[F Montant HT],tbl_DCFC[CW REV],E$1,tbl_DCFC[BU_Key],"INT")</f>
        <v>0</v>
      </c>
      <c r="F39" s="155">
        <f>SUMIFS(tbl_DCFC[F Montant HT],tbl_DCFC[CW REV],F$1,tbl_DCFC[BU_Key],"INT")</f>
        <v>0</v>
      </c>
      <c r="G39" s="155">
        <f>SUMIFS(tbl_DCFC[F Montant HT],tbl_DCFC[CW REV],G$1,tbl_DCFC[BU_Key],"INT")</f>
        <v>0</v>
      </c>
      <c r="H39" s="155">
        <f>SUMIFS(tbl_DCFC[F Montant HT],tbl_DCFC[CW REV],H$1,tbl_DCFC[BU_Key],"INT")</f>
        <v>0</v>
      </c>
      <c r="I39" s="155">
        <f>SUMIFS(tbl_DCFC[F Montant HT],tbl_DCFC[CW REV],I$1,tbl_DCFC[BU_Key],"INT")</f>
        <v>0</v>
      </c>
      <c r="J39" s="155">
        <f>SUMIFS(tbl_DCFC[F Montant HT],tbl_DCFC[CW REV],J$1,tbl_DCFC[BU_Key],"INT")</f>
        <v>0</v>
      </c>
      <c r="K39" s="155">
        <f>SUMIFS(tbl_DCFC[F Montant HT],tbl_DCFC[CW REV],K$1,tbl_DCFC[BU_Key],"INT")</f>
        <v>0</v>
      </c>
      <c r="L39" s="155">
        <f>SUMIFS(tbl_DCFC[F Montant HT],tbl_DCFC[CW REV],L$1,tbl_DCFC[BU_Key],"INT")</f>
        <v>0</v>
      </c>
      <c r="M39" s="155">
        <f>SUMIFS(tbl_DCFC[F Montant HT],tbl_DCFC[CW REV],M$1,tbl_DCFC[BU_Key],"INT")</f>
        <v>0</v>
      </c>
      <c r="N39" s="155">
        <f>SUMIFS(tbl_DCFC[F Montant HT],tbl_DCFC[CW REV],N$1,tbl_DCFC[BU_Key],"INT")</f>
        <v>0</v>
      </c>
      <c r="O39" s="155">
        <f>SUMIFS(tbl_DCFC[F Montant HT],tbl_DCFC[CW REV],O$1,tbl_DCFC[BU_Key],"INT")</f>
        <v>0</v>
      </c>
      <c r="P39" s="155">
        <f>SUMIFS(tbl_DCFC[F Montant HT],tbl_DCFC[CW REV],P$1,tbl_DCFC[BU_Key],"INT")</f>
        <v>0</v>
      </c>
      <c r="Q39" s="155">
        <f>SUMIFS(tbl_DCFC[F Montant HT],tbl_DCFC[CW REV],Q$1,tbl_DCFC[BU_Key],"INT")</f>
        <v>0</v>
      </c>
      <c r="R39" s="155">
        <f>SUMIFS(tbl_DCFC[F Montant HT],tbl_DCFC[CW REV],R$1,tbl_DCFC[BU_Key],"INT")</f>
        <v>0</v>
      </c>
      <c r="S39" s="155">
        <f>SUMIFS(tbl_DCFC[F Montant HT],tbl_DCFC[CW REV],S$1,tbl_DCFC[BU_Key],"INT")</f>
        <v>0</v>
      </c>
      <c r="T39" s="155">
        <f>SUMIFS(tbl_DCFC[F Montant HT],tbl_DCFC[CW REV],T$1,tbl_DCFC[BU_Key],"INT")</f>
        <v>0</v>
      </c>
      <c r="U39" s="155">
        <f>SUMIFS(tbl_DCFC[F Montant HT],tbl_DCFC[CW REV],U$1,tbl_DCFC[BU_Key],"INT")</f>
        <v>0</v>
      </c>
      <c r="V39" s="155">
        <f>SUMIFS(tbl_DCFC[F Montant HT],tbl_DCFC[CW REV],V$1,tbl_DCFC[BU_Key],"INT")</f>
        <v>0</v>
      </c>
      <c r="W39" s="155">
        <f>SUMIFS(tbl_DCFC[F Montant HT],tbl_DCFC[CW REV],W$1,tbl_DCFC[BU_Key],"INT")</f>
        <v>0</v>
      </c>
      <c r="X39" s="155">
        <f>SUMIFS(tbl_DCFC[F Montant HT],tbl_DCFC[CW REV],X$1,tbl_DCFC[BU_Key],"INT")</f>
        <v>0</v>
      </c>
      <c r="Y39" s="155">
        <f>SUMIFS(tbl_DCFC[F Montant HT],tbl_DCFC[CW REV],Y$1,tbl_DCFC[BU_Key],"INT")</f>
        <v>0</v>
      </c>
      <c r="Z39" s="155">
        <f>SUMIFS(tbl_DCFC[F Montant HT],tbl_DCFC[CW REV],Z$1,tbl_DCFC[BU_Key],"INT")</f>
        <v>0</v>
      </c>
      <c r="AA39" s="155">
        <f>SUMIFS(tbl_DCFC[F Montant HT],tbl_DCFC[CW REV],AA$1,tbl_DCFC[BU_Key],"INT")</f>
        <v>0</v>
      </c>
      <c r="AB39" s="155">
        <f>SUMIFS(tbl_DCFC[F Montant HT],tbl_DCFC[CW REV],AB$1,tbl_DCFC[BU_Key],"INT")</f>
        <v>0</v>
      </c>
      <c r="AC39" s="155">
        <f>SUMIFS(tbl_DCFC[F Montant HT],tbl_DCFC[CW REV],AC$1,tbl_DCFC[BU_Key],"INT")</f>
        <v>0</v>
      </c>
      <c r="AD39" s="155">
        <f>SUMIFS(tbl_DCFC[F Montant HT],tbl_DCFC[CW REV],AD$1,tbl_DCFC[BU_Key],"INT")</f>
        <v>0</v>
      </c>
      <c r="AE39" s="155">
        <f>SUMIFS(tbl_DCFC[F Montant HT],tbl_DCFC[CW REV],AE$1,tbl_DCFC[BU_Key],"INT")</f>
        <v>0</v>
      </c>
      <c r="AF39" s="155">
        <f>SUMIFS(tbl_DCFC[F Montant HT],tbl_DCFC[CW REV],AF$1,tbl_DCFC[BU_Key],"INT")</f>
        <v>0</v>
      </c>
      <c r="AG39" s="155">
        <f>SUMIFS(tbl_DCFC[F Montant HT],tbl_DCFC[CW REV],AG$1,tbl_DCFC[BU_Key],"INT")</f>
        <v>0</v>
      </c>
      <c r="AH39" s="155">
        <f>SUMIFS(tbl_DCFC[F Montant HT],tbl_DCFC[CW REV],AH$1,tbl_DCFC[BU_Key],"INT")</f>
        <v>0</v>
      </c>
      <c r="AI39" s="155">
        <f>SUMIFS(tbl_DCFC[F Montant HT],tbl_DCFC[CW REV],AI$1,tbl_DCFC[BU_Key],"INT")</f>
        <v>0</v>
      </c>
      <c r="AJ39" s="155">
        <f>SUMIFS(tbl_DCFC[F Montant HT],tbl_DCFC[CW REV],AJ$1,tbl_DCFC[BU_Key],"INT")</f>
        <v>0</v>
      </c>
      <c r="AK39" s="155">
        <f>SUMIFS(tbl_DCFC[F Montant HT],tbl_DCFC[CW REV],AK$1,tbl_DCFC[BU_Key],"INT")</f>
        <v>0</v>
      </c>
      <c r="AL39" s="155">
        <f>SUMIFS(tbl_DCFC[F Montant HT],tbl_DCFC[CW REV],AL$1,tbl_DCFC[BU_Key],"INT")</f>
        <v>0</v>
      </c>
      <c r="AM39" s="155">
        <f>SUMIFS(tbl_DCFC[F Montant HT],tbl_DCFC[CW REV],AM$1,tbl_DCFC[BU_Key],"INT")</f>
        <v>0</v>
      </c>
      <c r="AN39" s="155">
        <f>SUMIFS(tbl_DCFC[F Montant HT],tbl_DCFC[CW REV],AN$1,tbl_DCFC[BU_Key],"INT")</f>
        <v>0</v>
      </c>
      <c r="AO39" s="155">
        <f>SUMIFS(tbl_DCFC[F Montant HT],tbl_DCFC[CW REV],AO$1,tbl_DCFC[BU_Key],"INT")</f>
        <v>0</v>
      </c>
      <c r="AP39" s="155">
        <f>SUMIFS(tbl_DCFC[F Montant HT],tbl_DCFC[CW REV],AP$1,tbl_DCFC[BU_Key],"INT")</f>
        <v>0</v>
      </c>
      <c r="AQ39" s="155">
        <f>SUMIFS(tbl_DCFC[F Montant HT],tbl_DCFC[CW REV],AQ$1,tbl_DCFC[BU_Key],"INT")</f>
        <v>0</v>
      </c>
      <c r="AR39" s="155">
        <f>SUMIFS(tbl_DCFC[F Montant HT],tbl_DCFC[CW REV],AR$1,tbl_DCFC[BU_Key],"INT")</f>
        <v>0</v>
      </c>
      <c r="AS39" s="155">
        <f>SUMIFS(tbl_DCFC[F Montant HT],tbl_DCFC[CW REV],AS$1,tbl_DCFC[BU_Key],"INT")</f>
        <v>0</v>
      </c>
      <c r="AT39" s="155">
        <f>SUMIFS(tbl_DCFC[F Montant HT],tbl_DCFC[CW REV],AT$1,tbl_DCFC[BU_Key],"INT")</f>
        <v>0</v>
      </c>
      <c r="AU39" s="155">
        <f>SUMIFS(tbl_DCFC[F Montant HT],tbl_DCFC[CW REV],AU$1,tbl_DCFC[BU_Key],"INT")</f>
        <v>0</v>
      </c>
      <c r="AV39" s="155">
        <f>SUMIFS(tbl_DCFC[F Montant HT],tbl_DCFC[CW REV],AV$1,tbl_DCFC[BU_Key],"INT")</f>
        <v>0</v>
      </c>
      <c r="AW39" s="155">
        <f>SUMIFS(tbl_DCFC[F Montant HT],tbl_DCFC[CW REV],AW$1,tbl_DCFC[BU_Key],"INT")</f>
        <v>0</v>
      </c>
      <c r="AX39" s="155">
        <f>SUMIFS(tbl_DCFC[F Montant HT],tbl_DCFC[CW REV],AX$1,tbl_DCFC[BU_Key],"INT")</f>
        <v>0</v>
      </c>
      <c r="AY39" s="155">
        <f>SUMIFS(tbl_DCFC[F Montant HT],tbl_DCFC[CW REV],AY$1,tbl_DCFC[BU_Key],"INT")</f>
        <v>0</v>
      </c>
      <c r="AZ39" s="155">
        <f>SUMIFS(tbl_DCFC[F Montant HT],tbl_DCFC[CW REV],AZ$1,tbl_DCFC[BU_Key],"INT")</f>
        <v>0</v>
      </c>
      <c r="BA39" s="155">
        <f>SUMIFS(tbl_DCFC[F Montant HT],tbl_DCFC[CW REV],BA$1,tbl_DCFC[BU_Key],"INT")</f>
        <v>0</v>
      </c>
      <c r="BB39" s="155">
        <f>SUMIFS(tbl_DCFC[F Montant HT],tbl_DCFC[CW REV],BB$1,tbl_DCFC[BU_Key],"INT")</f>
        <v>0</v>
      </c>
      <c r="BC39" s="3"/>
      <c r="BD39" s="3"/>
      <c r="BE39" s="3"/>
    </row>
    <row r="40" spans="1:57" ht="19.5" customHeight="1" x14ac:dyDescent="0.3">
      <c r="A40" s="3"/>
      <c r="B40" s="33" t="s">
        <v>466</v>
      </c>
      <c r="C40" s="9">
        <f>C36</f>
        <v>8579</v>
      </c>
      <c r="D40" s="9">
        <f t="shared" ref="D40:AI40" si="30">C40+D36</f>
        <v>8579</v>
      </c>
      <c r="E40" s="9">
        <f t="shared" si="30"/>
        <v>8579</v>
      </c>
      <c r="F40" s="9">
        <f t="shared" si="30"/>
        <v>8579</v>
      </c>
      <c r="G40" s="9">
        <f t="shared" si="30"/>
        <v>8579</v>
      </c>
      <c r="H40" s="9">
        <f t="shared" si="30"/>
        <v>8579</v>
      </c>
      <c r="I40" s="9">
        <f t="shared" si="30"/>
        <v>8579</v>
      </c>
      <c r="J40" s="9">
        <f t="shared" si="30"/>
        <v>8579</v>
      </c>
      <c r="K40" s="9">
        <f t="shared" si="30"/>
        <v>8579</v>
      </c>
      <c r="L40" s="9">
        <f t="shared" si="30"/>
        <v>8579</v>
      </c>
      <c r="M40" s="9">
        <f t="shared" si="30"/>
        <v>8579</v>
      </c>
      <c r="N40" s="9">
        <f t="shared" si="30"/>
        <v>8579</v>
      </c>
      <c r="O40" s="9">
        <f t="shared" si="30"/>
        <v>8579</v>
      </c>
      <c r="P40" s="9">
        <f t="shared" si="30"/>
        <v>8579</v>
      </c>
      <c r="Q40" s="9">
        <f t="shared" si="30"/>
        <v>8579</v>
      </c>
      <c r="R40" s="9">
        <f t="shared" si="30"/>
        <v>8579</v>
      </c>
      <c r="S40" s="9">
        <f t="shared" si="30"/>
        <v>8579</v>
      </c>
      <c r="T40" s="9">
        <f t="shared" si="30"/>
        <v>8579</v>
      </c>
      <c r="U40" s="9">
        <f t="shared" si="30"/>
        <v>8579</v>
      </c>
      <c r="V40" s="9">
        <f t="shared" si="30"/>
        <v>8579</v>
      </c>
      <c r="W40" s="9">
        <f t="shared" si="30"/>
        <v>8579</v>
      </c>
      <c r="X40" s="9">
        <f t="shared" si="30"/>
        <v>8579</v>
      </c>
      <c r="Y40" s="9">
        <f t="shared" si="30"/>
        <v>8579</v>
      </c>
      <c r="Z40" s="9">
        <f t="shared" si="30"/>
        <v>8579</v>
      </c>
      <c r="AA40" s="9">
        <f t="shared" si="30"/>
        <v>8579</v>
      </c>
      <c r="AB40" s="9">
        <f t="shared" si="30"/>
        <v>8579</v>
      </c>
      <c r="AC40" s="9">
        <f t="shared" si="30"/>
        <v>8579</v>
      </c>
      <c r="AD40" s="9">
        <f t="shared" si="30"/>
        <v>8579</v>
      </c>
      <c r="AE40" s="9">
        <f t="shared" si="30"/>
        <v>8579</v>
      </c>
      <c r="AF40" s="9">
        <f t="shared" si="30"/>
        <v>8579</v>
      </c>
      <c r="AG40" s="9">
        <f t="shared" si="30"/>
        <v>8579</v>
      </c>
      <c r="AH40" s="9">
        <f t="shared" si="30"/>
        <v>8579</v>
      </c>
      <c r="AI40" s="9">
        <f t="shared" si="30"/>
        <v>8579</v>
      </c>
      <c r="AJ40" s="9">
        <f t="shared" ref="AJ40:BB40" si="31">AI40+AJ36</f>
        <v>8579</v>
      </c>
      <c r="AK40" s="9">
        <f t="shared" si="31"/>
        <v>8579</v>
      </c>
      <c r="AL40" s="9">
        <f t="shared" si="31"/>
        <v>8579</v>
      </c>
      <c r="AM40" s="9">
        <f t="shared" si="31"/>
        <v>8579</v>
      </c>
      <c r="AN40" s="9">
        <f t="shared" si="31"/>
        <v>8579</v>
      </c>
      <c r="AO40" s="9">
        <f t="shared" si="31"/>
        <v>8579</v>
      </c>
      <c r="AP40" s="9">
        <f t="shared" si="31"/>
        <v>8579</v>
      </c>
      <c r="AQ40" s="9">
        <f t="shared" si="31"/>
        <v>8579</v>
      </c>
      <c r="AR40" s="9">
        <f t="shared" si="31"/>
        <v>8579</v>
      </c>
      <c r="AS40" s="9">
        <f t="shared" si="31"/>
        <v>8579</v>
      </c>
      <c r="AT40" s="9">
        <f t="shared" si="31"/>
        <v>8579</v>
      </c>
      <c r="AU40" s="9">
        <f t="shared" si="31"/>
        <v>8579</v>
      </c>
      <c r="AV40" s="9">
        <f t="shared" si="31"/>
        <v>8579</v>
      </c>
      <c r="AW40" s="9">
        <f t="shared" si="31"/>
        <v>8579</v>
      </c>
      <c r="AX40" s="9">
        <f t="shared" si="31"/>
        <v>8579</v>
      </c>
      <c r="AY40" s="9">
        <f t="shared" si="31"/>
        <v>8579</v>
      </c>
      <c r="AZ40" s="9">
        <f t="shared" si="31"/>
        <v>8579</v>
      </c>
      <c r="BA40" s="9">
        <f t="shared" si="31"/>
        <v>8579</v>
      </c>
      <c r="BB40" s="9">
        <f t="shared" si="31"/>
        <v>8579</v>
      </c>
      <c r="BC40" s="3"/>
      <c r="BD40" s="3"/>
      <c r="BE40" s="3"/>
    </row>
    <row r="41" spans="1:57" ht="19.5" customHeight="1" x14ac:dyDescent="0.3">
      <c r="A41" s="3"/>
      <c r="B41" s="33" t="s">
        <v>467</v>
      </c>
      <c r="C41" s="9">
        <f>C37</f>
        <v>10597</v>
      </c>
      <c r="D41" s="9">
        <f t="shared" ref="D41:AI41" si="32">C41+D37</f>
        <v>10597</v>
      </c>
      <c r="E41" s="9">
        <f t="shared" si="32"/>
        <v>10597</v>
      </c>
      <c r="F41" s="9">
        <f t="shared" si="32"/>
        <v>10597</v>
      </c>
      <c r="G41" s="9">
        <f t="shared" si="32"/>
        <v>10597</v>
      </c>
      <c r="H41" s="9">
        <f t="shared" si="32"/>
        <v>10597</v>
      </c>
      <c r="I41" s="9">
        <f t="shared" si="32"/>
        <v>10597</v>
      </c>
      <c r="J41" s="9">
        <f t="shared" si="32"/>
        <v>10597</v>
      </c>
      <c r="K41" s="9">
        <f t="shared" si="32"/>
        <v>10597</v>
      </c>
      <c r="L41" s="9">
        <f t="shared" si="32"/>
        <v>10597</v>
      </c>
      <c r="M41" s="9">
        <f t="shared" si="32"/>
        <v>10597</v>
      </c>
      <c r="N41" s="9">
        <f t="shared" si="32"/>
        <v>10597</v>
      </c>
      <c r="O41" s="9">
        <f t="shared" si="32"/>
        <v>10597</v>
      </c>
      <c r="P41" s="9">
        <f t="shared" si="32"/>
        <v>10597</v>
      </c>
      <c r="Q41" s="9">
        <f t="shared" si="32"/>
        <v>10597</v>
      </c>
      <c r="R41" s="9">
        <f t="shared" si="32"/>
        <v>10597</v>
      </c>
      <c r="S41" s="9">
        <f t="shared" si="32"/>
        <v>10597</v>
      </c>
      <c r="T41" s="9">
        <f t="shared" si="32"/>
        <v>10597</v>
      </c>
      <c r="U41" s="9">
        <f t="shared" si="32"/>
        <v>10597</v>
      </c>
      <c r="V41" s="9">
        <f t="shared" si="32"/>
        <v>10597</v>
      </c>
      <c r="W41" s="9">
        <f t="shared" si="32"/>
        <v>10597</v>
      </c>
      <c r="X41" s="9">
        <f t="shared" si="32"/>
        <v>10597</v>
      </c>
      <c r="Y41" s="9">
        <f t="shared" si="32"/>
        <v>10597</v>
      </c>
      <c r="Z41" s="9">
        <f t="shared" si="32"/>
        <v>10597</v>
      </c>
      <c r="AA41" s="9">
        <f t="shared" si="32"/>
        <v>10597</v>
      </c>
      <c r="AB41" s="9">
        <f t="shared" si="32"/>
        <v>10597</v>
      </c>
      <c r="AC41" s="9">
        <f t="shared" si="32"/>
        <v>10597</v>
      </c>
      <c r="AD41" s="9">
        <f t="shared" si="32"/>
        <v>10597</v>
      </c>
      <c r="AE41" s="9">
        <f t="shared" si="32"/>
        <v>10597</v>
      </c>
      <c r="AF41" s="9">
        <f t="shared" si="32"/>
        <v>10597</v>
      </c>
      <c r="AG41" s="9">
        <f t="shared" si="32"/>
        <v>10597</v>
      </c>
      <c r="AH41" s="9">
        <f t="shared" si="32"/>
        <v>10597</v>
      </c>
      <c r="AI41" s="9">
        <f t="shared" si="32"/>
        <v>10597</v>
      </c>
      <c r="AJ41" s="9">
        <f t="shared" ref="AJ41:BB41" si="33">AI41+AJ37</f>
        <v>10597</v>
      </c>
      <c r="AK41" s="9">
        <f t="shared" si="33"/>
        <v>10597</v>
      </c>
      <c r="AL41" s="9">
        <f t="shared" si="33"/>
        <v>10597</v>
      </c>
      <c r="AM41" s="9">
        <f t="shared" si="33"/>
        <v>10597</v>
      </c>
      <c r="AN41" s="9">
        <f t="shared" si="33"/>
        <v>10597</v>
      </c>
      <c r="AO41" s="9">
        <f t="shared" si="33"/>
        <v>10597</v>
      </c>
      <c r="AP41" s="9">
        <f t="shared" si="33"/>
        <v>10597</v>
      </c>
      <c r="AQ41" s="9">
        <f t="shared" si="33"/>
        <v>10597</v>
      </c>
      <c r="AR41" s="9">
        <f t="shared" si="33"/>
        <v>10597</v>
      </c>
      <c r="AS41" s="9">
        <f t="shared" si="33"/>
        <v>10597</v>
      </c>
      <c r="AT41" s="9">
        <f t="shared" si="33"/>
        <v>10597</v>
      </c>
      <c r="AU41" s="9">
        <f t="shared" si="33"/>
        <v>10597</v>
      </c>
      <c r="AV41" s="9">
        <f t="shared" si="33"/>
        <v>10597</v>
      </c>
      <c r="AW41" s="9">
        <f t="shared" si="33"/>
        <v>10597</v>
      </c>
      <c r="AX41" s="9">
        <f t="shared" si="33"/>
        <v>10597</v>
      </c>
      <c r="AY41" s="9">
        <f t="shared" si="33"/>
        <v>10597</v>
      </c>
      <c r="AZ41" s="9">
        <f t="shared" si="33"/>
        <v>10597</v>
      </c>
      <c r="BA41" s="9">
        <f t="shared" si="33"/>
        <v>10597</v>
      </c>
      <c r="BB41" s="9">
        <f t="shared" si="33"/>
        <v>10597</v>
      </c>
      <c r="BC41" s="3"/>
      <c r="BD41" s="3"/>
      <c r="BE41" s="3"/>
    </row>
    <row r="42" spans="1:57" ht="19.5" customHeight="1" x14ac:dyDescent="0.3">
      <c r="A42" s="3"/>
      <c r="B42" s="33" t="s">
        <v>468</v>
      </c>
      <c r="C42" s="9">
        <f>C38</f>
        <v>109093</v>
      </c>
      <c r="D42" s="9">
        <f t="shared" ref="D42:AI42" si="34">C42+D38</f>
        <v>109093</v>
      </c>
      <c r="E42" s="9">
        <f t="shared" si="34"/>
        <v>109093</v>
      </c>
      <c r="F42" s="9">
        <f t="shared" si="34"/>
        <v>109093</v>
      </c>
      <c r="G42" s="9">
        <f t="shared" si="34"/>
        <v>109093</v>
      </c>
      <c r="H42" s="9">
        <f t="shared" si="34"/>
        <v>109093</v>
      </c>
      <c r="I42" s="9">
        <f t="shared" si="34"/>
        <v>109093</v>
      </c>
      <c r="J42" s="9">
        <f t="shared" si="34"/>
        <v>109093</v>
      </c>
      <c r="K42" s="9">
        <f t="shared" si="34"/>
        <v>109093</v>
      </c>
      <c r="L42" s="9">
        <f t="shared" si="34"/>
        <v>109093</v>
      </c>
      <c r="M42" s="9">
        <f t="shared" si="34"/>
        <v>109093</v>
      </c>
      <c r="N42" s="9">
        <f t="shared" si="34"/>
        <v>109093</v>
      </c>
      <c r="O42" s="9">
        <f t="shared" si="34"/>
        <v>109093</v>
      </c>
      <c r="P42" s="9">
        <f t="shared" si="34"/>
        <v>109093</v>
      </c>
      <c r="Q42" s="9">
        <f t="shared" si="34"/>
        <v>109093</v>
      </c>
      <c r="R42" s="9">
        <f t="shared" si="34"/>
        <v>109093</v>
      </c>
      <c r="S42" s="9">
        <f t="shared" si="34"/>
        <v>109093</v>
      </c>
      <c r="T42" s="9">
        <f t="shared" si="34"/>
        <v>109093</v>
      </c>
      <c r="U42" s="9">
        <f t="shared" si="34"/>
        <v>109093</v>
      </c>
      <c r="V42" s="9">
        <f t="shared" si="34"/>
        <v>109093</v>
      </c>
      <c r="W42" s="9">
        <f t="shared" si="34"/>
        <v>109093</v>
      </c>
      <c r="X42" s="9">
        <f t="shared" si="34"/>
        <v>109093</v>
      </c>
      <c r="Y42" s="9">
        <f t="shared" si="34"/>
        <v>109093</v>
      </c>
      <c r="Z42" s="9">
        <f t="shared" si="34"/>
        <v>109093</v>
      </c>
      <c r="AA42" s="9">
        <f t="shared" si="34"/>
        <v>109093</v>
      </c>
      <c r="AB42" s="9">
        <f t="shared" si="34"/>
        <v>109093</v>
      </c>
      <c r="AC42" s="9">
        <f t="shared" si="34"/>
        <v>109093</v>
      </c>
      <c r="AD42" s="9">
        <f t="shared" si="34"/>
        <v>109093</v>
      </c>
      <c r="AE42" s="9">
        <f t="shared" si="34"/>
        <v>109093</v>
      </c>
      <c r="AF42" s="9">
        <f t="shared" si="34"/>
        <v>109093</v>
      </c>
      <c r="AG42" s="9">
        <f t="shared" si="34"/>
        <v>109093</v>
      </c>
      <c r="AH42" s="9">
        <f t="shared" si="34"/>
        <v>109093</v>
      </c>
      <c r="AI42" s="9">
        <f t="shared" si="34"/>
        <v>109093</v>
      </c>
      <c r="AJ42" s="9">
        <f t="shared" ref="AJ42:BB42" si="35">AI42+AJ38</f>
        <v>109093</v>
      </c>
      <c r="AK42" s="9">
        <f t="shared" si="35"/>
        <v>109093</v>
      </c>
      <c r="AL42" s="9">
        <f t="shared" si="35"/>
        <v>109093</v>
      </c>
      <c r="AM42" s="9">
        <f t="shared" si="35"/>
        <v>109093</v>
      </c>
      <c r="AN42" s="9">
        <f t="shared" si="35"/>
        <v>109093</v>
      </c>
      <c r="AO42" s="9">
        <f t="shared" si="35"/>
        <v>109093</v>
      </c>
      <c r="AP42" s="9">
        <f t="shared" si="35"/>
        <v>109093</v>
      </c>
      <c r="AQ42" s="9">
        <f t="shared" si="35"/>
        <v>109093</v>
      </c>
      <c r="AR42" s="9">
        <f t="shared" si="35"/>
        <v>109093</v>
      </c>
      <c r="AS42" s="9">
        <f t="shared" si="35"/>
        <v>109093</v>
      </c>
      <c r="AT42" s="9">
        <f t="shared" si="35"/>
        <v>109093</v>
      </c>
      <c r="AU42" s="9">
        <f t="shared" si="35"/>
        <v>109093</v>
      </c>
      <c r="AV42" s="9">
        <f t="shared" si="35"/>
        <v>109093</v>
      </c>
      <c r="AW42" s="9">
        <f t="shared" si="35"/>
        <v>109093</v>
      </c>
      <c r="AX42" s="9">
        <f t="shared" si="35"/>
        <v>109093</v>
      </c>
      <c r="AY42" s="9">
        <f t="shared" si="35"/>
        <v>109093</v>
      </c>
      <c r="AZ42" s="9">
        <f t="shared" si="35"/>
        <v>109093</v>
      </c>
      <c r="BA42" s="9">
        <f t="shared" si="35"/>
        <v>109093</v>
      </c>
      <c r="BB42" s="9">
        <f t="shared" si="35"/>
        <v>109093</v>
      </c>
      <c r="BC42" s="3"/>
      <c r="BD42" s="3"/>
      <c r="BE42" s="3"/>
    </row>
    <row r="43" spans="1:57" ht="19.5" customHeight="1" x14ac:dyDescent="0.3">
      <c r="A43" s="3"/>
      <c r="B43" s="33" t="s">
        <v>469</v>
      </c>
      <c r="C43" s="9">
        <f>C39</f>
        <v>0</v>
      </c>
      <c r="D43" s="9">
        <f t="shared" ref="D43:AI43" si="36">C43+D39</f>
        <v>0</v>
      </c>
      <c r="E43" s="9">
        <f t="shared" si="36"/>
        <v>0</v>
      </c>
      <c r="F43" s="9">
        <f t="shared" si="36"/>
        <v>0</v>
      </c>
      <c r="G43" s="9">
        <f t="shared" si="36"/>
        <v>0</v>
      </c>
      <c r="H43" s="9">
        <f t="shared" si="36"/>
        <v>0</v>
      </c>
      <c r="I43" s="9">
        <f t="shared" si="36"/>
        <v>0</v>
      </c>
      <c r="J43" s="9">
        <f t="shared" si="36"/>
        <v>0</v>
      </c>
      <c r="K43" s="9">
        <f t="shared" si="36"/>
        <v>0</v>
      </c>
      <c r="L43" s="9">
        <f t="shared" si="36"/>
        <v>0</v>
      </c>
      <c r="M43" s="9">
        <f t="shared" si="36"/>
        <v>0</v>
      </c>
      <c r="N43" s="9">
        <f t="shared" si="36"/>
        <v>0</v>
      </c>
      <c r="O43" s="9">
        <f t="shared" si="36"/>
        <v>0</v>
      </c>
      <c r="P43" s="9">
        <f t="shared" si="36"/>
        <v>0</v>
      </c>
      <c r="Q43" s="9">
        <f t="shared" si="36"/>
        <v>0</v>
      </c>
      <c r="R43" s="9">
        <f t="shared" si="36"/>
        <v>0</v>
      </c>
      <c r="S43" s="9">
        <f t="shared" si="36"/>
        <v>0</v>
      </c>
      <c r="T43" s="9">
        <f t="shared" si="36"/>
        <v>0</v>
      </c>
      <c r="U43" s="9">
        <f t="shared" si="36"/>
        <v>0</v>
      </c>
      <c r="V43" s="9">
        <f t="shared" si="36"/>
        <v>0</v>
      </c>
      <c r="W43" s="9">
        <f t="shared" si="36"/>
        <v>0</v>
      </c>
      <c r="X43" s="9">
        <f t="shared" si="36"/>
        <v>0</v>
      </c>
      <c r="Y43" s="9">
        <f t="shared" si="36"/>
        <v>0</v>
      </c>
      <c r="Z43" s="9">
        <f t="shared" si="36"/>
        <v>0</v>
      </c>
      <c r="AA43" s="9">
        <f t="shared" si="36"/>
        <v>0</v>
      </c>
      <c r="AB43" s="9">
        <f t="shared" si="36"/>
        <v>0</v>
      </c>
      <c r="AC43" s="9">
        <f t="shared" si="36"/>
        <v>0</v>
      </c>
      <c r="AD43" s="9">
        <f t="shared" si="36"/>
        <v>0</v>
      </c>
      <c r="AE43" s="9">
        <f t="shared" si="36"/>
        <v>0</v>
      </c>
      <c r="AF43" s="9">
        <f t="shared" si="36"/>
        <v>0</v>
      </c>
      <c r="AG43" s="9">
        <f t="shared" si="36"/>
        <v>0</v>
      </c>
      <c r="AH43" s="9">
        <f t="shared" si="36"/>
        <v>0</v>
      </c>
      <c r="AI43" s="9">
        <f t="shared" si="36"/>
        <v>0</v>
      </c>
      <c r="AJ43" s="9">
        <f t="shared" ref="AJ43:BB43" si="37">AI43+AJ39</f>
        <v>0</v>
      </c>
      <c r="AK43" s="9">
        <f t="shared" si="37"/>
        <v>0</v>
      </c>
      <c r="AL43" s="9">
        <f t="shared" si="37"/>
        <v>0</v>
      </c>
      <c r="AM43" s="9">
        <f t="shared" si="37"/>
        <v>0</v>
      </c>
      <c r="AN43" s="9">
        <f t="shared" si="37"/>
        <v>0</v>
      </c>
      <c r="AO43" s="9">
        <f t="shared" si="37"/>
        <v>0</v>
      </c>
      <c r="AP43" s="9">
        <f t="shared" si="37"/>
        <v>0</v>
      </c>
      <c r="AQ43" s="9">
        <f t="shared" si="37"/>
        <v>0</v>
      </c>
      <c r="AR43" s="9">
        <f t="shared" si="37"/>
        <v>0</v>
      </c>
      <c r="AS43" s="9">
        <f t="shared" si="37"/>
        <v>0</v>
      </c>
      <c r="AT43" s="9">
        <f t="shared" si="37"/>
        <v>0</v>
      </c>
      <c r="AU43" s="9">
        <f t="shared" si="37"/>
        <v>0</v>
      </c>
      <c r="AV43" s="9">
        <f t="shared" si="37"/>
        <v>0</v>
      </c>
      <c r="AW43" s="9">
        <f t="shared" si="37"/>
        <v>0</v>
      </c>
      <c r="AX43" s="9">
        <f t="shared" si="37"/>
        <v>0</v>
      </c>
      <c r="AY43" s="9">
        <f t="shared" si="37"/>
        <v>0</v>
      </c>
      <c r="AZ43" s="9">
        <f t="shared" si="37"/>
        <v>0</v>
      </c>
      <c r="BA43" s="9">
        <f t="shared" si="37"/>
        <v>0</v>
      </c>
      <c r="BB43" s="9">
        <f t="shared" si="37"/>
        <v>0</v>
      </c>
      <c r="BC43" s="3"/>
      <c r="BD43" s="3"/>
      <c r="BE43" s="3"/>
    </row>
    <row r="44" spans="1:57" ht="19.5" customHeight="1" x14ac:dyDescent="0.3">
      <c r="A44" s="3"/>
      <c r="B44" s="33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3"/>
      <c r="BD44" s="3"/>
      <c r="BE44" s="3"/>
    </row>
    <row r="45" spans="1:57" ht="19.5" customHeight="1" x14ac:dyDescent="0.3">
      <c r="A45" s="3"/>
      <c r="B45" s="3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3"/>
      <c r="BD45" s="3"/>
      <c r="BE45" s="3"/>
    </row>
    <row r="46" spans="1:57" ht="19.5" customHeight="1" x14ac:dyDescent="0.3">
      <c r="A46" s="3"/>
      <c r="B46" s="3"/>
      <c r="C46" s="433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3"/>
      <c r="BD46" s="3"/>
      <c r="BE46" s="3"/>
    </row>
    <row r="47" spans="1:57" ht="19.5" customHeight="1" x14ac:dyDescent="0.3">
      <c r="A47" s="3"/>
      <c r="B47" s="191" t="s">
        <v>470</v>
      </c>
      <c r="C47" s="9">
        <f>SUMIFS(Data!$AD$3:$AD$150,Data!$X$3:$X$150,C$1,Data!$Y$3:$Y$150,"2022",Data!$K$3:$K$150,'Reporting 2022'!$B15)</f>
        <v>0</v>
      </c>
      <c r="D47" s="9">
        <f>SUMIFS(Data!$AD$3:$AD$150,Data!$X$3:$X$150,D$1,Data!$Y$3:$Y$150,"2022",Data!$K$3:$K$150,'Reporting 2022'!$B15)</f>
        <v>0</v>
      </c>
      <c r="E47" s="9">
        <f>SUMIFS(Data!$AD$3:$AD$150,Data!$X$3:$X$150,E$1,Data!$Y$3:$Y$150,"2022",Data!$K$3:$K$150,'Reporting 2022'!$B15)</f>
        <v>0</v>
      </c>
      <c r="F47" s="9">
        <f>SUMIFS(Data!$AD$3:$AD$150,Data!$X$3:$X$150,F$1,Data!$Y$3:$Y$150,"2022",Data!$K$3:$K$150,'Reporting 2022'!$B15)</f>
        <v>0</v>
      </c>
      <c r="G47" s="9">
        <f>SUMIFS(Data!$AD$3:$AD$150,Data!$X$3:$X$150,G$1,Data!$Y$3:$Y$150,"2022",Data!$K$3:$K$150,'Reporting 2022'!$B15)</f>
        <v>0</v>
      </c>
      <c r="H47" s="9">
        <f>SUMIFS(Data!$AD$3:$AD$150,Data!$X$3:$X$150,H$1,Data!$Y$3:$Y$150,"2022",Data!$K$3:$K$150,'Reporting 2022'!$B15)</f>
        <v>0</v>
      </c>
      <c r="I47" s="9">
        <f>SUMIFS(Data!$AD$3:$AD$150,Data!$X$3:$X$150,I$1,Data!$Y$3:$Y$150,"2022",Data!$K$3:$K$150,'Reporting 2022'!$B15)</f>
        <v>0</v>
      </c>
      <c r="J47" s="9">
        <f>SUMIFS(Data!$AD$3:$AD$150,Data!$X$3:$X$150,J$1,Data!$Y$3:$Y$150,"2022",Data!$K$3:$K$150,'Reporting 2022'!$B15)</f>
        <v>0</v>
      </c>
      <c r="K47" s="9">
        <f>SUMIFS(Data!$AD$3:$AD$150,Data!$X$3:$X$150,K$1,Data!$Y$3:$Y$150,"2022",Data!$K$3:$K$150,'Reporting 2022'!$B15)</f>
        <v>0</v>
      </c>
      <c r="L47" s="9">
        <f>SUMIFS(Data!$AD$3:$AD$150,Data!$X$3:$X$150,L$1,Data!$Y$3:$Y$150,"2022",Data!$K$3:$K$150,'Reporting 2022'!$B15)</f>
        <v>0</v>
      </c>
      <c r="M47" s="9">
        <f>SUMIFS(Data!$AD$3:$AD$150,Data!$X$3:$X$150,M$1,Data!$Y$3:$Y$150,"2022",Data!$K$3:$K$150,'Reporting 2022'!$B15)</f>
        <v>0</v>
      </c>
      <c r="N47" s="9">
        <f>SUMIFS(Data!$AD$3:$AD$150,Data!$X$3:$X$150,N$1,Data!$Y$3:$Y$150,"2022",Data!$K$3:$K$150,'Reporting 2022'!$B15)</f>
        <v>0</v>
      </c>
      <c r="O47" s="9">
        <f>SUMIFS(Data!$AD$3:$AD$150,Data!$X$3:$X$150,O$1,Data!$Y$3:$Y$150,"2022",Data!$K$3:$K$150,'Reporting 2022'!$B15)</f>
        <v>0</v>
      </c>
      <c r="P47" s="9">
        <f>SUMIFS(Data!$AD$3:$AD$150,Data!$X$3:$X$150,P$1,Data!$Y$3:$Y$150,"2022",Data!$K$3:$K$150,'Reporting 2022'!$B15)</f>
        <v>0</v>
      </c>
      <c r="Q47" s="9">
        <f>SUMIFS(Data!$AD$3:$AD$150,Data!$X$3:$X$150,Q$1,Data!$Y$3:$Y$150,"2022",Data!$K$3:$K$150,'Reporting 2022'!$B15)</f>
        <v>0</v>
      </c>
      <c r="R47" s="9">
        <f>SUMIFS(Data!$AD$3:$AD$150,Data!$X$3:$X$150,R$1,Data!$Y$3:$Y$150,"2022",Data!$K$3:$K$150,'Reporting 2022'!$B15)</f>
        <v>0</v>
      </c>
      <c r="S47" s="9">
        <f>SUMIFS(Data!$AD$3:$AD$150,Data!$X$3:$X$150,S$1,Data!$Y$3:$Y$150,"2022",Data!$K$3:$K$150,'Reporting 2022'!$B15)</f>
        <v>0</v>
      </c>
      <c r="T47" s="9">
        <f>SUMIFS(Data!$AD$3:$AD$150,Data!$X$3:$X$150,T$1,Data!$Y$3:$Y$150,"2022",Data!$K$3:$K$150,'Reporting 2022'!$B15)</f>
        <v>0</v>
      </c>
      <c r="U47" s="9">
        <f>SUMIFS(Data!$AD$3:$AD$150,Data!$X$3:$X$150,U$1,Data!$Y$3:$Y$150,"2022",Data!$K$3:$K$150,'Reporting 2022'!$B15)</f>
        <v>0</v>
      </c>
      <c r="V47" s="9">
        <f>SUMIFS(Data!$AD$3:$AD$150,Data!$X$3:$X$150,V$1,Data!$Y$3:$Y$150,"2022",Data!$K$3:$K$150,'Reporting 2022'!$B15)</f>
        <v>0</v>
      </c>
      <c r="W47" s="9">
        <f>SUMIFS(Data!$AD$3:$AD$150,Data!$X$3:$X$150,W$1,Data!$Y$3:$Y$150,"2022",Data!$K$3:$K$150,'Reporting 2022'!$B15)</f>
        <v>0</v>
      </c>
      <c r="X47" s="9">
        <f>SUMIFS(Data!$AD$3:$AD$150,Data!$X$3:$X$150,X$1,Data!$Y$3:$Y$150,"2022",Data!$K$3:$K$150,'Reporting 2022'!$B15)</f>
        <v>0</v>
      </c>
      <c r="Y47" s="9">
        <f>SUMIFS(Data!$AD$3:$AD$150,Data!$X$3:$X$150,Y$1,Data!$Y$3:$Y$150,"2022",Data!$K$3:$K$150,'Reporting 2022'!$B15)</f>
        <v>0</v>
      </c>
      <c r="Z47" s="9">
        <f>SUMIFS(Data!$AD$3:$AD$150,Data!$X$3:$X$150,Z$1,Data!$Y$3:$Y$150,"2022",Data!$K$3:$K$150,'Reporting 2022'!$B15)</f>
        <v>0</v>
      </c>
      <c r="AA47" s="9">
        <f>SUMIFS(Data!$AD$3:$AD$150,Data!$X$3:$X$150,AA$1,Data!$Y$3:$Y$150,"2022",Data!$K$3:$K$150,'Reporting 2022'!$B15)</f>
        <v>0</v>
      </c>
      <c r="AB47" s="9">
        <f>SUMIFS(Data!$AD$3:$AD$150,Data!$X$3:$X$150,AB$1,Data!$Y$3:$Y$150,"2022",Data!$K$3:$K$150,'Reporting 2022'!$B15)</f>
        <v>0</v>
      </c>
      <c r="AC47" s="9">
        <f>SUMIFS(Data!$AD$3:$AD$150,Data!$X$3:$X$150,AC$1,Data!$Y$3:$Y$150,"2022",Data!$K$3:$K$150,'Reporting 2022'!$B15)</f>
        <v>0</v>
      </c>
      <c r="AD47" s="9">
        <f>SUMIFS(Data!$AD$3:$AD$150,Data!$X$3:$X$150,AD$1,Data!$Y$3:$Y$150,"2022",Data!$K$3:$K$150,'Reporting 2022'!$B15)</f>
        <v>0</v>
      </c>
      <c r="AE47" s="9">
        <f>SUMIFS(Data!$AD$3:$AD$150,Data!$X$3:$X$150,AE$1,Data!$Y$3:$Y$150,"2022",Data!$K$3:$K$150,'Reporting 2022'!$B15)</f>
        <v>0</v>
      </c>
      <c r="AF47" s="9">
        <f>SUMIFS(Data!$AD$3:$AD$150,Data!$X$3:$X$150,AF$1,Data!$Y$3:$Y$150,"2022",Data!$K$3:$K$150,'Reporting 2022'!$B15)</f>
        <v>0</v>
      </c>
      <c r="AG47" s="9">
        <f>SUMIFS(Data!$AD$3:$AD$150,Data!$X$3:$X$150,AG$1,Data!$Y$3:$Y$150,"2022",Data!$K$3:$K$150,'Reporting 2022'!$B15)</f>
        <v>0</v>
      </c>
      <c r="AH47" s="9">
        <f>SUMIFS(Data!$AD$3:$AD$150,Data!$X$3:$X$150,AH$1,Data!$Y$3:$Y$150,"2022",Data!$K$3:$K$150,'Reporting 2022'!$B15)</f>
        <v>0</v>
      </c>
      <c r="AI47" s="9">
        <f>SUMIFS(Data!$AD$3:$AD$150,Data!$X$3:$X$150,AI$1,Data!$Y$3:$Y$150,"2022",Data!$K$3:$K$150,'Reporting 2022'!$B15)</f>
        <v>0</v>
      </c>
      <c r="AJ47" s="9">
        <f>SUMIFS(Data!$AD$3:$AD$150,Data!$X$3:$X$150,AJ$1,Data!$Y$3:$Y$150,"2022",Data!$K$3:$K$150,'Reporting 2022'!$B15)</f>
        <v>0</v>
      </c>
      <c r="AK47" s="9">
        <f>SUMIFS(Data!$AD$3:$AD$150,Data!$X$3:$X$150,AK$1,Data!$Y$3:$Y$150,"2022",Data!$K$3:$K$150,'Reporting 2022'!$B15)</f>
        <v>0</v>
      </c>
      <c r="AL47" s="9">
        <f>SUMIFS(Data!$AD$3:$AD$150,Data!$X$3:$X$150,AL$1,Data!$Y$3:$Y$150,"2022",Data!$K$3:$K$150,'Reporting 2022'!$B15)</f>
        <v>0</v>
      </c>
      <c r="AM47" s="9">
        <f>SUMIFS(Data!$AD$3:$AD$150,Data!$X$3:$X$150,AM$1,Data!$Y$3:$Y$150,"2022",Data!$K$3:$K$150,'Reporting 2022'!$B15)</f>
        <v>0</v>
      </c>
      <c r="AN47" s="9">
        <f>SUMIFS(Data!$AD$3:$AD$150,Data!$X$3:$X$150,AN$1,Data!$Y$3:$Y$150,"2022",Data!$K$3:$K$150,'Reporting 2022'!$B15)</f>
        <v>0</v>
      </c>
      <c r="AO47" s="9">
        <f>SUMIFS(Data!$AD$3:$AD$150,Data!$X$3:$X$150,AO$1,Data!$Y$3:$Y$150,"2022",Data!$K$3:$K$150,'Reporting 2022'!$B15)</f>
        <v>0</v>
      </c>
      <c r="AP47" s="9">
        <f>SUMIFS(Data!$AD$3:$AD$150,Data!$X$3:$X$150,AP$1,Data!$Y$3:$Y$150,"2022",Data!$K$3:$K$150,'Reporting 2022'!$B15)</f>
        <v>0</v>
      </c>
      <c r="AQ47" s="9">
        <f>SUMIFS(Data!$AD$3:$AD$150,Data!$X$3:$X$150,AQ$1,Data!$Y$3:$Y$150,"2022",Data!$K$3:$K$150,'Reporting 2022'!$B15)</f>
        <v>0</v>
      </c>
      <c r="AR47" s="9">
        <f>SUMIFS(Data!$AD$3:$AD$150,Data!$X$3:$X$150,AR$1,Data!$Y$3:$Y$150,"2022",Data!$K$3:$K$150,'Reporting 2022'!$B15)</f>
        <v>0</v>
      </c>
      <c r="AS47" s="9">
        <f>SUMIFS(Data!$AD$3:$AD$150,Data!$X$3:$X$150,AS$1,Data!$Y$3:$Y$150,"2022",Data!$K$3:$K$150,'Reporting 2022'!$B15)</f>
        <v>0</v>
      </c>
      <c r="AT47" s="9">
        <f>SUMIFS(Data!$AD$3:$AD$150,Data!$X$3:$X$150,AT$1,Data!$Y$3:$Y$150,"2022",Data!$K$3:$K$150,'Reporting 2022'!$B15)</f>
        <v>0</v>
      </c>
      <c r="AU47" s="9">
        <f>SUMIFS(Data!$AD$3:$AD$150,Data!$X$3:$X$150,AU$1,Data!$Y$3:$Y$150,"2022",Data!$K$3:$K$150,'Reporting 2022'!$B15)</f>
        <v>0</v>
      </c>
      <c r="AV47" s="9">
        <f>SUMIFS(Data!$AD$3:$AD$150,Data!$X$3:$X$150,AV$1,Data!$Y$3:$Y$150,"2022",Data!$K$3:$K$150,'Reporting 2022'!$B15)</f>
        <v>0</v>
      </c>
      <c r="AW47" s="9">
        <f>SUMIFS(Data!$AD$3:$AD$150,Data!$X$3:$X$150,AW$1,Data!$Y$3:$Y$150,"2022",Data!$K$3:$K$150,'Reporting 2022'!$B15)</f>
        <v>0</v>
      </c>
      <c r="AX47" s="9">
        <f>SUMIFS(Data!$AD$3:$AD$150,Data!$X$3:$X$150,AX$1,Data!$Y$3:$Y$150,"2022",Data!$K$3:$K$150,'Reporting 2022'!$B15)</f>
        <v>0</v>
      </c>
      <c r="AY47" s="9">
        <f>SUMIFS(Data!$AD$3:$AD$150,Data!$X$3:$X$150,AY$1,Data!$Y$3:$Y$150,"2022",Data!$K$3:$K$150,'Reporting 2022'!$B15)</f>
        <v>0</v>
      </c>
      <c r="AZ47" s="9">
        <f>SUMIFS(Data!$AD$3:$AD$150,Data!$X$3:$X$150,AZ$1,Data!$Y$3:$Y$150,"2022",Data!$K$3:$K$150,'Reporting 2022'!$B15)</f>
        <v>0</v>
      </c>
      <c r="BA47" s="9">
        <f>SUMIFS(Data!$AD$3:$AD$150,Data!$X$3:$X$150,BA$1,Data!$Y$3:$Y$150,"2022",Data!$K$3:$K$150,'Reporting 2022'!$B15)</f>
        <v>0</v>
      </c>
      <c r="BB47" s="9">
        <f>SUMIFS(Data!$AD$3:$AD$150,Data!$X$3:$X$150,BB$1,Data!$Y$3:$Y$150,"2022",Data!$K$3:$K$150,'Reporting 2022'!$B15)</f>
        <v>0</v>
      </c>
      <c r="BC47" s="3"/>
      <c r="BD47" s="3"/>
      <c r="BE47" s="3"/>
    </row>
    <row r="48" spans="1:57" ht="19.5" customHeight="1" x14ac:dyDescent="0.3">
      <c r="A48" s="3"/>
      <c r="B48" s="191" t="s">
        <v>471</v>
      </c>
      <c r="C48" s="9">
        <f>SUMIFS(Data!$AD$3:$AD$150,Data!$X$3:$X$150,C$1,Data!$Y$3:$Y$150,"2022",Data!$K$3:$K$150,'Reporting 2022'!$B16)</f>
        <v>0</v>
      </c>
      <c r="D48" s="9">
        <f>SUMIFS(Data!$AD$3:$AD$150,Data!$X$3:$X$150,D$1,Data!$Y$3:$Y$150,"2022",Data!$K$3:$K$150,'Reporting 2022'!$B16)</f>
        <v>0</v>
      </c>
      <c r="E48" s="9">
        <f>SUMIFS(Data!$AD$3:$AD$150,Data!$X$3:$X$150,E$1,Data!$Y$3:$Y$150,"2022",Data!$K$3:$K$150,'Reporting 2022'!$B16)</f>
        <v>0</v>
      </c>
      <c r="F48" s="9">
        <f>SUMIFS(Data!$AD$3:$AD$150,Data!$X$3:$X$150,F$1,Data!$Y$3:$Y$150,"2022",Data!$K$3:$K$150,'Reporting 2022'!$B16)</f>
        <v>0</v>
      </c>
      <c r="G48" s="9">
        <f>SUMIFS(Data!$AD$3:$AD$150,Data!$X$3:$X$150,G$1,Data!$Y$3:$Y$150,"2022",Data!$K$3:$K$150,'Reporting 2022'!$B16)</f>
        <v>0</v>
      </c>
      <c r="H48" s="9">
        <f>SUMIFS(Data!$AD$3:$AD$150,Data!$X$3:$X$150,H$1,Data!$Y$3:$Y$150,"2022",Data!$K$3:$K$150,'Reporting 2022'!$B16)</f>
        <v>0</v>
      </c>
      <c r="I48" s="9">
        <f>SUMIFS(Data!$AD$3:$AD$150,Data!$X$3:$X$150,I$1,Data!$Y$3:$Y$150,"2022",Data!$K$3:$K$150,'Reporting 2022'!$B16)</f>
        <v>0</v>
      </c>
      <c r="J48" s="9">
        <f>SUMIFS(Data!$AD$3:$AD$150,Data!$X$3:$X$150,J$1,Data!$Y$3:$Y$150,"2022",Data!$K$3:$K$150,'Reporting 2022'!$B16)</f>
        <v>0</v>
      </c>
      <c r="K48" s="9">
        <f>SUMIFS(Data!$AD$3:$AD$150,Data!$X$3:$X$150,K$1,Data!$Y$3:$Y$150,"2022",Data!$K$3:$K$150,'Reporting 2022'!$B16)</f>
        <v>0</v>
      </c>
      <c r="L48" s="9">
        <f>SUMIFS(Data!$AD$3:$AD$150,Data!$X$3:$X$150,L$1,Data!$Y$3:$Y$150,"2022",Data!$K$3:$K$150,'Reporting 2022'!$B16)</f>
        <v>0</v>
      </c>
      <c r="M48" s="9">
        <f>SUMIFS(Data!$AD$3:$AD$150,Data!$X$3:$X$150,M$1,Data!$Y$3:$Y$150,"2022",Data!$K$3:$K$150,'Reporting 2022'!$B16)</f>
        <v>0</v>
      </c>
      <c r="N48" s="9">
        <f>SUMIFS(Data!$AD$3:$AD$150,Data!$X$3:$X$150,N$1,Data!$Y$3:$Y$150,"2022",Data!$K$3:$K$150,'Reporting 2022'!$B16)</f>
        <v>0</v>
      </c>
      <c r="O48" s="9">
        <f>SUMIFS(Data!$AD$3:$AD$150,Data!$X$3:$X$150,O$1,Data!$Y$3:$Y$150,"2022",Data!$K$3:$K$150,'Reporting 2022'!$B16)</f>
        <v>0</v>
      </c>
      <c r="P48" s="9">
        <f>SUMIFS(Data!$AD$3:$AD$150,Data!$X$3:$X$150,P$1,Data!$Y$3:$Y$150,"2022",Data!$K$3:$K$150,'Reporting 2022'!$B16)</f>
        <v>0</v>
      </c>
      <c r="Q48" s="9">
        <f>SUMIFS(Data!$AD$3:$AD$150,Data!$X$3:$X$150,Q$1,Data!$Y$3:$Y$150,"2022",Data!$K$3:$K$150,'Reporting 2022'!$B16)</f>
        <v>0</v>
      </c>
      <c r="R48" s="9">
        <f>SUMIFS(Data!$AD$3:$AD$150,Data!$X$3:$X$150,R$1,Data!$Y$3:$Y$150,"2022",Data!$K$3:$K$150,'Reporting 2022'!$B16)</f>
        <v>0</v>
      </c>
      <c r="S48" s="9">
        <f>SUMIFS(Data!$AD$3:$AD$150,Data!$X$3:$X$150,S$1,Data!$Y$3:$Y$150,"2022",Data!$K$3:$K$150,'Reporting 2022'!$B16)</f>
        <v>0</v>
      </c>
      <c r="T48" s="9">
        <f>SUMIFS(Data!$AD$3:$AD$150,Data!$X$3:$X$150,T$1,Data!$Y$3:$Y$150,"2022",Data!$K$3:$K$150,'Reporting 2022'!$B16)</f>
        <v>0</v>
      </c>
      <c r="U48" s="9">
        <f>SUMIFS(Data!$AD$3:$AD$150,Data!$X$3:$X$150,U$1,Data!$Y$3:$Y$150,"2022",Data!$K$3:$K$150,'Reporting 2022'!$B16)</f>
        <v>0</v>
      </c>
      <c r="V48" s="9">
        <f>SUMIFS(Data!$AD$3:$AD$150,Data!$X$3:$X$150,V$1,Data!$Y$3:$Y$150,"2022",Data!$K$3:$K$150,'Reporting 2022'!$B16)</f>
        <v>0</v>
      </c>
      <c r="W48" s="9">
        <f>SUMIFS(Data!$AD$3:$AD$150,Data!$X$3:$X$150,W$1,Data!$Y$3:$Y$150,"2022",Data!$K$3:$K$150,'Reporting 2022'!$B16)</f>
        <v>0</v>
      </c>
      <c r="X48" s="9">
        <f>SUMIFS(Data!$AD$3:$AD$150,Data!$X$3:$X$150,X$1,Data!$Y$3:$Y$150,"2022",Data!$K$3:$K$150,'Reporting 2022'!$B16)</f>
        <v>0</v>
      </c>
      <c r="Y48" s="9">
        <f>SUMIFS(Data!$AD$3:$AD$150,Data!$X$3:$X$150,Y$1,Data!$Y$3:$Y$150,"2022",Data!$K$3:$K$150,'Reporting 2022'!$B16)</f>
        <v>0</v>
      </c>
      <c r="Z48" s="9">
        <f>SUMIFS(Data!$AD$3:$AD$150,Data!$X$3:$X$150,Z$1,Data!$Y$3:$Y$150,"2022",Data!$K$3:$K$150,'Reporting 2022'!$B16)</f>
        <v>0</v>
      </c>
      <c r="AA48" s="9">
        <f>SUMIFS(Data!$AD$3:$AD$150,Data!$X$3:$X$150,AA$1,Data!$Y$3:$Y$150,"2022",Data!$K$3:$K$150,'Reporting 2022'!$B16)</f>
        <v>0</v>
      </c>
      <c r="AB48" s="9">
        <f>SUMIFS(Data!$AD$3:$AD$150,Data!$X$3:$X$150,AB$1,Data!$Y$3:$Y$150,"2022",Data!$K$3:$K$150,'Reporting 2022'!$B16)</f>
        <v>0</v>
      </c>
      <c r="AC48" s="9">
        <f>SUMIFS(Data!$AD$3:$AD$150,Data!$X$3:$X$150,AC$1,Data!$Y$3:$Y$150,"2022",Data!$K$3:$K$150,'Reporting 2022'!$B16)</f>
        <v>0</v>
      </c>
      <c r="AD48" s="9">
        <f>SUMIFS(Data!$AD$3:$AD$150,Data!$X$3:$X$150,AD$1,Data!$Y$3:$Y$150,"2022",Data!$K$3:$K$150,'Reporting 2022'!$B16)</f>
        <v>0</v>
      </c>
      <c r="AE48" s="9">
        <f>SUMIFS(Data!$AD$3:$AD$150,Data!$X$3:$X$150,AE$1,Data!$Y$3:$Y$150,"2022",Data!$K$3:$K$150,'Reporting 2022'!$B16)</f>
        <v>0</v>
      </c>
      <c r="AF48" s="9">
        <f>SUMIFS(Data!$AD$3:$AD$150,Data!$X$3:$X$150,AF$1,Data!$Y$3:$Y$150,"2022",Data!$K$3:$K$150,'Reporting 2022'!$B16)</f>
        <v>0</v>
      </c>
      <c r="AG48" s="9">
        <f>SUMIFS(Data!$AD$3:$AD$150,Data!$X$3:$X$150,AG$1,Data!$Y$3:$Y$150,"2022",Data!$K$3:$K$150,'Reporting 2022'!$B16)</f>
        <v>0</v>
      </c>
      <c r="AH48" s="9">
        <f>SUMIFS(Data!$AD$3:$AD$150,Data!$X$3:$X$150,AH$1,Data!$Y$3:$Y$150,"2022",Data!$K$3:$K$150,'Reporting 2022'!$B16)</f>
        <v>0</v>
      </c>
      <c r="AI48" s="9">
        <f>SUMIFS(Data!$AD$3:$AD$150,Data!$X$3:$X$150,AI$1,Data!$Y$3:$Y$150,"2022",Data!$K$3:$K$150,'Reporting 2022'!$B16)</f>
        <v>0</v>
      </c>
      <c r="AJ48" s="9">
        <f>SUMIFS(Data!$AD$3:$AD$150,Data!$X$3:$X$150,AJ$1,Data!$Y$3:$Y$150,"2022",Data!$K$3:$K$150,'Reporting 2022'!$B16)</f>
        <v>0</v>
      </c>
      <c r="AK48" s="9">
        <f>SUMIFS(Data!$AD$3:$AD$150,Data!$X$3:$X$150,AK$1,Data!$Y$3:$Y$150,"2022",Data!$K$3:$K$150,'Reporting 2022'!$B16)</f>
        <v>0</v>
      </c>
      <c r="AL48" s="9">
        <f>SUMIFS(Data!$AD$3:$AD$150,Data!$X$3:$X$150,AL$1,Data!$Y$3:$Y$150,"2022",Data!$K$3:$K$150,'Reporting 2022'!$B16)</f>
        <v>0</v>
      </c>
      <c r="AM48" s="9">
        <f>SUMIFS(Data!$AD$3:$AD$150,Data!$X$3:$X$150,AM$1,Data!$Y$3:$Y$150,"2022",Data!$K$3:$K$150,'Reporting 2022'!$B16)</f>
        <v>0</v>
      </c>
      <c r="AN48" s="9">
        <f>SUMIFS(Data!$AD$3:$AD$150,Data!$X$3:$X$150,AN$1,Data!$Y$3:$Y$150,"2022",Data!$K$3:$K$150,'Reporting 2022'!$B16)</f>
        <v>0</v>
      </c>
      <c r="AO48" s="9">
        <f>SUMIFS(Data!$AD$3:$AD$150,Data!$X$3:$X$150,AO$1,Data!$Y$3:$Y$150,"2022",Data!$K$3:$K$150,'Reporting 2022'!$B16)</f>
        <v>0</v>
      </c>
      <c r="AP48" s="9">
        <f>SUMIFS(Data!$AD$3:$AD$150,Data!$X$3:$X$150,AP$1,Data!$Y$3:$Y$150,"2022",Data!$K$3:$K$150,'Reporting 2022'!$B16)</f>
        <v>0</v>
      </c>
      <c r="AQ48" s="9">
        <f>SUMIFS(Data!$AD$3:$AD$150,Data!$X$3:$X$150,AQ$1,Data!$Y$3:$Y$150,"2022",Data!$K$3:$K$150,'Reporting 2022'!$B16)</f>
        <v>0</v>
      </c>
      <c r="AR48" s="9">
        <f>SUMIFS(Data!$AD$3:$AD$150,Data!$X$3:$X$150,AR$1,Data!$Y$3:$Y$150,"2022",Data!$K$3:$K$150,'Reporting 2022'!$B16)</f>
        <v>0</v>
      </c>
      <c r="AS48" s="9">
        <f>SUMIFS(Data!$AD$3:$AD$150,Data!$X$3:$X$150,AS$1,Data!$Y$3:$Y$150,"2022",Data!$K$3:$K$150,'Reporting 2022'!$B16)</f>
        <v>0</v>
      </c>
      <c r="AT48" s="9">
        <f>SUMIFS(Data!$AD$3:$AD$150,Data!$X$3:$X$150,AT$1,Data!$Y$3:$Y$150,"2022",Data!$K$3:$K$150,'Reporting 2022'!$B16)</f>
        <v>0</v>
      </c>
      <c r="AU48" s="9">
        <f>SUMIFS(Data!$AD$3:$AD$150,Data!$X$3:$X$150,AU$1,Data!$Y$3:$Y$150,"2022",Data!$K$3:$K$150,'Reporting 2022'!$B16)</f>
        <v>0</v>
      </c>
      <c r="AV48" s="9">
        <f>SUMIFS(Data!$AD$3:$AD$150,Data!$X$3:$X$150,AV$1,Data!$Y$3:$Y$150,"2022",Data!$K$3:$K$150,'Reporting 2022'!$B16)</f>
        <v>0</v>
      </c>
      <c r="AW48" s="9">
        <f>SUMIFS(Data!$AD$3:$AD$150,Data!$X$3:$X$150,AW$1,Data!$Y$3:$Y$150,"2022",Data!$K$3:$K$150,'Reporting 2022'!$B16)</f>
        <v>0</v>
      </c>
      <c r="AX48" s="9">
        <f>SUMIFS(Data!$AD$3:$AD$150,Data!$X$3:$X$150,AX$1,Data!$Y$3:$Y$150,"2022",Data!$K$3:$K$150,'Reporting 2022'!$B16)</f>
        <v>0</v>
      </c>
      <c r="AY48" s="9">
        <f>SUMIFS(Data!$AD$3:$AD$150,Data!$X$3:$X$150,AY$1,Data!$Y$3:$Y$150,"2022",Data!$K$3:$K$150,'Reporting 2022'!$B16)</f>
        <v>0</v>
      </c>
      <c r="AZ48" s="9">
        <f>SUMIFS(Data!$AD$3:$AD$150,Data!$X$3:$X$150,AZ$1,Data!$Y$3:$Y$150,"2022",Data!$K$3:$K$150,'Reporting 2022'!$B16)</f>
        <v>0</v>
      </c>
      <c r="BA48" s="9">
        <f>SUMIFS(Data!$AD$3:$AD$150,Data!$X$3:$X$150,BA$1,Data!$Y$3:$Y$150,"2022",Data!$K$3:$K$150,'Reporting 2022'!$B16)</f>
        <v>0</v>
      </c>
      <c r="BB48" s="9">
        <f>SUMIFS(Data!$AD$3:$AD$150,Data!$X$3:$X$150,BB$1,Data!$Y$3:$Y$150,"2022",Data!$K$3:$K$150,'Reporting 2022'!$B16)</f>
        <v>0</v>
      </c>
      <c r="BC48" s="3"/>
      <c r="BD48" s="3"/>
      <c r="BE48" s="3"/>
    </row>
    <row r="49" spans="1:57" ht="19.5" customHeight="1" x14ac:dyDescent="0.3">
      <c r="A49" s="3"/>
      <c r="B49" s="191" t="s">
        <v>472</v>
      </c>
      <c r="C49" s="9">
        <f>SUMIFS(Data!$AD$3:$AD$150,Data!$X$3:$X$150,C$1,Data!$Y$3:$Y$150,"2022",Data!$K$3:$K$150,'Reporting 2022'!$B17)</f>
        <v>0</v>
      </c>
      <c r="D49" s="9">
        <f>SUMIFS(Data!$AD$3:$AD$150,Data!$X$3:$X$150,D$1,Data!$Y$3:$Y$150,"2022",Data!$K$3:$K$150,'Reporting 2022'!$B17)</f>
        <v>0</v>
      </c>
      <c r="E49" s="9">
        <f>SUMIFS(Data!$AD$3:$AD$150,Data!$X$3:$X$150,E$1,Data!$Y$3:$Y$150,"2022",Data!$K$3:$K$150,'Reporting 2022'!$B17)</f>
        <v>0</v>
      </c>
      <c r="F49" s="9">
        <f>SUMIFS(Data!$AD$3:$AD$150,Data!$X$3:$X$150,F$1,Data!$Y$3:$Y$150,"2022",Data!$K$3:$K$150,'Reporting 2022'!$B17)</f>
        <v>0</v>
      </c>
      <c r="G49" s="9">
        <f>SUMIFS(Data!$AD$3:$AD$150,Data!$X$3:$X$150,G$1,Data!$Y$3:$Y$150,"2022",Data!$K$3:$K$150,'Reporting 2022'!$B17)</f>
        <v>0</v>
      </c>
      <c r="H49" s="9">
        <f>SUMIFS(Data!$AD$3:$AD$150,Data!$X$3:$X$150,H$1,Data!$Y$3:$Y$150,"2022",Data!$K$3:$K$150,'Reporting 2022'!$B17)</f>
        <v>0</v>
      </c>
      <c r="I49" s="9">
        <f>SUMIFS(Data!$AD$3:$AD$150,Data!$X$3:$X$150,I$1,Data!$Y$3:$Y$150,"2022",Data!$K$3:$K$150,'Reporting 2022'!$B17)</f>
        <v>0</v>
      </c>
      <c r="J49" s="9">
        <f>SUMIFS(Data!$AD$3:$AD$150,Data!$X$3:$X$150,J$1,Data!$Y$3:$Y$150,"2022",Data!$K$3:$K$150,'Reporting 2022'!$B17)</f>
        <v>0</v>
      </c>
      <c r="K49" s="9">
        <f>SUMIFS(Data!$AD$3:$AD$150,Data!$X$3:$X$150,K$1,Data!$Y$3:$Y$150,"2022",Data!$K$3:$K$150,'Reporting 2022'!$B17)</f>
        <v>0</v>
      </c>
      <c r="L49" s="9">
        <f>SUMIFS(Data!$AD$3:$AD$150,Data!$X$3:$X$150,L$1,Data!$Y$3:$Y$150,"2022",Data!$K$3:$K$150,'Reporting 2022'!$B17)</f>
        <v>0</v>
      </c>
      <c r="M49" s="9">
        <f>SUMIFS(Data!$AD$3:$AD$150,Data!$X$3:$X$150,M$1,Data!$Y$3:$Y$150,"2022",Data!$K$3:$K$150,'Reporting 2022'!$B17)</f>
        <v>0</v>
      </c>
      <c r="N49" s="9">
        <f>SUMIFS(Data!$AD$3:$AD$150,Data!$X$3:$X$150,N$1,Data!$Y$3:$Y$150,"2022",Data!$K$3:$K$150,'Reporting 2022'!$B17)</f>
        <v>0</v>
      </c>
      <c r="O49" s="9">
        <f>SUMIFS(Data!$AD$3:$AD$150,Data!$X$3:$X$150,O$1,Data!$Y$3:$Y$150,"2022",Data!$K$3:$K$150,'Reporting 2022'!$B17)</f>
        <v>0</v>
      </c>
      <c r="P49" s="9">
        <f>SUMIFS(Data!$AD$3:$AD$150,Data!$X$3:$X$150,P$1,Data!$Y$3:$Y$150,"2022",Data!$K$3:$K$150,'Reporting 2022'!$B17)</f>
        <v>0</v>
      </c>
      <c r="Q49" s="9">
        <f>SUMIFS(Data!$AD$3:$AD$150,Data!$X$3:$X$150,Q$1,Data!$Y$3:$Y$150,"2022",Data!$K$3:$K$150,'Reporting 2022'!$B17)</f>
        <v>0</v>
      </c>
      <c r="R49" s="9">
        <f>SUMIFS(Data!$AD$3:$AD$150,Data!$X$3:$X$150,R$1,Data!$Y$3:$Y$150,"2022",Data!$K$3:$K$150,'Reporting 2022'!$B17)</f>
        <v>0</v>
      </c>
      <c r="S49" s="9">
        <f>SUMIFS(Data!$AD$3:$AD$150,Data!$X$3:$X$150,S$1,Data!$Y$3:$Y$150,"2022",Data!$K$3:$K$150,'Reporting 2022'!$B17)</f>
        <v>0</v>
      </c>
      <c r="T49" s="9">
        <f>SUMIFS(Data!$AD$3:$AD$150,Data!$X$3:$X$150,T$1,Data!$Y$3:$Y$150,"2022",Data!$K$3:$K$150,'Reporting 2022'!$B17)</f>
        <v>0</v>
      </c>
      <c r="U49" s="9">
        <f>SUMIFS(Data!$AD$3:$AD$150,Data!$X$3:$X$150,U$1,Data!$Y$3:$Y$150,"2022",Data!$K$3:$K$150,'Reporting 2022'!$B17)</f>
        <v>0</v>
      </c>
      <c r="V49" s="9">
        <f>SUMIFS(Data!$AD$3:$AD$150,Data!$X$3:$X$150,V$1,Data!$Y$3:$Y$150,"2022",Data!$K$3:$K$150,'Reporting 2022'!$B17)</f>
        <v>0</v>
      </c>
      <c r="W49" s="9">
        <f>SUMIFS(Data!$AD$3:$AD$150,Data!$X$3:$X$150,W$1,Data!$Y$3:$Y$150,"2022",Data!$K$3:$K$150,'Reporting 2022'!$B17)</f>
        <v>0</v>
      </c>
      <c r="X49" s="9">
        <f>SUMIFS(Data!$AD$3:$AD$150,Data!$X$3:$X$150,X$1,Data!$Y$3:$Y$150,"2022",Data!$K$3:$K$150,'Reporting 2022'!$B17)</f>
        <v>0</v>
      </c>
      <c r="Y49" s="9">
        <f>SUMIFS(Data!$AD$3:$AD$150,Data!$X$3:$X$150,Y$1,Data!$Y$3:$Y$150,"2022",Data!$K$3:$K$150,'Reporting 2022'!$B17)</f>
        <v>0</v>
      </c>
      <c r="Z49" s="9">
        <f>SUMIFS(Data!$AD$3:$AD$150,Data!$X$3:$X$150,Z$1,Data!$Y$3:$Y$150,"2022",Data!$K$3:$K$150,'Reporting 2022'!$B17)</f>
        <v>0</v>
      </c>
      <c r="AA49" s="9">
        <f>SUMIFS(Data!$AD$3:$AD$150,Data!$X$3:$X$150,AA$1,Data!$Y$3:$Y$150,"2022",Data!$K$3:$K$150,'Reporting 2022'!$B17)</f>
        <v>0</v>
      </c>
      <c r="AB49" s="9">
        <f>SUMIFS(Data!$AD$3:$AD$150,Data!$X$3:$X$150,AB$1,Data!$Y$3:$Y$150,"2022",Data!$K$3:$K$150,'Reporting 2022'!$B17)</f>
        <v>0</v>
      </c>
      <c r="AC49" s="9">
        <f>SUMIFS(Data!$AD$3:$AD$150,Data!$X$3:$X$150,AC$1,Data!$Y$3:$Y$150,"2022",Data!$K$3:$K$150,'Reporting 2022'!$B17)</f>
        <v>0</v>
      </c>
      <c r="AD49" s="9">
        <f>SUMIFS(Data!$AD$3:$AD$150,Data!$X$3:$X$150,AD$1,Data!$Y$3:$Y$150,"2022",Data!$K$3:$K$150,'Reporting 2022'!$B17)</f>
        <v>0</v>
      </c>
      <c r="AE49" s="9">
        <f>SUMIFS(Data!$AD$3:$AD$150,Data!$X$3:$X$150,AE$1,Data!$Y$3:$Y$150,"2022",Data!$K$3:$K$150,'Reporting 2022'!$B17)</f>
        <v>0</v>
      </c>
      <c r="AF49" s="9">
        <f>SUMIFS(Data!$AD$3:$AD$150,Data!$X$3:$X$150,AF$1,Data!$Y$3:$Y$150,"2022",Data!$K$3:$K$150,'Reporting 2022'!$B17)</f>
        <v>0</v>
      </c>
      <c r="AG49" s="9">
        <f>SUMIFS(Data!$AD$3:$AD$150,Data!$X$3:$X$150,AG$1,Data!$Y$3:$Y$150,"2022",Data!$K$3:$K$150,'Reporting 2022'!$B17)</f>
        <v>0</v>
      </c>
      <c r="AH49" s="9">
        <f>SUMIFS(Data!$AD$3:$AD$150,Data!$X$3:$X$150,AH$1,Data!$Y$3:$Y$150,"2022",Data!$K$3:$K$150,'Reporting 2022'!$B17)</f>
        <v>0</v>
      </c>
      <c r="AI49" s="9">
        <f>SUMIFS(Data!$AD$3:$AD$150,Data!$X$3:$X$150,AI$1,Data!$Y$3:$Y$150,"2022",Data!$K$3:$K$150,'Reporting 2022'!$B17)</f>
        <v>0</v>
      </c>
      <c r="AJ49" s="9">
        <f>SUMIFS(Data!$AD$3:$AD$150,Data!$X$3:$X$150,AJ$1,Data!$Y$3:$Y$150,"2022",Data!$K$3:$K$150,'Reporting 2022'!$B17)</f>
        <v>0</v>
      </c>
      <c r="AK49" s="9">
        <f>SUMIFS(Data!$AD$3:$AD$150,Data!$X$3:$X$150,AK$1,Data!$Y$3:$Y$150,"2022",Data!$K$3:$K$150,'Reporting 2022'!$B17)</f>
        <v>0</v>
      </c>
      <c r="AL49" s="9">
        <f>SUMIFS(Data!$AD$3:$AD$150,Data!$X$3:$X$150,AL$1,Data!$Y$3:$Y$150,"2022",Data!$K$3:$K$150,'Reporting 2022'!$B17)</f>
        <v>0</v>
      </c>
      <c r="AM49" s="9">
        <f>SUMIFS(Data!$AD$3:$AD$150,Data!$X$3:$X$150,AM$1,Data!$Y$3:$Y$150,"2022",Data!$K$3:$K$150,'Reporting 2022'!$B17)</f>
        <v>0</v>
      </c>
      <c r="AN49" s="9">
        <f>SUMIFS(Data!$AD$3:$AD$150,Data!$X$3:$X$150,AN$1,Data!$Y$3:$Y$150,"2022",Data!$K$3:$K$150,'Reporting 2022'!$B17)</f>
        <v>0</v>
      </c>
      <c r="AO49" s="9">
        <f>SUMIFS(Data!$AD$3:$AD$150,Data!$X$3:$X$150,AO$1,Data!$Y$3:$Y$150,"2022",Data!$K$3:$K$150,'Reporting 2022'!$B17)</f>
        <v>0</v>
      </c>
      <c r="AP49" s="9">
        <f>SUMIFS(Data!$AD$3:$AD$150,Data!$X$3:$X$150,AP$1,Data!$Y$3:$Y$150,"2022",Data!$K$3:$K$150,'Reporting 2022'!$B17)</f>
        <v>0</v>
      </c>
      <c r="AQ49" s="9">
        <f>SUMIFS(Data!$AD$3:$AD$150,Data!$X$3:$X$150,AQ$1,Data!$Y$3:$Y$150,"2022",Data!$K$3:$K$150,'Reporting 2022'!$B17)</f>
        <v>0</v>
      </c>
      <c r="AR49" s="9">
        <f>SUMIFS(Data!$AD$3:$AD$150,Data!$X$3:$X$150,AR$1,Data!$Y$3:$Y$150,"2022",Data!$K$3:$K$150,'Reporting 2022'!$B17)</f>
        <v>0</v>
      </c>
      <c r="AS49" s="9">
        <f>SUMIFS(Data!$AD$3:$AD$150,Data!$X$3:$X$150,AS$1,Data!$Y$3:$Y$150,"2022",Data!$K$3:$K$150,'Reporting 2022'!$B17)</f>
        <v>0</v>
      </c>
      <c r="AT49" s="9">
        <f>SUMIFS(Data!$AD$3:$AD$150,Data!$X$3:$X$150,AT$1,Data!$Y$3:$Y$150,"2022",Data!$K$3:$K$150,'Reporting 2022'!$B17)</f>
        <v>0</v>
      </c>
      <c r="AU49" s="9">
        <f>SUMIFS(Data!$AD$3:$AD$150,Data!$X$3:$X$150,AU$1,Data!$Y$3:$Y$150,"2022",Data!$K$3:$K$150,'Reporting 2022'!$B17)</f>
        <v>0</v>
      </c>
      <c r="AV49" s="9">
        <f>SUMIFS(Data!$AD$3:$AD$150,Data!$X$3:$X$150,AV$1,Data!$Y$3:$Y$150,"2022",Data!$K$3:$K$150,'Reporting 2022'!$B17)</f>
        <v>0</v>
      </c>
      <c r="AW49" s="9">
        <f>SUMIFS(Data!$AD$3:$AD$150,Data!$X$3:$X$150,AW$1,Data!$Y$3:$Y$150,"2022",Data!$K$3:$K$150,'Reporting 2022'!$B17)</f>
        <v>0</v>
      </c>
      <c r="AX49" s="9">
        <f>SUMIFS(Data!$AD$3:$AD$150,Data!$X$3:$X$150,AX$1,Data!$Y$3:$Y$150,"2022",Data!$K$3:$K$150,'Reporting 2022'!$B17)</f>
        <v>0</v>
      </c>
      <c r="AY49" s="9">
        <f>SUMIFS(Data!$AD$3:$AD$150,Data!$X$3:$X$150,AY$1,Data!$Y$3:$Y$150,"2022",Data!$K$3:$K$150,'Reporting 2022'!$B17)</f>
        <v>0</v>
      </c>
      <c r="AZ49" s="9">
        <f>SUMIFS(Data!$AD$3:$AD$150,Data!$X$3:$X$150,AZ$1,Data!$Y$3:$Y$150,"2022",Data!$K$3:$K$150,'Reporting 2022'!$B17)</f>
        <v>0</v>
      </c>
      <c r="BA49" s="9">
        <f>SUMIFS(Data!$AD$3:$AD$150,Data!$X$3:$X$150,BA$1,Data!$Y$3:$Y$150,"2022",Data!$K$3:$K$150,'Reporting 2022'!$B17)</f>
        <v>0</v>
      </c>
      <c r="BB49" s="9">
        <f>SUMIFS(Data!$AD$3:$AD$150,Data!$X$3:$X$150,BB$1,Data!$Y$3:$Y$150,"2022",Data!$K$3:$K$150,'Reporting 2022'!$B17)</f>
        <v>0</v>
      </c>
      <c r="BC49" s="3"/>
      <c r="BD49" s="3"/>
      <c r="BE49" s="3"/>
    </row>
    <row r="50" spans="1:57" ht="19.5" customHeight="1" x14ac:dyDescent="0.3">
      <c r="A50" s="3"/>
      <c r="B50" s="191" t="s">
        <v>473</v>
      </c>
      <c r="C50" s="9">
        <f>SUMIFS(Data!$AD$3:$AD$150,Data!$X$3:$X$150,C$1,Data!$Y$3:$Y$150,"2022",Data!$K$3:$K$150,'Reporting 2022'!$B18)</f>
        <v>0</v>
      </c>
      <c r="D50" s="9">
        <f>SUMIFS(Data!$AD$3:$AD$150,Data!$X$3:$X$150,D$1,Data!$Y$3:$Y$150,"2022",Data!$K$3:$K$150,'Reporting 2022'!$B18)</f>
        <v>0</v>
      </c>
      <c r="E50" s="9">
        <f>SUMIFS(Data!$AD$3:$AD$150,Data!$X$3:$X$150,E$1,Data!$Y$3:$Y$150,"2022",Data!$K$3:$K$150,'Reporting 2022'!$B18)</f>
        <v>0</v>
      </c>
      <c r="F50" s="9">
        <f>SUMIFS(Data!$AD$3:$AD$150,Data!$X$3:$X$150,F$1,Data!$Y$3:$Y$150,"2022",Data!$K$3:$K$150,'Reporting 2022'!$B18)</f>
        <v>0</v>
      </c>
      <c r="G50" s="9">
        <f>SUMIFS(Data!$AD$3:$AD$150,Data!$X$3:$X$150,G$1,Data!$Y$3:$Y$150,"2022",Data!$K$3:$K$150,'Reporting 2022'!$B18)</f>
        <v>0</v>
      </c>
      <c r="H50" s="9">
        <f>SUMIFS(Data!$AD$3:$AD$150,Data!$X$3:$X$150,H$1,Data!$Y$3:$Y$150,"2022",Data!$K$3:$K$150,'Reporting 2022'!$B18)</f>
        <v>0</v>
      </c>
      <c r="I50" s="9">
        <f>SUMIFS(Data!$AD$3:$AD$150,Data!$X$3:$X$150,I$1,Data!$Y$3:$Y$150,"2022",Data!$K$3:$K$150,'Reporting 2022'!$B18)</f>
        <v>0</v>
      </c>
      <c r="J50" s="9">
        <f>SUMIFS(Data!$AD$3:$AD$150,Data!$X$3:$X$150,J$1,Data!$Y$3:$Y$150,"2022",Data!$K$3:$K$150,'Reporting 2022'!$B18)</f>
        <v>0</v>
      </c>
      <c r="K50" s="9">
        <f>SUMIFS(Data!$AD$3:$AD$150,Data!$X$3:$X$150,K$1,Data!$Y$3:$Y$150,"2022",Data!$K$3:$K$150,'Reporting 2022'!$B18)</f>
        <v>0</v>
      </c>
      <c r="L50" s="9">
        <f>SUMIFS(Data!$AD$3:$AD$150,Data!$X$3:$X$150,L$1,Data!$Y$3:$Y$150,"2022",Data!$K$3:$K$150,'Reporting 2022'!$B18)</f>
        <v>0</v>
      </c>
      <c r="M50" s="9">
        <f>SUMIFS(Data!$AD$3:$AD$150,Data!$X$3:$X$150,M$1,Data!$Y$3:$Y$150,"2022",Data!$K$3:$K$150,'Reporting 2022'!$B18)</f>
        <v>0</v>
      </c>
      <c r="N50" s="9">
        <f>SUMIFS(Data!$AD$3:$AD$150,Data!$X$3:$X$150,N$1,Data!$Y$3:$Y$150,"2022",Data!$K$3:$K$150,'Reporting 2022'!$B18)</f>
        <v>0</v>
      </c>
      <c r="O50" s="9">
        <f>SUMIFS(Data!$AD$3:$AD$150,Data!$X$3:$X$150,O$1,Data!$Y$3:$Y$150,"2022",Data!$K$3:$K$150,'Reporting 2022'!$B18)</f>
        <v>0</v>
      </c>
      <c r="P50" s="9">
        <f>SUMIFS(Data!$AD$3:$AD$150,Data!$X$3:$X$150,P$1,Data!$Y$3:$Y$150,"2022",Data!$K$3:$K$150,'Reporting 2022'!$B18)</f>
        <v>0</v>
      </c>
      <c r="Q50" s="9">
        <f>SUMIFS(Data!$AD$3:$AD$150,Data!$X$3:$X$150,Q$1,Data!$Y$3:$Y$150,"2022",Data!$K$3:$K$150,'Reporting 2022'!$B18)</f>
        <v>0</v>
      </c>
      <c r="R50" s="9">
        <f>SUMIFS(Data!$AD$3:$AD$150,Data!$X$3:$X$150,R$1,Data!$Y$3:$Y$150,"2022",Data!$K$3:$K$150,'Reporting 2022'!$B18)</f>
        <v>0</v>
      </c>
      <c r="S50" s="9">
        <f>SUMIFS(Data!$AD$3:$AD$150,Data!$X$3:$X$150,S$1,Data!$Y$3:$Y$150,"2022",Data!$K$3:$K$150,'Reporting 2022'!$B18)</f>
        <v>0</v>
      </c>
      <c r="T50" s="9">
        <f>SUMIFS(Data!$AD$3:$AD$150,Data!$X$3:$X$150,T$1,Data!$Y$3:$Y$150,"2022",Data!$K$3:$K$150,'Reporting 2022'!$B18)</f>
        <v>0</v>
      </c>
      <c r="U50" s="9">
        <f>SUMIFS(Data!$AD$3:$AD$150,Data!$X$3:$X$150,U$1,Data!$Y$3:$Y$150,"2022",Data!$K$3:$K$150,'Reporting 2022'!$B18)</f>
        <v>0</v>
      </c>
      <c r="V50" s="9">
        <f>SUMIFS(Data!$AD$3:$AD$150,Data!$X$3:$X$150,V$1,Data!$Y$3:$Y$150,"2022",Data!$K$3:$K$150,'Reporting 2022'!$B18)</f>
        <v>0</v>
      </c>
      <c r="W50" s="9">
        <f>SUMIFS(Data!$AD$3:$AD$150,Data!$X$3:$X$150,W$1,Data!$Y$3:$Y$150,"2022",Data!$K$3:$K$150,'Reporting 2022'!$B18)</f>
        <v>0</v>
      </c>
      <c r="X50" s="9">
        <f>SUMIFS(Data!$AD$3:$AD$150,Data!$X$3:$X$150,X$1,Data!$Y$3:$Y$150,"2022",Data!$K$3:$K$150,'Reporting 2022'!$B18)</f>
        <v>0</v>
      </c>
      <c r="Y50" s="9">
        <f>SUMIFS(Data!$AD$3:$AD$150,Data!$X$3:$X$150,Y$1,Data!$Y$3:$Y$150,"2022",Data!$K$3:$K$150,'Reporting 2022'!$B18)</f>
        <v>0</v>
      </c>
      <c r="Z50" s="9">
        <f>SUMIFS(Data!$AD$3:$AD$150,Data!$X$3:$X$150,Z$1,Data!$Y$3:$Y$150,"2022",Data!$K$3:$K$150,'Reporting 2022'!$B18)</f>
        <v>0</v>
      </c>
      <c r="AA50" s="9">
        <f>SUMIFS(Data!$AD$3:$AD$150,Data!$X$3:$X$150,AA$1,Data!$Y$3:$Y$150,"2022",Data!$K$3:$K$150,'Reporting 2022'!$B18)</f>
        <v>0</v>
      </c>
      <c r="AB50" s="9">
        <f>SUMIFS(Data!$AD$3:$AD$150,Data!$X$3:$X$150,AB$1,Data!$Y$3:$Y$150,"2022",Data!$K$3:$K$150,'Reporting 2022'!$B18)</f>
        <v>0</v>
      </c>
      <c r="AC50" s="9">
        <f>SUMIFS(Data!$AD$3:$AD$150,Data!$X$3:$X$150,AC$1,Data!$Y$3:$Y$150,"2022",Data!$K$3:$K$150,'Reporting 2022'!$B18)</f>
        <v>0</v>
      </c>
      <c r="AD50" s="9">
        <f>SUMIFS(Data!$AD$3:$AD$150,Data!$X$3:$X$150,AD$1,Data!$Y$3:$Y$150,"2022",Data!$K$3:$K$150,'Reporting 2022'!$B18)</f>
        <v>0</v>
      </c>
      <c r="AE50" s="9">
        <f>SUMIFS(Data!$AD$3:$AD$150,Data!$X$3:$X$150,AE$1,Data!$Y$3:$Y$150,"2022",Data!$K$3:$K$150,'Reporting 2022'!$B18)</f>
        <v>0</v>
      </c>
      <c r="AF50" s="9">
        <f>SUMIFS(Data!$AD$3:$AD$150,Data!$X$3:$X$150,AF$1,Data!$Y$3:$Y$150,"2022",Data!$K$3:$K$150,'Reporting 2022'!$B18)</f>
        <v>0</v>
      </c>
      <c r="AG50" s="9">
        <f>SUMIFS(Data!$AD$3:$AD$150,Data!$X$3:$X$150,AG$1,Data!$Y$3:$Y$150,"2022",Data!$K$3:$K$150,'Reporting 2022'!$B18)</f>
        <v>0</v>
      </c>
      <c r="AH50" s="9">
        <f>SUMIFS(Data!$AD$3:$AD$150,Data!$X$3:$X$150,AH$1,Data!$Y$3:$Y$150,"2022",Data!$K$3:$K$150,'Reporting 2022'!$B18)</f>
        <v>0</v>
      </c>
      <c r="AI50" s="9">
        <f>SUMIFS(Data!$AD$3:$AD$150,Data!$X$3:$X$150,AI$1,Data!$Y$3:$Y$150,"2022",Data!$K$3:$K$150,'Reporting 2022'!$B18)</f>
        <v>0</v>
      </c>
      <c r="AJ50" s="9">
        <f>SUMIFS(Data!$AD$3:$AD$150,Data!$X$3:$X$150,AJ$1,Data!$Y$3:$Y$150,"2022",Data!$K$3:$K$150,'Reporting 2022'!$B18)</f>
        <v>0</v>
      </c>
      <c r="AK50" s="9">
        <f>SUMIFS(Data!$AD$3:$AD$150,Data!$X$3:$X$150,AK$1,Data!$Y$3:$Y$150,"2022",Data!$K$3:$K$150,'Reporting 2022'!$B18)</f>
        <v>0</v>
      </c>
      <c r="AL50" s="9">
        <f>SUMIFS(Data!$AD$3:$AD$150,Data!$X$3:$X$150,AL$1,Data!$Y$3:$Y$150,"2022",Data!$K$3:$K$150,'Reporting 2022'!$B18)</f>
        <v>0</v>
      </c>
      <c r="AM50" s="9">
        <f>SUMIFS(Data!$AD$3:$AD$150,Data!$X$3:$X$150,AM$1,Data!$Y$3:$Y$150,"2022",Data!$K$3:$K$150,'Reporting 2022'!$B18)</f>
        <v>0</v>
      </c>
      <c r="AN50" s="9">
        <f>SUMIFS(Data!$AD$3:$AD$150,Data!$X$3:$X$150,AN$1,Data!$Y$3:$Y$150,"2022",Data!$K$3:$K$150,'Reporting 2022'!$B18)</f>
        <v>0</v>
      </c>
      <c r="AO50" s="9">
        <f>SUMIFS(Data!$AD$3:$AD$150,Data!$X$3:$X$150,AO$1,Data!$Y$3:$Y$150,"2022",Data!$K$3:$K$150,'Reporting 2022'!$B18)</f>
        <v>0</v>
      </c>
      <c r="AP50" s="9">
        <f>SUMIFS(Data!$AD$3:$AD$150,Data!$X$3:$X$150,AP$1,Data!$Y$3:$Y$150,"2022",Data!$K$3:$K$150,'Reporting 2022'!$B18)</f>
        <v>0</v>
      </c>
      <c r="AQ50" s="9">
        <f>SUMIFS(Data!$AD$3:$AD$150,Data!$X$3:$X$150,AQ$1,Data!$Y$3:$Y$150,"2022",Data!$K$3:$K$150,'Reporting 2022'!$B18)</f>
        <v>0</v>
      </c>
      <c r="AR50" s="9">
        <f>SUMIFS(Data!$AD$3:$AD$150,Data!$X$3:$X$150,AR$1,Data!$Y$3:$Y$150,"2022",Data!$K$3:$K$150,'Reporting 2022'!$B18)</f>
        <v>0</v>
      </c>
      <c r="AS50" s="9">
        <f>SUMIFS(Data!$AD$3:$AD$150,Data!$X$3:$X$150,AS$1,Data!$Y$3:$Y$150,"2022",Data!$K$3:$K$150,'Reporting 2022'!$B18)</f>
        <v>0</v>
      </c>
      <c r="AT50" s="9">
        <f>SUMIFS(Data!$AD$3:$AD$150,Data!$X$3:$X$150,AT$1,Data!$Y$3:$Y$150,"2022",Data!$K$3:$K$150,'Reporting 2022'!$B18)</f>
        <v>0</v>
      </c>
      <c r="AU50" s="9">
        <f>SUMIFS(Data!$AD$3:$AD$150,Data!$X$3:$X$150,AU$1,Data!$Y$3:$Y$150,"2022",Data!$K$3:$K$150,'Reporting 2022'!$B18)</f>
        <v>0</v>
      </c>
      <c r="AV50" s="9">
        <f>SUMIFS(Data!$AD$3:$AD$150,Data!$X$3:$X$150,AV$1,Data!$Y$3:$Y$150,"2022",Data!$K$3:$K$150,'Reporting 2022'!$B18)</f>
        <v>0</v>
      </c>
      <c r="AW50" s="9">
        <f>SUMIFS(Data!$AD$3:$AD$150,Data!$X$3:$X$150,AW$1,Data!$Y$3:$Y$150,"2022",Data!$K$3:$K$150,'Reporting 2022'!$B18)</f>
        <v>0</v>
      </c>
      <c r="AX50" s="9">
        <f>SUMIFS(Data!$AD$3:$AD$150,Data!$X$3:$X$150,AX$1,Data!$Y$3:$Y$150,"2022",Data!$K$3:$K$150,'Reporting 2022'!$B18)</f>
        <v>0</v>
      </c>
      <c r="AY50" s="9">
        <f>SUMIFS(Data!$AD$3:$AD$150,Data!$X$3:$X$150,AY$1,Data!$Y$3:$Y$150,"2022",Data!$K$3:$K$150,'Reporting 2022'!$B18)</f>
        <v>0</v>
      </c>
      <c r="AZ50" s="9">
        <f>SUMIFS(Data!$AD$3:$AD$150,Data!$X$3:$X$150,AZ$1,Data!$Y$3:$Y$150,"2022",Data!$K$3:$K$150,'Reporting 2022'!$B18)</f>
        <v>0</v>
      </c>
      <c r="BA50" s="9">
        <f>SUMIFS(Data!$AD$3:$AD$150,Data!$X$3:$X$150,BA$1,Data!$Y$3:$Y$150,"2022",Data!$K$3:$K$150,'Reporting 2022'!$B18)</f>
        <v>0</v>
      </c>
      <c r="BB50" s="9">
        <f>SUMIFS(Data!$AD$3:$AD$150,Data!$X$3:$X$150,BB$1,Data!$Y$3:$Y$150,"2022",Data!$K$3:$K$150,'Reporting 2022'!$B18)</f>
        <v>0</v>
      </c>
      <c r="BC50" s="3"/>
      <c r="BD50" s="3"/>
      <c r="BE50" s="3"/>
    </row>
    <row r="51" spans="1:57" ht="19.5" customHeight="1" x14ac:dyDescent="0.3">
      <c r="A51" s="3"/>
      <c r="B51" s="191" t="s">
        <v>474</v>
      </c>
      <c r="C51" s="9">
        <f>SUMIFS(Data!$AD$3:$AD$150,Data!$X$3:$X$150,C$1,Data!$Y$3:$Y$150,"2022",Data!$K$3:$K$150,'Reporting 2022'!$B19)</f>
        <v>0</v>
      </c>
      <c r="D51" s="9">
        <f>SUMIFS(Data!$AD$3:$AD$150,Data!$X$3:$X$150,D$1,Data!$Y$3:$Y$150,"2022",Data!$K$3:$K$150,'Reporting 2022'!$B19)</f>
        <v>0</v>
      </c>
      <c r="E51" s="9">
        <f>SUMIFS(Data!$AD$3:$AD$150,Data!$X$3:$X$150,E$1,Data!$Y$3:$Y$150,"2022",Data!$K$3:$K$150,'Reporting 2022'!$B19)</f>
        <v>0</v>
      </c>
      <c r="F51" s="9">
        <f>SUMIFS(Data!$AD$3:$AD$150,Data!$X$3:$X$150,F$1,Data!$Y$3:$Y$150,"2022",Data!$K$3:$K$150,'Reporting 2022'!$B19)</f>
        <v>0</v>
      </c>
      <c r="G51" s="9">
        <f>SUMIFS(Data!$AD$3:$AD$150,Data!$X$3:$X$150,G$1,Data!$Y$3:$Y$150,"2022",Data!$K$3:$K$150,'Reporting 2022'!$B19)</f>
        <v>0</v>
      </c>
      <c r="H51" s="9">
        <f>SUMIFS(Data!$AD$3:$AD$150,Data!$X$3:$X$150,H$1,Data!$Y$3:$Y$150,"2022",Data!$K$3:$K$150,'Reporting 2022'!$B19)</f>
        <v>0</v>
      </c>
      <c r="I51" s="9">
        <f>SUMIFS(Data!$AD$3:$AD$150,Data!$X$3:$X$150,I$1,Data!$Y$3:$Y$150,"2022",Data!$K$3:$K$150,'Reporting 2022'!$B19)</f>
        <v>0</v>
      </c>
      <c r="J51" s="9">
        <f>SUMIFS(Data!$AD$3:$AD$150,Data!$X$3:$X$150,J$1,Data!$Y$3:$Y$150,"2022",Data!$K$3:$K$150,'Reporting 2022'!$B19)</f>
        <v>0</v>
      </c>
      <c r="K51" s="9">
        <f>SUMIFS(Data!$AD$3:$AD$150,Data!$X$3:$X$150,K$1,Data!$Y$3:$Y$150,"2022",Data!$K$3:$K$150,'Reporting 2022'!$B19)</f>
        <v>0</v>
      </c>
      <c r="L51" s="9">
        <f>SUMIFS(Data!$AD$3:$AD$150,Data!$X$3:$X$150,L$1,Data!$Y$3:$Y$150,"2022",Data!$K$3:$K$150,'Reporting 2022'!$B19)</f>
        <v>0</v>
      </c>
      <c r="M51" s="9">
        <f>SUMIFS(Data!$AD$3:$AD$150,Data!$X$3:$X$150,M$1,Data!$Y$3:$Y$150,"2022",Data!$K$3:$K$150,'Reporting 2022'!$B19)</f>
        <v>0</v>
      </c>
      <c r="N51" s="9">
        <f>SUMIFS(Data!$AD$3:$AD$150,Data!$X$3:$X$150,N$1,Data!$Y$3:$Y$150,"2022",Data!$K$3:$K$150,'Reporting 2022'!$B19)</f>
        <v>0</v>
      </c>
      <c r="O51" s="9">
        <f>SUMIFS(Data!$AD$3:$AD$150,Data!$X$3:$X$150,O$1,Data!$Y$3:$Y$150,"2022",Data!$K$3:$K$150,'Reporting 2022'!$B19)</f>
        <v>0</v>
      </c>
      <c r="P51" s="9">
        <f>SUMIFS(Data!$AD$3:$AD$150,Data!$X$3:$X$150,P$1,Data!$Y$3:$Y$150,"2022",Data!$K$3:$K$150,'Reporting 2022'!$B19)</f>
        <v>0</v>
      </c>
      <c r="Q51" s="9">
        <f>SUMIFS(Data!$AD$3:$AD$150,Data!$X$3:$X$150,Q$1,Data!$Y$3:$Y$150,"2022",Data!$K$3:$K$150,'Reporting 2022'!$B19)</f>
        <v>0</v>
      </c>
      <c r="R51" s="9">
        <f>SUMIFS(Data!$AD$3:$AD$150,Data!$X$3:$X$150,R$1,Data!$Y$3:$Y$150,"2022",Data!$K$3:$K$150,'Reporting 2022'!$B19)</f>
        <v>0</v>
      </c>
      <c r="S51" s="9">
        <f>SUMIFS(Data!$AD$3:$AD$150,Data!$X$3:$X$150,S$1,Data!$Y$3:$Y$150,"2022",Data!$K$3:$K$150,'Reporting 2022'!$B19)</f>
        <v>0</v>
      </c>
      <c r="T51" s="9">
        <f>SUMIFS(Data!$AD$3:$AD$150,Data!$X$3:$X$150,T$1,Data!$Y$3:$Y$150,"2022",Data!$K$3:$K$150,'Reporting 2022'!$B19)</f>
        <v>0</v>
      </c>
      <c r="U51" s="9">
        <f>SUMIFS(Data!$AD$3:$AD$150,Data!$X$3:$X$150,U$1,Data!$Y$3:$Y$150,"2022",Data!$K$3:$K$150,'Reporting 2022'!$B19)</f>
        <v>0</v>
      </c>
      <c r="V51" s="9">
        <f>SUMIFS(Data!$AD$3:$AD$150,Data!$X$3:$X$150,V$1,Data!$Y$3:$Y$150,"2022",Data!$K$3:$K$150,'Reporting 2022'!$B19)</f>
        <v>0</v>
      </c>
      <c r="W51" s="9">
        <f>SUMIFS(Data!$AD$3:$AD$150,Data!$X$3:$X$150,W$1,Data!$Y$3:$Y$150,"2022",Data!$K$3:$K$150,'Reporting 2022'!$B19)</f>
        <v>0</v>
      </c>
      <c r="X51" s="9">
        <f>SUMIFS(Data!$AD$3:$AD$150,Data!$X$3:$X$150,X$1,Data!$Y$3:$Y$150,"2022",Data!$K$3:$K$150,'Reporting 2022'!$B19)</f>
        <v>0</v>
      </c>
      <c r="Y51" s="9">
        <f>SUMIFS(Data!$AD$3:$AD$150,Data!$X$3:$X$150,Y$1,Data!$Y$3:$Y$150,"2022",Data!$K$3:$K$150,'Reporting 2022'!$B19)</f>
        <v>0</v>
      </c>
      <c r="Z51" s="9">
        <f>SUMIFS(Data!$AD$3:$AD$150,Data!$X$3:$X$150,Z$1,Data!$Y$3:$Y$150,"2022",Data!$K$3:$K$150,'Reporting 2022'!$B19)</f>
        <v>0</v>
      </c>
      <c r="AA51" s="9">
        <f>SUMIFS(Data!$AD$3:$AD$150,Data!$X$3:$X$150,AA$1,Data!$Y$3:$Y$150,"2022",Data!$K$3:$K$150,'Reporting 2022'!$B19)</f>
        <v>0</v>
      </c>
      <c r="AB51" s="9">
        <f>SUMIFS(Data!$AD$3:$AD$150,Data!$X$3:$X$150,AB$1,Data!$Y$3:$Y$150,"2022",Data!$K$3:$K$150,'Reporting 2022'!$B19)</f>
        <v>0</v>
      </c>
      <c r="AC51" s="9">
        <f>SUMIFS(Data!$AD$3:$AD$150,Data!$X$3:$X$150,AC$1,Data!$Y$3:$Y$150,"2022",Data!$K$3:$K$150,'Reporting 2022'!$B19)</f>
        <v>0</v>
      </c>
      <c r="AD51" s="9">
        <f>SUMIFS(Data!$AD$3:$AD$150,Data!$X$3:$X$150,AD$1,Data!$Y$3:$Y$150,"2022",Data!$K$3:$K$150,'Reporting 2022'!$B19)</f>
        <v>0</v>
      </c>
      <c r="AE51" s="9">
        <f>SUMIFS(Data!$AD$3:$AD$150,Data!$X$3:$X$150,AE$1,Data!$Y$3:$Y$150,"2022",Data!$K$3:$K$150,'Reporting 2022'!$B19)</f>
        <v>0</v>
      </c>
      <c r="AF51" s="9">
        <f>SUMIFS(Data!$AD$3:$AD$150,Data!$X$3:$X$150,AF$1,Data!$Y$3:$Y$150,"2022",Data!$K$3:$K$150,'Reporting 2022'!$B19)</f>
        <v>0</v>
      </c>
      <c r="AG51" s="9">
        <f>SUMIFS(Data!$AD$3:$AD$150,Data!$X$3:$X$150,AG$1,Data!$Y$3:$Y$150,"2022",Data!$K$3:$K$150,'Reporting 2022'!$B19)</f>
        <v>0</v>
      </c>
      <c r="AH51" s="9">
        <f>SUMIFS(Data!$AD$3:$AD$150,Data!$X$3:$X$150,AH$1,Data!$Y$3:$Y$150,"2022",Data!$K$3:$K$150,'Reporting 2022'!$B19)</f>
        <v>0</v>
      </c>
      <c r="AI51" s="9">
        <f>SUMIFS(Data!$AD$3:$AD$150,Data!$X$3:$X$150,AI$1,Data!$Y$3:$Y$150,"2022",Data!$K$3:$K$150,'Reporting 2022'!$B19)</f>
        <v>0</v>
      </c>
      <c r="AJ51" s="9">
        <f>SUMIFS(Data!$AD$3:$AD$150,Data!$X$3:$X$150,AJ$1,Data!$Y$3:$Y$150,"2022",Data!$K$3:$K$150,'Reporting 2022'!$B19)</f>
        <v>0</v>
      </c>
      <c r="AK51" s="9">
        <f>SUMIFS(Data!$AD$3:$AD$150,Data!$X$3:$X$150,AK$1,Data!$Y$3:$Y$150,"2022",Data!$K$3:$K$150,'Reporting 2022'!$B19)</f>
        <v>0</v>
      </c>
      <c r="AL51" s="9">
        <f>SUMIFS(Data!$AD$3:$AD$150,Data!$X$3:$X$150,AL$1,Data!$Y$3:$Y$150,"2022",Data!$K$3:$K$150,'Reporting 2022'!$B19)</f>
        <v>0</v>
      </c>
      <c r="AM51" s="9">
        <f>SUMIFS(Data!$AD$3:$AD$150,Data!$X$3:$X$150,AM$1,Data!$Y$3:$Y$150,"2022",Data!$K$3:$K$150,'Reporting 2022'!$B19)</f>
        <v>0</v>
      </c>
      <c r="AN51" s="9">
        <f>SUMIFS(Data!$AD$3:$AD$150,Data!$X$3:$X$150,AN$1,Data!$Y$3:$Y$150,"2022",Data!$K$3:$K$150,'Reporting 2022'!$B19)</f>
        <v>0</v>
      </c>
      <c r="AO51" s="9">
        <f>SUMIFS(Data!$AD$3:$AD$150,Data!$X$3:$X$150,AO$1,Data!$Y$3:$Y$150,"2022",Data!$K$3:$K$150,'Reporting 2022'!$B19)</f>
        <v>0</v>
      </c>
      <c r="AP51" s="9">
        <f>SUMIFS(Data!$AD$3:$AD$150,Data!$X$3:$X$150,AP$1,Data!$Y$3:$Y$150,"2022",Data!$K$3:$K$150,'Reporting 2022'!$B19)</f>
        <v>0</v>
      </c>
      <c r="AQ51" s="9">
        <f>SUMIFS(Data!$AD$3:$AD$150,Data!$X$3:$X$150,AQ$1,Data!$Y$3:$Y$150,"2022",Data!$K$3:$K$150,'Reporting 2022'!$B19)</f>
        <v>0</v>
      </c>
      <c r="AR51" s="9">
        <f>SUMIFS(Data!$AD$3:$AD$150,Data!$X$3:$X$150,AR$1,Data!$Y$3:$Y$150,"2022",Data!$K$3:$K$150,'Reporting 2022'!$B19)</f>
        <v>0</v>
      </c>
      <c r="AS51" s="9">
        <f>SUMIFS(Data!$AD$3:$AD$150,Data!$X$3:$X$150,AS$1,Data!$Y$3:$Y$150,"2022",Data!$K$3:$K$150,'Reporting 2022'!$B19)</f>
        <v>0</v>
      </c>
      <c r="AT51" s="9">
        <f>SUMIFS(Data!$AD$3:$AD$150,Data!$X$3:$X$150,AT$1,Data!$Y$3:$Y$150,"2022",Data!$K$3:$K$150,'Reporting 2022'!$B19)</f>
        <v>0</v>
      </c>
      <c r="AU51" s="9">
        <f>SUMIFS(Data!$AD$3:$AD$150,Data!$X$3:$X$150,AU$1,Data!$Y$3:$Y$150,"2022",Data!$K$3:$K$150,'Reporting 2022'!$B19)</f>
        <v>0</v>
      </c>
      <c r="AV51" s="9">
        <f>SUMIFS(Data!$AD$3:$AD$150,Data!$X$3:$X$150,AV$1,Data!$Y$3:$Y$150,"2022",Data!$K$3:$K$150,'Reporting 2022'!$B19)</f>
        <v>0</v>
      </c>
      <c r="AW51" s="9">
        <f>SUMIFS(Data!$AD$3:$AD$150,Data!$X$3:$X$150,AW$1,Data!$Y$3:$Y$150,"2022",Data!$K$3:$K$150,'Reporting 2022'!$B19)</f>
        <v>0</v>
      </c>
      <c r="AX51" s="9">
        <f>SUMIFS(Data!$AD$3:$AD$150,Data!$X$3:$X$150,AX$1,Data!$Y$3:$Y$150,"2022",Data!$K$3:$K$150,'Reporting 2022'!$B19)</f>
        <v>0</v>
      </c>
      <c r="AY51" s="9">
        <f>SUMIFS(Data!$AD$3:$AD$150,Data!$X$3:$X$150,AY$1,Data!$Y$3:$Y$150,"2022",Data!$K$3:$K$150,'Reporting 2022'!$B19)</f>
        <v>0</v>
      </c>
      <c r="AZ51" s="9">
        <f>SUMIFS(Data!$AD$3:$AD$150,Data!$X$3:$X$150,AZ$1,Data!$Y$3:$Y$150,"2022",Data!$K$3:$K$150,'Reporting 2022'!$B19)</f>
        <v>0</v>
      </c>
      <c r="BA51" s="9">
        <f>SUMIFS(Data!$AD$3:$AD$150,Data!$X$3:$X$150,BA$1,Data!$Y$3:$Y$150,"2022",Data!$K$3:$K$150,'Reporting 2022'!$B19)</f>
        <v>0</v>
      </c>
      <c r="BB51" s="9">
        <f>SUMIFS(Data!$AD$3:$AD$150,Data!$X$3:$X$150,BB$1,Data!$Y$3:$Y$150,"2022",Data!$K$3:$K$150,'Reporting 2022'!$B19)</f>
        <v>0</v>
      </c>
      <c r="BC51" s="3"/>
      <c r="BD51" s="3"/>
      <c r="BE51" s="3"/>
    </row>
    <row r="52" spans="1:57" ht="19.5" customHeight="1" x14ac:dyDescent="0.3">
      <c r="A52" s="3"/>
      <c r="B52" s="191" t="s">
        <v>475</v>
      </c>
      <c r="C52" s="9">
        <f>SUMIFS(Data!$AD$3:$AD$150,Data!$X$3:$X$150,C$1,Data!$Y$3:$Y$150,"2022",Data!$K$3:$K$150,'Reporting 2022'!$B20)</f>
        <v>0</v>
      </c>
      <c r="D52" s="9">
        <f>SUMIFS(Data!$AD$3:$AD$150,Data!$X$3:$X$150,D$1,Data!$Y$3:$Y$150,"2022",Data!$K$3:$K$150,'Reporting 2022'!$B20)</f>
        <v>0</v>
      </c>
      <c r="E52" s="9">
        <f>SUMIFS(Data!$AD$3:$AD$150,Data!$X$3:$X$150,E$1,Data!$Y$3:$Y$150,"2022",Data!$K$3:$K$150,'Reporting 2022'!$B20)</f>
        <v>0</v>
      </c>
      <c r="F52" s="9">
        <f>SUMIFS(Data!$AD$3:$AD$150,Data!$X$3:$X$150,F$1,Data!$Y$3:$Y$150,"2022",Data!$K$3:$K$150,'Reporting 2022'!$B20)</f>
        <v>0</v>
      </c>
      <c r="G52" s="9">
        <f>SUMIFS(Data!$AD$3:$AD$150,Data!$X$3:$X$150,G$1,Data!$Y$3:$Y$150,"2022",Data!$K$3:$K$150,'Reporting 2022'!$B20)</f>
        <v>0</v>
      </c>
      <c r="H52" s="9">
        <f>SUMIFS(Data!$AD$3:$AD$150,Data!$X$3:$X$150,H$1,Data!$Y$3:$Y$150,"2022",Data!$K$3:$K$150,'Reporting 2022'!$B20)</f>
        <v>0</v>
      </c>
      <c r="I52" s="9">
        <f>SUMIFS(Data!$AD$3:$AD$150,Data!$X$3:$X$150,I$1,Data!$Y$3:$Y$150,"2022",Data!$K$3:$K$150,'Reporting 2022'!$B20)</f>
        <v>0</v>
      </c>
      <c r="J52" s="9">
        <f>SUMIFS(Data!$AD$3:$AD$150,Data!$X$3:$X$150,J$1,Data!$Y$3:$Y$150,"2022",Data!$K$3:$K$150,'Reporting 2022'!$B20)</f>
        <v>0</v>
      </c>
      <c r="K52" s="9">
        <f>SUMIFS(Data!$AD$3:$AD$150,Data!$X$3:$X$150,K$1,Data!$Y$3:$Y$150,"2022",Data!$K$3:$K$150,'Reporting 2022'!$B20)</f>
        <v>0</v>
      </c>
      <c r="L52" s="9">
        <f>SUMIFS(Data!$AD$3:$AD$150,Data!$X$3:$X$150,L$1,Data!$Y$3:$Y$150,"2022",Data!$K$3:$K$150,'Reporting 2022'!$B20)</f>
        <v>0</v>
      </c>
      <c r="M52" s="9">
        <f>SUMIFS(Data!$AD$3:$AD$150,Data!$X$3:$X$150,M$1,Data!$Y$3:$Y$150,"2022",Data!$K$3:$K$150,'Reporting 2022'!$B20)</f>
        <v>0</v>
      </c>
      <c r="N52" s="9">
        <f>SUMIFS(Data!$AD$3:$AD$150,Data!$X$3:$X$150,N$1,Data!$Y$3:$Y$150,"2022",Data!$K$3:$K$150,'Reporting 2022'!$B20)</f>
        <v>0</v>
      </c>
      <c r="O52" s="9">
        <f>SUMIFS(Data!$AD$3:$AD$150,Data!$X$3:$X$150,O$1,Data!$Y$3:$Y$150,"2022",Data!$K$3:$K$150,'Reporting 2022'!$B20)</f>
        <v>0</v>
      </c>
      <c r="P52" s="9">
        <f>SUMIFS(Data!$AD$3:$AD$150,Data!$X$3:$X$150,P$1,Data!$Y$3:$Y$150,"2022",Data!$K$3:$K$150,'Reporting 2022'!$B20)</f>
        <v>0</v>
      </c>
      <c r="Q52" s="9">
        <f>SUMIFS(Data!$AD$3:$AD$150,Data!$X$3:$X$150,Q$1,Data!$Y$3:$Y$150,"2022",Data!$K$3:$K$150,'Reporting 2022'!$B20)</f>
        <v>0</v>
      </c>
      <c r="R52" s="9">
        <f>SUMIFS(Data!$AD$3:$AD$150,Data!$X$3:$X$150,R$1,Data!$Y$3:$Y$150,"2022",Data!$K$3:$K$150,'Reporting 2022'!$B20)</f>
        <v>0</v>
      </c>
      <c r="S52" s="9">
        <f>SUMIFS(Data!$AD$3:$AD$150,Data!$X$3:$X$150,S$1,Data!$Y$3:$Y$150,"2022",Data!$K$3:$K$150,'Reporting 2022'!$B20)</f>
        <v>0</v>
      </c>
      <c r="T52" s="9">
        <f>SUMIFS(Data!$AD$3:$AD$150,Data!$X$3:$X$150,T$1,Data!$Y$3:$Y$150,"2022",Data!$K$3:$K$150,'Reporting 2022'!$B20)</f>
        <v>0</v>
      </c>
      <c r="U52" s="9">
        <f>SUMIFS(Data!$AD$3:$AD$150,Data!$X$3:$X$150,U$1,Data!$Y$3:$Y$150,"2022",Data!$K$3:$K$150,'Reporting 2022'!$B20)</f>
        <v>0</v>
      </c>
      <c r="V52" s="9">
        <f>SUMIFS(Data!$AD$3:$AD$150,Data!$X$3:$X$150,V$1,Data!$Y$3:$Y$150,"2022",Data!$K$3:$K$150,'Reporting 2022'!$B20)</f>
        <v>0</v>
      </c>
      <c r="W52" s="9">
        <f>SUMIFS(Data!$AD$3:$AD$150,Data!$X$3:$X$150,W$1,Data!$Y$3:$Y$150,"2022",Data!$K$3:$K$150,'Reporting 2022'!$B20)</f>
        <v>0</v>
      </c>
      <c r="X52" s="9">
        <f>SUMIFS(Data!$AD$3:$AD$150,Data!$X$3:$X$150,X$1,Data!$Y$3:$Y$150,"2022",Data!$K$3:$K$150,'Reporting 2022'!$B20)</f>
        <v>0</v>
      </c>
      <c r="Y52" s="9">
        <f>SUMIFS(Data!$AD$3:$AD$150,Data!$X$3:$X$150,Y$1,Data!$Y$3:$Y$150,"2022",Data!$K$3:$K$150,'Reporting 2022'!$B20)</f>
        <v>0</v>
      </c>
      <c r="Z52" s="9">
        <f>SUMIFS(Data!$AD$3:$AD$150,Data!$X$3:$X$150,Z$1,Data!$Y$3:$Y$150,"2022",Data!$K$3:$K$150,'Reporting 2022'!$B20)</f>
        <v>0</v>
      </c>
      <c r="AA52" s="9">
        <f>SUMIFS(Data!$AD$3:$AD$150,Data!$X$3:$X$150,AA$1,Data!$Y$3:$Y$150,"2022",Data!$K$3:$K$150,'Reporting 2022'!$B20)</f>
        <v>0</v>
      </c>
      <c r="AB52" s="9">
        <f>SUMIFS(Data!$AD$3:$AD$150,Data!$X$3:$X$150,AB$1,Data!$Y$3:$Y$150,"2022",Data!$K$3:$K$150,'Reporting 2022'!$B20)</f>
        <v>0</v>
      </c>
      <c r="AC52" s="9">
        <f>SUMIFS(Data!$AD$3:$AD$150,Data!$X$3:$X$150,AC$1,Data!$Y$3:$Y$150,"2022",Data!$K$3:$K$150,'Reporting 2022'!$B20)</f>
        <v>0</v>
      </c>
      <c r="AD52" s="9">
        <f>SUMIFS(Data!$AD$3:$AD$150,Data!$X$3:$X$150,AD$1,Data!$Y$3:$Y$150,"2022",Data!$K$3:$K$150,'Reporting 2022'!$B20)</f>
        <v>0</v>
      </c>
      <c r="AE52" s="9">
        <f>SUMIFS(Data!$AD$3:$AD$150,Data!$X$3:$X$150,AE$1,Data!$Y$3:$Y$150,"2022",Data!$K$3:$K$150,'Reporting 2022'!$B20)</f>
        <v>0</v>
      </c>
      <c r="AF52" s="9">
        <f>SUMIFS(Data!$AD$3:$AD$150,Data!$X$3:$X$150,AF$1,Data!$Y$3:$Y$150,"2022",Data!$K$3:$K$150,'Reporting 2022'!$B20)</f>
        <v>0</v>
      </c>
      <c r="AG52" s="9">
        <f>SUMIFS(Data!$AD$3:$AD$150,Data!$X$3:$X$150,AG$1,Data!$Y$3:$Y$150,"2022",Data!$K$3:$K$150,'Reporting 2022'!$B20)</f>
        <v>0</v>
      </c>
      <c r="AH52" s="9">
        <f>SUMIFS(Data!$AD$3:$AD$150,Data!$X$3:$X$150,AH$1,Data!$Y$3:$Y$150,"2022",Data!$K$3:$K$150,'Reporting 2022'!$B20)</f>
        <v>0</v>
      </c>
      <c r="AI52" s="9">
        <f>SUMIFS(Data!$AD$3:$AD$150,Data!$X$3:$X$150,AI$1,Data!$Y$3:$Y$150,"2022",Data!$K$3:$K$150,'Reporting 2022'!$B20)</f>
        <v>0</v>
      </c>
      <c r="AJ52" s="9">
        <f>SUMIFS(Data!$AD$3:$AD$150,Data!$X$3:$X$150,AJ$1,Data!$Y$3:$Y$150,"2022",Data!$K$3:$K$150,'Reporting 2022'!$B20)</f>
        <v>0</v>
      </c>
      <c r="AK52" s="9">
        <f>SUMIFS(Data!$AD$3:$AD$150,Data!$X$3:$X$150,AK$1,Data!$Y$3:$Y$150,"2022",Data!$K$3:$K$150,'Reporting 2022'!$B20)</f>
        <v>0</v>
      </c>
      <c r="AL52" s="9">
        <f>SUMIFS(Data!$AD$3:$AD$150,Data!$X$3:$X$150,AL$1,Data!$Y$3:$Y$150,"2022",Data!$K$3:$K$150,'Reporting 2022'!$B20)</f>
        <v>0</v>
      </c>
      <c r="AM52" s="9">
        <f>SUMIFS(Data!$AD$3:$AD$150,Data!$X$3:$X$150,AM$1,Data!$Y$3:$Y$150,"2022",Data!$K$3:$K$150,'Reporting 2022'!$B20)</f>
        <v>0</v>
      </c>
      <c r="AN52" s="9">
        <f>SUMIFS(Data!$AD$3:$AD$150,Data!$X$3:$X$150,AN$1,Data!$Y$3:$Y$150,"2022",Data!$K$3:$K$150,'Reporting 2022'!$B20)</f>
        <v>0</v>
      </c>
      <c r="AO52" s="9">
        <f>SUMIFS(Data!$AD$3:$AD$150,Data!$X$3:$X$150,AO$1,Data!$Y$3:$Y$150,"2022",Data!$K$3:$K$150,'Reporting 2022'!$B20)</f>
        <v>0</v>
      </c>
      <c r="AP52" s="9">
        <f>SUMIFS(Data!$AD$3:$AD$150,Data!$X$3:$X$150,AP$1,Data!$Y$3:$Y$150,"2022",Data!$K$3:$K$150,'Reporting 2022'!$B20)</f>
        <v>0</v>
      </c>
      <c r="AQ52" s="9">
        <f>SUMIFS(Data!$AD$3:$AD$150,Data!$X$3:$X$150,AQ$1,Data!$Y$3:$Y$150,"2022",Data!$K$3:$K$150,'Reporting 2022'!$B20)</f>
        <v>0</v>
      </c>
      <c r="AR52" s="9">
        <f>SUMIFS(Data!$AD$3:$AD$150,Data!$X$3:$X$150,AR$1,Data!$Y$3:$Y$150,"2022",Data!$K$3:$K$150,'Reporting 2022'!$B20)</f>
        <v>0</v>
      </c>
      <c r="AS52" s="9">
        <f>SUMIFS(Data!$AD$3:$AD$150,Data!$X$3:$X$150,AS$1,Data!$Y$3:$Y$150,"2022",Data!$K$3:$K$150,'Reporting 2022'!$B20)</f>
        <v>0</v>
      </c>
      <c r="AT52" s="9">
        <f>SUMIFS(Data!$AD$3:$AD$150,Data!$X$3:$X$150,AT$1,Data!$Y$3:$Y$150,"2022",Data!$K$3:$K$150,'Reporting 2022'!$B20)</f>
        <v>0</v>
      </c>
      <c r="AU52" s="9">
        <f>SUMIFS(Data!$AD$3:$AD$150,Data!$X$3:$X$150,AU$1,Data!$Y$3:$Y$150,"2022",Data!$K$3:$K$150,'Reporting 2022'!$B20)</f>
        <v>0</v>
      </c>
      <c r="AV52" s="9">
        <f>SUMIFS(Data!$AD$3:$AD$150,Data!$X$3:$X$150,AV$1,Data!$Y$3:$Y$150,"2022",Data!$K$3:$K$150,'Reporting 2022'!$B20)</f>
        <v>0</v>
      </c>
      <c r="AW52" s="9">
        <f>SUMIFS(Data!$AD$3:$AD$150,Data!$X$3:$X$150,AW$1,Data!$Y$3:$Y$150,"2022",Data!$K$3:$K$150,'Reporting 2022'!$B20)</f>
        <v>0</v>
      </c>
      <c r="AX52" s="9">
        <f>SUMIFS(Data!$AD$3:$AD$150,Data!$X$3:$X$150,AX$1,Data!$Y$3:$Y$150,"2022",Data!$K$3:$K$150,'Reporting 2022'!$B20)</f>
        <v>0</v>
      </c>
      <c r="AY52" s="9">
        <f>SUMIFS(Data!$AD$3:$AD$150,Data!$X$3:$X$150,AY$1,Data!$Y$3:$Y$150,"2022",Data!$K$3:$K$150,'Reporting 2022'!$B20)</f>
        <v>0</v>
      </c>
      <c r="AZ52" s="9">
        <f>SUMIFS(Data!$AD$3:$AD$150,Data!$X$3:$X$150,AZ$1,Data!$Y$3:$Y$150,"2022",Data!$K$3:$K$150,'Reporting 2022'!$B20)</f>
        <v>0</v>
      </c>
      <c r="BA52" s="9">
        <f>SUMIFS(Data!$AD$3:$AD$150,Data!$X$3:$X$150,BA$1,Data!$Y$3:$Y$150,"2022",Data!$K$3:$K$150,'Reporting 2022'!$B20)</f>
        <v>0</v>
      </c>
      <c r="BB52" s="9">
        <f>SUMIFS(Data!$AD$3:$AD$150,Data!$X$3:$X$150,BB$1,Data!$Y$3:$Y$150,"2022",Data!$K$3:$K$150,'Reporting 2022'!$B20)</f>
        <v>0</v>
      </c>
      <c r="BC52" s="3"/>
      <c r="BD52" s="3"/>
      <c r="BE52" s="3"/>
    </row>
    <row r="53" spans="1:57" ht="19.5" customHeight="1" x14ac:dyDescent="0.3">
      <c r="A53" s="3"/>
      <c r="B53" s="191" t="s">
        <v>476</v>
      </c>
      <c r="C53" s="9">
        <f>SUMIFS(Data!$AD$3:$AD$150,Data!$X$3:$X$150,C$1,Data!$Y$3:$Y$150,"2022",Data!$K$3:$K$150,'Reporting 2022'!$B21)</f>
        <v>0</v>
      </c>
      <c r="D53" s="9">
        <f>SUMIFS(Data!$AD$3:$AD$150,Data!$X$3:$X$150,D$1,Data!$Y$3:$Y$150,"2022",Data!$K$3:$K$150,'Reporting 2022'!$B21)</f>
        <v>0</v>
      </c>
      <c r="E53" s="9">
        <f>SUMIFS(Data!$AD$3:$AD$150,Data!$X$3:$X$150,E$1,Data!$Y$3:$Y$150,"2022",Data!$K$3:$K$150,'Reporting 2022'!$B21)</f>
        <v>0</v>
      </c>
      <c r="F53" s="9">
        <f>SUMIFS(Data!$AD$3:$AD$150,Data!$X$3:$X$150,F$1,Data!$Y$3:$Y$150,"2022",Data!$K$3:$K$150,'Reporting 2022'!$B21)</f>
        <v>0</v>
      </c>
      <c r="G53" s="9">
        <f>SUMIFS(Data!$AD$3:$AD$150,Data!$X$3:$X$150,G$1,Data!$Y$3:$Y$150,"2022",Data!$K$3:$K$150,'Reporting 2022'!$B21)</f>
        <v>0</v>
      </c>
      <c r="H53" s="9">
        <f>SUMIFS(Data!$AD$3:$AD$150,Data!$X$3:$X$150,H$1,Data!$Y$3:$Y$150,"2022",Data!$K$3:$K$150,'Reporting 2022'!$B21)</f>
        <v>0</v>
      </c>
      <c r="I53" s="9">
        <f>SUMIFS(Data!$AD$3:$AD$150,Data!$X$3:$X$150,I$1,Data!$Y$3:$Y$150,"2022",Data!$K$3:$K$150,'Reporting 2022'!$B21)</f>
        <v>0</v>
      </c>
      <c r="J53" s="9">
        <f>SUMIFS(Data!$AD$3:$AD$150,Data!$X$3:$X$150,J$1,Data!$Y$3:$Y$150,"2022",Data!$K$3:$K$150,'Reporting 2022'!$B21)</f>
        <v>0</v>
      </c>
      <c r="K53" s="9">
        <f>SUMIFS(Data!$AD$3:$AD$150,Data!$X$3:$X$150,K$1,Data!$Y$3:$Y$150,"2022",Data!$K$3:$K$150,'Reporting 2022'!$B21)</f>
        <v>0</v>
      </c>
      <c r="L53" s="9">
        <f>SUMIFS(Data!$AD$3:$AD$150,Data!$X$3:$X$150,L$1,Data!$Y$3:$Y$150,"2022",Data!$K$3:$K$150,'Reporting 2022'!$B21)</f>
        <v>0</v>
      </c>
      <c r="M53" s="9">
        <f>SUMIFS(Data!$AD$3:$AD$150,Data!$X$3:$X$150,M$1,Data!$Y$3:$Y$150,"2022",Data!$K$3:$K$150,'Reporting 2022'!$B21)</f>
        <v>0</v>
      </c>
      <c r="N53" s="9">
        <f>SUMIFS(Data!$AD$3:$AD$150,Data!$X$3:$X$150,N$1,Data!$Y$3:$Y$150,"2022",Data!$K$3:$K$150,'Reporting 2022'!$B21)</f>
        <v>0</v>
      </c>
      <c r="O53" s="9">
        <f>SUMIFS(Data!$AD$3:$AD$150,Data!$X$3:$X$150,O$1,Data!$Y$3:$Y$150,"2022",Data!$K$3:$K$150,'Reporting 2022'!$B21)</f>
        <v>0</v>
      </c>
      <c r="P53" s="9">
        <f>SUMIFS(Data!$AD$3:$AD$150,Data!$X$3:$X$150,P$1,Data!$Y$3:$Y$150,"2022",Data!$K$3:$K$150,'Reporting 2022'!$B21)</f>
        <v>0</v>
      </c>
      <c r="Q53" s="9">
        <f>SUMIFS(Data!$AD$3:$AD$150,Data!$X$3:$X$150,Q$1,Data!$Y$3:$Y$150,"2022",Data!$K$3:$K$150,'Reporting 2022'!$B21)</f>
        <v>0</v>
      </c>
      <c r="R53" s="9">
        <f>SUMIFS(Data!$AD$3:$AD$150,Data!$X$3:$X$150,R$1,Data!$Y$3:$Y$150,"2022",Data!$K$3:$K$150,'Reporting 2022'!$B21)</f>
        <v>0</v>
      </c>
      <c r="S53" s="9">
        <f>SUMIFS(Data!$AD$3:$AD$150,Data!$X$3:$X$150,S$1,Data!$Y$3:$Y$150,"2022",Data!$K$3:$K$150,'Reporting 2022'!$B21)</f>
        <v>0</v>
      </c>
      <c r="T53" s="9">
        <f>SUMIFS(Data!$AD$3:$AD$150,Data!$X$3:$X$150,T$1,Data!$Y$3:$Y$150,"2022",Data!$K$3:$K$150,'Reporting 2022'!$B21)</f>
        <v>0</v>
      </c>
      <c r="U53" s="9">
        <f>SUMIFS(Data!$AD$3:$AD$150,Data!$X$3:$X$150,U$1,Data!$Y$3:$Y$150,"2022",Data!$K$3:$K$150,'Reporting 2022'!$B21)</f>
        <v>0</v>
      </c>
      <c r="V53" s="9">
        <f>SUMIFS(Data!$AD$3:$AD$150,Data!$X$3:$X$150,V$1,Data!$Y$3:$Y$150,"2022",Data!$K$3:$K$150,'Reporting 2022'!$B21)</f>
        <v>0</v>
      </c>
      <c r="W53" s="9">
        <f>SUMIFS(Data!$AD$3:$AD$150,Data!$X$3:$X$150,W$1,Data!$Y$3:$Y$150,"2022",Data!$K$3:$K$150,'Reporting 2022'!$B21)</f>
        <v>0</v>
      </c>
      <c r="X53" s="9">
        <f>SUMIFS(Data!$AD$3:$AD$150,Data!$X$3:$X$150,X$1,Data!$Y$3:$Y$150,"2022",Data!$K$3:$K$150,'Reporting 2022'!$B21)</f>
        <v>0</v>
      </c>
      <c r="Y53" s="9">
        <f>SUMIFS(Data!$AD$3:$AD$150,Data!$X$3:$X$150,Y$1,Data!$Y$3:$Y$150,"2022",Data!$K$3:$K$150,'Reporting 2022'!$B21)</f>
        <v>0</v>
      </c>
      <c r="Z53" s="9">
        <f>SUMIFS(Data!$AD$3:$AD$150,Data!$X$3:$X$150,Z$1,Data!$Y$3:$Y$150,"2022",Data!$K$3:$K$150,'Reporting 2022'!$B21)</f>
        <v>0</v>
      </c>
      <c r="AA53" s="9">
        <f>SUMIFS(Data!$AD$3:$AD$150,Data!$X$3:$X$150,AA$1,Data!$Y$3:$Y$150,"2022",Data!$K$3:$K$150,'Reporting 2022'!$B21)</f>
        <v>0</v>
      </c>
      <c r="AB53" s="9">
        <f>SUMIFS(Data!$AD$3:$AD$150,Data!$X$3:$X$150,AB$1,Data!$Y$3:$Y$150,"2022",Data!$K$3:$K$150,'Reporting 2022'!$B21)</f>
        <v>0</v>
      </c>
      <c r="AC53" s="9">
        <f>SUMIFS(Data!$AD$3:$AD$150,Data!$X$3:$X$150,AC$1,Data!$Y$3:$Y$150,"2022",Data!$K$3:$K$150,'Reporting 2022'!$B21)</f>
        <v>0</v>
      </c>
      <c r="AD53" s="9">
        <f>SUMIFS(Data!$AD$3:$AD$150,Data!$X$3:$X$150,AD$1,Data!$Y$3:$Y$150,"2022",Data!$K$3:$K$150,'Reporting 2022'!$B21)</f>
        <v>0</v>
      </c>
      <c r="AE53" s="9">
        <f>SUMIFS(Data!$AD$3:$AD$150,Data!$X$3:$X$150,AE$1,Data!$Y$3:$Y$150,"2022",Data!$K$3:$K$150,'Reporting 2022'!$B21)</f>
        <v>0</v>
      </c>
      <c r="AF53" s="9">
        <f>SUMIFS(Data!$AD$3:$AD$150,Data!$X$3:$X$150,AF$1,Data!$Y$3:$Y$150,"2022",Data!$K$3:$K$150,'Reporting 2022'!$B21)</f>
        <v>0</v>
      </c>
      <c r="AG53" s="9">
        <f>SUMIFS(Data!$AD$3:$AD$150,Data!$X$3:$X$150,AG$1,Data!$Y$3:$Y$150,"2022",Data!$K$3:$K$150,'Reporting 2022'!$B21)</f>
        <v>0</v>
      </c>
      <c r="AH53" s="9">
        <f>SUMIFS(Data!$AD$3:$AD$150,Data!$X$3:$X$150,AH$1,Data!$Y$3:$Y$150,"2022",Data!$K$3:$K$150,'Reporting 2022'!$B21)</f>
        <v>0</v>
      </c>
      <c r="AI53" s="9">
        <f>SUMIFS(Data!$AD$3:$AD$150,Data!$X$3:$X$150,AI$1,Data!$Y$3:$Y$150,"2022",Data!$K$3:$K$150,'Reporting 2022'!$B21)</f>
        <v>0</v>
      </c>
      <c r="AJ53" s="9">
        <f>SUMIFS(Data!$AD$3:$AD$150,Data!$X$3:$X$150,AJ$1,Data!$Y$3:$Y$150,"2022",Data!$K$3:$K$150,'Reporting 2022'!$B21)</f>
        <v>0</v>
      </c>
      <c r="AK53" s="9">
        <f>SUMIFS(Data!$AD$3:$AD$150,Data!$X$3:$X$150,AK$1,Data!$Y$3:$Y$150,"2022",Data!$K$3:$K$150,'Reporting 2022'!$B21)</f>
        <v>0</v>
      </c>
      <c r="AL53" s="9">
        <f>SUMIFS(Data!$AD$3:$AD$150,Data!$X$3:$X$150,AL$1,Data!$Y$3:$Y$150,"2022",Data!$K$3:$K$150,'Reporting 2022'!$B21)</f>
        <v>0</v>
      </c>
      <c r="AM53" s="9">
        <f>SUMIFS(Data!$AD$3:$AD$150,Data!$X$3:$X$150,AM$1,Data!$Y$3:$Y$150,"2022",Data!$K$3:$K$150,'Reporting 2022'!$B21)</f>
        <v>0</v>
      </c>
      <c r="AN53" s="9">
        <f>SUMIFS(Data!$AD$3:$AD$150,Data!$X$3:$X$150,AN$1,Data!$Y$3:$Y$150,"2022",Data!$K$3:$K$150,'Reporting 2022'!$B21)</f>
        <v>0</v>
      </c>
      <c r="AO53" s="9">
        <f>SUMIFS(Data!$AD$3:$AD$150,Data!$X$3:$X$150,AO$1,Data!$Y$3:$Y$150,"2022",Data!$K$3:$K$150,'Reporting 2022'!$B21)</f>
        <v>0</v>
      </c>
      <c r="AP53" s="9">
        <f>SUMIFS(Data!$AD$3:$AD$150,Data!$X$3:$X$150,AP$1,Data!$Y$3:$Y$150,"2022",Data!$K$3:$K$150,'Reporting 2022'!$B21)</f>
        <v>0</v>
      </c>
      <c r="AQ53" s="9">
        <f>SUMIFS(Data!$AD$3:$AD$150,Data!$X$3:$X$150,AQ$1,Data!$Y$3:$Y$150,"2022",Data!$K$3:$K$150,'Reporting 2022'!$B21)</f>
        <v>0</v>
      </c>
      <c r="AR53" s="9">
        <f>SUMIFS(Data!$AD$3:$AD$150,Data!$X$3:$X$150,AR$1,Data!$Y$3:$Y$150,"2022",Data!$K$3:$K$150,'Reporting 2022'!$B21)</f>
        <v>0</v>
      </c>
      <c r="AS53" s="9">
        <f>SUMIFS(Data!$AD$3:$AD$150,Data!$X$3:$X$150,AS$1,Data!$Y$3:$Y$150,"2022",Data!$K$3:$K$150,'Reporting 2022'!$B21)</f>
        <v>0</v>
      </c>
      <c r="AT53" s="9">
        <f>SUMIFS(Data!$AD$3:$AD$150,Data!$X$3:$X$150,AT$1,Data!$Y$3:$Y$150,"2022",Data!$K$3:$K$150,'Reporting 2022'!$B21)</f>
        <v>0</v>
      </c>
      <c r="AU53" s="9">
        <f>SUMIFS(Data!$AD$3:$AD$150,Data!$X$3:$X$150,AU$1,Data!$Y$3:$Y$150,"2022",Data!$K$3:$K$150,'Reporting 2022'!$B21)</f>
        <v>0</v>
      </c>
      <c r="AV53" s="9">
        <f>SUMIFS(Data!$AD$3:$AD$150,Data!$X$3:$X$150,AV$1,Data!$Y$3:$Y$150,"2022",Data!$K$3:$K$150,'Reporting 2022'!$B21)</f>
        <v>0</v>
      </c>
      <c r="AW53" s="9">
        <f>SUMIFS(Data!$AD$3:$AD$150,Data!$X$3:$X$150,AW$1,Data!$Y$3:$Y$150,"2022",Data!$K$3:$K$150,'Reporting 2022'!$B21)</f>
        <v>0</v>
      </c>
      <c r="AX53" s="9">
        <f>SUMIFS(Data!$AD$3:$AD$150,Data!$X$3:$X$150,AX$1,Data!$Y$3:$Y$150,"2022",Data!$K$3:$K$150,'Reporting 2022'!$B21)</f>
        <v>0</v>
      </c>
      <c r="AY53" s="9">
        <f>SUMIFS(Data!$AD$3:$AD$150,Data!$X$3:$X$150,AY$1,Data!$Y$3:$Y$150,"2022",Data!$K$3:$K$150,'Reporting 2022'!$B21)</f>
        <v>0</v>
      </c>
      <c r="AZ53" s="9">
        <f>SUMIFS(Data!$AD$3:$AD$150,Data!$X$3:$X$150,AZ$1,Data!$Y$3:$Y$150,"2022",Data!$K$3:$K$150,'Reporting 2022'!$B21)</f>
        <v>0</v>
      </c>
      <c r="BA53" s="9">
        <f>SUMIFS(Data!$AD$3:$AD$150,Data!$X$3:$X$150,BA$1,Data!$Y$3:$Y$150,"2022",Data!$K$3:$K$150,'Reporting 2022'!$B21)</f>
        <v>0</v>
      </c>
      <c r="BB53" s="9">
        <f>SUMIFS(Data!$AD$3:$AD$150,Data!$X$3:$X$150,BB$1,Data!$Y$3:$Y$150,"2022",Data!$K$3:$K$150,'Reporting 2022'!$B21)</f>
        <v>0</v>
      </c>
      <c r="BC53" s="3"/>
      <c r="BD53" s="3"/>
      <c r="BE53" s="3"/>
    </row>
    <row r="54" spans="1:57" ht="19.5" customHeight="1" x14ac:dyDescent="0.3">
      <c r="A54" s="3"/>
      <c r="B54" s="191" t="s">
        <v>477</v>
      </c>
      <c r="C54" s="9">
        <f>SUMIFS(Data!$AD$3:$AD$150,Data!$X$3:$X$150,C$1,Data!$Y$3:$Y$150,"2022",Data!$K$3:$K$150,'Reporting 2022'!$B22)</f>
        <v>0</v>
      </c>
      <c r="D54" s="9">
        <f>SUMIFS(Data!$AD$3:$AD$150,Data!$X$3:$X$150,D$1,Data!$Y$3:$Y$150,"2022",Data!$K$3:$K$150,'Reporting 2022'!$B22)</f>
        <v>0</v>
      </c>
      <c r="E54" s="9">
        <f>SUMIFS(Data!$AD$3:$AD$150,Data!$X$3:$X$150,E$1,Data!$Y$3:$Y$150,"2022",Data!$K$3:$K$150,'Reporting 2022'!$B22)</f>
        <v>0</v>
      </c>
      <c r="F54" s="9">
        <f>SUMIFS(Data!$AD$3:$AD$150,Data!$X$3:$X$150,F$1,Data!$Y$3:$Y$150,"2022",Data!$K$3:$K$150,'Reporting 2022'!$B22)</f>
        <v>0</v>
      </c>
      <c r="G54" s="9">
        <f>SUMIFS(Data!$AD$3:$AD$150,Data!$X$3:$X$150,G$1,Data!$Y$3:$Y$150,"2022",Data!$K$3:$K$150,'Reporting 2022'!$B22)</f>
        <v>0</v>
      </c>
      <c r="H54" s="9">
        <f>SUMIFS(Data!$AD$3:$AD$150,Data!$X$3:$X$150,H$1,Data!$Y$3:$Y$150,"2022",Data!$K$3:$K$150,'Reporting 2022'!$B22)</f>
        <v>0</v>
      </c>
      <c r="I54" s="9">
        <f>SUMIFS(Data!$AD$3:$AD$150,Data!$X$3:$X$150,I$1,Data!$Y$3:$Y$150,"2022",Data!$K$3:$K$150,'Reporting 2022'!$B22)</f>
        <v>0</v>
      </c>
      <c r="J54" s="9">
        <f>SUMIFS(Data!$AD$3:$AD$150,Data!$X$3:$X$150,J$1,Data!$Y$3:$Y$150,"2022",Data!$K$3:$K$150,'Reporting 2022'!$B22)</f>
        <v>0</v>
      </c>
      <c r="K54" s="9">
        <f>SUMIFS(Data!$AD$3:$AD$150,Data!$X$3:$X$150,K$1,Data!$Y$3:$Y$150,"2022",Data!$K$3:$K$150,'Reporting 2022'!$B22)</f>
        <v>0</v>
      </c>
      <c r="L54" s="9">
        <f>SUMIFS(Data!$AD$3:$AD$150,Data!$X$3:$X$150,L$1,Data!$Y$3:$Y$150,"2022",Data!$K$3:$K$150,'Reporting 2022'!$B22)</f>
        <v>0</v>
      </c>
      <c r="M54" s="9">
        <f>SUMIFS(Data!$AD$3:$AD$150,Data!$X$3:$X$150,M$1,Data!$Y$3:$Y$150,"2022",Data!$K$3:$K$150,'Reporting 2022'!$B22)</f>
        <v>0</v>
      </c>
      <c r="N54" s="9">
        <f>SUMIFS(Data!$AD$3:$AD$150,Data!$X$3:$X$150,N$1,Data!$Y$3:$Y$150,"2022",Data!$K$3:$K$150,'Reporting 2022'!$B22)</f>
        <v>0</v>
      </c>
      <c r="O54" s="9">
        <f>SUMIFS(Data!$AD$3:$AD$150,Data!$X$3:$X$150,O$1,Data!$Y$3:$Y$150,"2022",Data!$K$3:$K$150,'Reporting 2022'!$B22)</f>
        <v>0</v>
      </c>
      <c r="P54" s="9">
        <f>SUMIFS(Data!$AD$3:$AD$150,Data!$X$3:$X$150,P$1,Data!$Y$3:$Y$150,"2022",Data!$K$3:$K$150,'Reporting 2022'!$B22)</f>
        <v>0</v>
      </c>
      <c r="Q54" s="9">
        <f>SUMIFS(Data!$AD$3:$AD$150,Data!$X$3:$X$150,Q$1,Data!$Y$3:$Y$150,"2022",Data!$K$3:$K$150,'Reporting 2022'!$B22)</f>
        <v>0</v>
      </c>
      <c r="R54" s="9">
        <f>SUMIFS(Data!$AD$3:$AD$150,Data!$X$3:$X$150,R$1,Data!$Y$3:$Y$150,"2022",Data!$K$3:$K$150,'Reporting 2022'!$B22)</f>
        <v>0</v>
      </c>
      <c r="S54" s="9">
        <f>SUMIFS(Data!$AD$3:$AD$150,Data!$X$3:$X$150,S$1,Data!$Y$3:$Y$150,"2022",Data!$K$3:$K$150,'Reporting 2022'!$B22)</f>
        <v>0</v>
      </c>
      <c r="T54" s="9">
        <f>SUMIFS(Data!$AD$3:$AD$150,Data!$X$3:$X$150,T$1,Data!$Y$3:$Y$150,"2022",Data!$K$3:$K$150,'Reporting 2022'!$B22)</f>
        <v>0</v>
      </c>
      <c r="U54" s="9">
        <f>SUMIFS(Data!$AD$3:$AD$150,Data!$X$3:$X$150,U$1,Data!$Y$3:$Y$150,"2022",Data!$K$3:$K$150,'Reporting 2022'!$B22)</f>
        <v>0</v>
      </c>
      <c r="V54" s="9">
        <f>SUMIFS(Data!$AD$3:$AD$150,Data!$X$3:$X$150,V$1,Data!$Y$3:$Y$150,"2022",Data!$K$3:$K$150,'Reporting 2022'!$B22)</f>
        <v>0</v>
      </c>
      <c r="W54" s="9">
        <f>SUMIFS(Data!$AD$3:$AD$150,Data!$X$3:$X$150,W$1,Data!$Y$3:$Y$150,"2022",Data!$K$3:$K$150,'Reporting 2022'!$B22)</f>
        <v>0</v>
      </c>
      <c r="X54" s="9">
        <f>SUMIFS(Data!$AD$3:$AD$150,Data!$X$3:$X$150,X$1,Data!$Y$3:$Y$150,"2022",Data!$K$3:$K$150,'Reporting 2022'!$B22)</f>
        <v>0</v>
      </c>
      <c r="Y54" s="9">
        <f>SUMIFS(Data!$AD$3:$AD$150,Data!$X$3:$X$150,Y$1,Data!$Y$3:$Y$150,"2022",Data!$K$3:$K$150,'Reporting 2022'!$B22)</f>
        <v>0</v>
      </c>
      <c r="Z54" s="9">
        <f>SUMIFS(Data!$AD$3:$AD$150,Data!$X$3:$X$150,Z$1,Data!$Y$3:$Y$150,"2022",Data!$K$3:$K$150,'Reporting 2022'!$B22)</f>
        <v>0</v>
      </c>
      <c r="AA54" s="9">
        <f>SUMIFS(Data!$AD$3:$AD$150,Data!$X$3:$X$150,AA$1,Data!$Y$3:$Y$150,"2022",Data!$K$3:$K$150,'Reporting 2022'!$B22)</f>
        <v>0</v>
      </c>
      <c r="AB54" s="9">
        <f>SUMIFS(Data!$AD$3:$AD$150,Data!$X$3:$X$150,AB$1,Data!$Y$3:$Y$150,"2022",Data!$K$3:$K$150,'Reporting 2022'!$B22)</f>
        <v>0</v>
      </c>
      <c r="AC54" s="9">
        <f>SUMIFS(Data!$AD$3:$AD$150,Data!$X$3:$X$150,AC$1,Data!$Y$3:$Y$150,"2022",Data!$K$3:$K$150,'Reporting 2022'!$B22)</f>
        <v>0</v>
      </c>
      <c r="AD54" s="9">
        <f>SUMIFS(Data!$AD$3:$AD$150,Data!$X$3:$X$150,AD$1,Data!$Y$3:$Y$150,"2022",Data!$K$3:$K$150,'Reporting 2022'!$B22)</f>
        <v>0</v>
      </c>
      <c r="AE54" s="9">
        <f>SUMIFS(Data!$AD$3:$AD$150,Data!$X$3:$X$150,AE$1,Data!$Y$3:$Y$150,"2022",Data!$K$3:$K$150,'Reporting 2022'!$B22)</f>
        <v>0</v>
      </c>
      <c r="AF54" s="9">
        <f>SUMIFS(Data!$AD$3:$AD$150,Data!$X$3:$X$150,AF$1,Data!$Y$3:$Y$150,"2022",Data!$K$3:$K$150,'Reporting 2022'!$B22)</f>
        <v>0</v>
      </c>
      <c r="AG54" s="9">
        <f>SUMIFS(Data!$AD$3:$AD$150,Data!$X$3:$X$150,AG$1,Data!$Y$3:$Y$150,"2022",Data!$K$3:$K$150,'Reporting 2022'!$B22)</f>
        <v>0</v>
      </c>
      <c r="AH54" s="9">
        <f>SUMIFS(Data!$AD$3:$AD$150,Data!$X$3:$X$150,AH$1,Data!$Y$3:$Y$150,"2022",Data!$K$3:$K$150,'Reporting 2022'!$B22)</f>
        <v>0</v>
      </c>
      <c r="AI54" s="9">
        <f>SUMIFS(Data!$AD$3:$AD$150,Data!$X$3:$X$150,AI$1,Data!$Y$3:$Y$150,"2022",Data!$K$3:$K$150,'Reporting 2022'!$B22)</f>
        <v>0</v>
      </c>
      <c r="AJ54" s="9">
        <f>SUMIFS(Data!$AD$3:$AD$150,Data!$X$3:$X$150,AJ$1,Data!$Y$3:$Y$150,"2022",Data!$K$3:$K$150,'Reporting 2022'!$B22)</f>
        <v>0</v>
      </c>
      <c r="AK54" s="9">
        <f>SUMIFS(Data!$AD$3:$AD$150,Data!$X$3:$X$150,AK$1,Data!$Y$3:$Y$150,"2022",Data!$K$3:$K$150,'Reporting 2022'!$B22)</f>
        <v>0</v>
      </c>
      <c r="AL54" s="9">
        <f>SUMIFS(Data!$AD$3:$AD$150,Data!$X$3:$X$150,AL$1,Data!$Y$3:$Y$150,"2022",Data!$K$3:$K$150,'Reporting 2022'!$B22)</f>
        <v>0</v>
      </c>
      <c r="AM54" s="9">
        <f>SUMIFS(Data!$AD$3:$AD$150,Data!$X$3:$X$150,AM$1,Data!$Y$3:$Y$150,"2022",Data!$K$3:$K$150,'Reporting 2022'!$B22)</f>
        <v>0</v>
      </c>
      <c r="AN54" s="9">
        <f>SUMIFS(Data!$AD$3:$AD$150,Data!$X$3:$X$150,AN$1,Data!$Y$3:$Y$150,"2022",Data!$K$3:$K$150,'Reporting 2022'!$B22)</f>
        <v>0</v>
      </c>
      <c r="AO54" s="9">
        <f>SUMIFS(Data!$AD$3:$AD$150,Data!$X$3:$X$150,AO$1,Data!$Y$3:$Y$150,"2022",Data!$K$3:$K$150,'Reporting 2022'!$B22)</f>
        <v>0</v>
      </c>
      <c r="AP54" s="9">
        <f>SUMIFS(Data!$AD$3:$AD$150,Data!$X$3:$X$150,AP$1,Data!$Y$3:$Y$150,"2022",Data!$K$3:$K$150,'Reporting 2022'!$B22)</f>
        <v>0</v>
      </c>
      <c r="AQ54" s="9">
        <f>SUMIFS(Data!$AD$3:$AD$150,Data!$X$3:$X$150,AQ$1,Data!$Y$3:$Y$150,"2022",Data!$K$3:$K$150,'Reporting 2022'!$B22)</f>
        <v>0</v>
      </c>
      <c r="AR54" s="9">
        <f>SUMIFS(Data!$AD$3:$AD$150,Data!$X$3:$X$150,AR$1,Data!$Y$3:$Y$150,"2022",Data!$K$3:$K$150,'Reporting 2022'!$B22)</f>
        <v>0</v>
      </c>
      <c r="AS54" s="9">
        <f>SUMIFS(Data!$AD$3:$AD$150,Data!$X$3:$X$150,AS$1,Data!$Y$3:$Y$150,"2022",Data!$K$3:$K$150,'Reporting 2022'!$B22)</f>
        <v>0</v>
      </c>
      <c r="AT54" s="9">
        <f>SUMIFS(Data!$AD$3:$AD$150,Data!$X$3:$X$150,AT$1,Data!$Y$3:$Y$150,"2022",Data!$K$3:$K$150,'Reporting 2022'!$B22)</f>
        <v>0</v>
      </c>
      <c r="AU54" s="9">
        <f>SUMIFS(Data!$AD$3:$AD$150,Data!$X$3:$X$150,AU$1,Data!$Y$3:$Y$150,"2022",Data!$K$3:$K$150,'Reporting 2022'!$B22)</f>
        <v>0</v>
      </c>
      <c r="AV54" s="9">
        <f>SUMIFS(Data!$AD$3:$AD$150,Data!$X$3:$X$150,AV$1,Data!$Y$3:$Y$150,"2022",Data!$K$3:$K$150,'Reporting 2022'!$B22)</f>
        <v>0</v>
      </c>
      <c r="AW54" s="9">
        <f>SUMIFS(Data!$AD$3:$AD$150,Data!$X$3:$X$150,AW$1,Data!$Y$3:$Y$150,"2022",Data!$K$3:$K$150,'Reporting 2022'!$B22)</f>
        <v>0</v>
      </c>
      <c r="AX54" s="9">
        <f>SUMIFS(Data!$AD$3:$AD$150,Data!$X$3:$X$150,AX$1,Data!$Y$3:$Y$150,"2022",Data!$K$3:$K$150,'Reporting 2022'!$B22)</f>
        <v>0</v>
      </c>
      <c r="AY54" s="9">
        <f>SUMIFS(Data!$AD$3:$AD$150,Data!$X$3:$X$150,AY$1,Data!$Y$3:$Y$150,"2022",Data!$K$3:$K$150,'Reporting 2022'!$B22)</f>
        <v>0</v>
      </c>
      <c r="AZ54" s="9">
        <f>SUMIFS(Data!$AD$3:$AD$150,Data!$X$3:$X$150,AZ$1,Data!$Y$3:$Y$150,"2022",Data!$K$3:$K$150,'Reporting 2022'!$B22)</f>
        <v>0</v>
      </c>
      <c r="BA54" s="9">
        <f>SUMIFS(Data!$AD$3:$AD$150,Data!$X$3:$X$150,BA$1,Data!$Y$3:$Y$150,"2022",Data!$K$3:$K$150,'Reporting 2022'!$B22)</f>
        <v>0</v>
      </c>
      <c r="BB54" s="9">
        <f>SUMIFS(Data!$AD$3:$AD$150,Data!$X$3:$X$150,BB$1,Data!$Y$3:$Y$150,"2022",Data!$K$3:$K$150,'Reporting 2022'!$B22)</f>
        <v>0</v>
      </c>
      <c r="BC54" s="3"/>
      <c r="BD54" s="3"/>
      <c r="BE54" s="3"/>
    </row>
    <row r="55" spans="1:57" ht="19.5" customHeight="1" x14ac:dyDescent="0.3">
      <c r="A55" s="3"/>
      <c r="B55" s="191" t="s">
        <v>478</v>
      </c>
      <c r="C55" s="9">
        <f>SUMIFS(Data!$AD$3:$AD$150,Data!$X$3:$X$150,C$1,Data!$Y$3:$Y$150,"2022",Data!$K$3:$K$150,'Reporting 2022'!$B23)</f>
        <v>0</v>
      </c>
      <c r="D55" s="9">
        <f>SUMIFS(Data!$AD$3:$AD$150,Data!$X$3:$X$150,D$1,Data!$Y$3:$Y$150,"2022",Data!$K$3:$K$150,'Reporting 2022'!$B23)</f>
        <v>0</v>
      </c>
      <c r="E55" s="9">
        <f>SUMIFS(Data!$AD$3:$AD$150,Data!$X$3:$X$150,E$1,Data!$Y$3:$Y$150,"2022",Data!$K$3:$K$150,'Reporting 2022'!$B23)</f>
        <v>0</v>
      </c>
      <c r="F55" s="9">
        <f>SUMIFS(Data!$AD$3:$AD$150,Data!$X$3:$X$150,F$1,Data!$Y$3:$Y$150,"2022",Data!$K$3:$K$150,'Reporting 2022'!$B23)</f>
        <v>0</v>
      </c>
      <c r="G55" s="9">
        <f>SUMIFS(Data!$AD$3:$AD$150,Data!$X$3:$X$150,G$1,Data!$Y$3:$Y$150,"2022",Data!$K$3:$K$150,'Reporting 2022'!$B23)</f>
        <v>0</v>
      </c>
      <c r="H55" s="9">
        <f>SUMIFS(Data!$AD$3:$AD$150,Data!$X$3:$X$150,H$1,Data!$Y$3:$Y$150,"2022",Data!$K$3:$K$150,'Reporting 2022'!$B23)</f>
        <v>0</v>
      </c>
      <c r="I55" s="9">
        <f>SUMIFS(Data!$AD$3:$AD$150,Data!$X$3:$X$150,I$1,Data!$Y$3:$Y$150,"2022",Data!$K$3:$K$150,'Reporting 2022'!$B23)</f>
        <v>0</v>
      </c>
      <c r="J55" s="9">
        <f>SUMIFS(Data!$AD$3:$AD$150,Data!$X$3:$X$150,J$1,Data!$Y$3:$Y$150,"2022",Data!$K$3:$K$150,'Reporting 2022'!$B23)</f>
        <v>0</v>
      </c>
      <c r="K55" s="9">
        <f>SUMIFS(Data!$AD$3:$AD$150,Data!$X$3:$X$150,K$1,Data!$Y$3:$Y$150,"2022",Data!$K$3:$K$150,'Reporting 2022'!$B23)</f>
        <v>0</v>
      </c>
      <c r="L55" s="9">
        <f>SUMIFS(Data!$AD$3:$AD$150,Data!$X$3:$X$150,L$1,Data!$Y$3:$Y$150,"2022",Data!$K$3:$K$150,'Reporting 2022'!$B23)</f>
        <v>0</v>
      </c>
      <c r="M55" s="9">
        <f>SUMIFS(Data!$AD$3:$AD$150,Data!$X$3:$X$150,M$1,Data!$Y$3:$Y$150,"2022",Data!$K$3:$K$150,'Reporting 2022'!$B23)</f>
        <v>0</v>
      </c>
      <c r="N55" s="9">
        <f>SUMIFS(Data!$AD$3:$AD$150,Data!$X$3:$X$150,N$1,Data!$Y$3:$Y$150,"2022",Data!$K$3:$K$150,'Reporting 2022'!$B23)</f>
        <v>0</v>
      </c>
      <c r="O55" s="9">
        <f>SUMIFS(Data!$AD$3:$AD$150,Data!$X$3:$X$150,O$1,Data!$Y$3:$Y$150,"2022",Data!$K$3:$K$150,'Reporting 2022'!$B23)</f>
        <v>0</v>
      </c>
      <c r="P55" s="9">
        <f>SUMIFS(Data!$AD$3:$AD$150,Data!$X$3:$X$150,P$1,Data!$Y$3:$Y$150,"2022",Data!$K$3:$K$150,'Reporting 2022'!$B23)</f>
        <v>0</v>
      </c>
      <c r="Q55" s="9">
        <f>SUMIFS(Data!$AD$3:$AD$150,Data!$X$3:$X$150,Q$1,Data!$Y$3:$Y$150,"2022",Data!$K$3:$K$150,'Reporting 2022'!$B23)</f>
        <v>0</v>
      </c>
      <c r="R55" s="9">
        <f>SUMIFS(Data!$AD$3:$AD$150,Data!$X$3:$X$150,R$1,Data!$Y$3:$Y$150,"2022",Data!$K$3:$K$150,'Reporting 2022'!$B23)</f>
        <v>0</v>
      </c>
      <c r="S55" s="9">
        <f>SUMIFS(Data!$AD$3:$AD$150,Data!$X$3:$X$150,S$1,Data!$Y$3:$Y$150,"2022",Data!$K$3:$K$150,'Reporting 2022'!$B23)</f>
        <v>0</v>
      </c>
      <c r="T55" s="9">
        <f>SUMIFS(Data!$AD$3:$AD$150,Data!$X$3:$X$150,T$1,Data!$Y$3:$Y$150,"2022",Data!$K$3:$K$150,'Reporting 2022'!$B23)</f>
        <v>0</v>
      </c>
      <c r="U55" s="9">
        <f>SUMIFS(Data!$AD$3:$AD$150,Data!$X$3:$X$150,U$1,Data!$Y$3:$Y$150,"2022",Data!$K$3:$K$150,'Reporting 2022'!$B23)</f>
        <v>0</v>
      </c>
      <c r="V55" s="9">
        <f>SUMIFS(Data!$AD$3:$AD$150,Data!$X$3:$X$150,V$1,Data!$Y$3:$Y$150,"2022",Data!$K$3:$K$150,'Reporting 2022'!$B23)</f>
        <v>0</v>
      </c>
      <c r="W55" s="9">
        <f>SUMIFS(Data!$AD$3:$AD$150,Data!$X$3:$X$150,W$1,Data!$Y$3:$Y$150,"2022",Data!$K$3:$K$150,'Reporting 2022'!$B23)</f>
        <v>0</v>
      </c>
      <c r="X55" s="9">
        <f>SUMIFS(Data!$AD$3:$AD$150,Data!$X$3:$X$150,X$1,Data!$Y$3:$Y$150,"2022",Data!$K$3:$K$150,'Reporting 2022'!$B23)</f>
        <v>0</v>
      </c>
      <c r="Y55" s="9">
        <f>SUMIFS(Data!$AD$3:$AD$150,Data!$X$3:$X$150,Y$1,Data!$Y$3:$Y$150,"2022",Data!$K$3:$K$150,'Reporting 2022'!$B23)</f>
        <v>0</v>
      </c>
      <c r="Z55" s="9">
        <f>SUMIFS(Data!$AD$3:$AD$150,Data!$X$3:$X$150,Z$1,Data!$Y$3:$Y$150,"2022",Data!$K$3:$K$150,'Reporting 2022'!$B23)</f>
        <v>0</v>
      </c>
      <c r="AA55" s="9">
        <f>SUMIFS(Data!$AD$3:$AD$150,Data!$X$3:$X$150,AA$1,Data!$Y$3:$Y$150,"2022",Data!$K$3:$K$150,'Reporting 2022'!$B23)</f>
        <v>0</v>
      </c>
      <c r="AB55" s="9">
        <f>SUMIFS(Data!$AD$3:$AD$150,Data!$X$3:$X$150,AB$1,Data!$Y$3:$Y$150,"2022",Data!$K$3:$K$150,'Reporting 2022'!$B23)</f>
        <v>0</v>
      </c>
      <c r="AC55" s="9">
        <f>SUMIFS(Data!$AD$3:$AD$150,Data!$X$3:$X$150,AC$1,Data!$Y$3:$Y$150,"2022",Data!$K$3:$K$150,'Reporting 2022'!$B23)</f>
        <v>0</v>
      </c>
      <c r="AD55" s="9">
        <f>SUMIFS(Data!$AD$3:$AD$150,Data!$X$3:$X$150,AD$1,Data!$Y$3:$Y$150,"2022",Data!$K$3:$K$150,'Reporting 2022'!$B23)</f>
        <v>0</v>
      </c>
      <c r="AE55" s="9">
        <f>SUMIFS(Data!$AD$3:$AD$150,Data!$X$3:$X$150,AE$1,Data!$Y$3:$Y$150,"2022",Data!$K$3:$K$150,'Reporting 2022'!$B23)</f>
        <v>0</v>
      </c>
      <c r="AF55" s="9">
        <f>SUMIFS(Data!$AD$3:$AD$150,Data!$X$3:$X$150,AF$1,Data!$Y$3:$Y$150,"2022",Data!$K$3:$K$150,'Reporting 2022'!$B23)</f>
        <v>0</v>
      </c>
      <c r="AG55" s="9">
        <f>SUMIFS(Data!$AD$3:$AD$150,Data!$X$3:$X$150,AG$1,Data!$Y$3:$Y$150,"2022",Data!$K$3:$K$150,'Reporting 2022'!$B23)</f>
        <v>0</v>
      </c>
      <c r="AH55" s="9">
        <f>SUMIFS(Data!$AD$3:$AD$150,Data!$X$3:$X$150,AH$1,Data!$Y$3:$Y$150,"2022",Data!$K$3:$K$150,'Reporting 2022'!$B23)</f>
        <v>0</v>
      </c>
      <c r="AI55" s="9">
        <f>SUMIFS(Data!$AD$3:$AD$150,Data!$X$3:$X$150,AI$1,Data!$Y$3:$Y$150,"2022",Data!$K$3:$K$150,'Reporting 2022'!$B23)</f>
        <v>0</v>
      </c>
      <c r="AJ55" s="9">
        <f>SUMIFS(Data!$AD$3:$AD$150,Data!$X$3:$X$150,AJ$1,Data!$Y$3:$Y$150,"2022",Data!$K$3:$K$150,'Reporting 2022'!$B23)</f>
        <v>0</v>
      </c>
      <c r="AK55" s="9">
        <f>SUMIFS(Data!$AD$3:$AD$150,Data!$X$3:$X$150,AK$1,Data!$Y$3:$Y$150,"2022",Data!$K$3:$K$150,'Reporting 2022'!$B23)</f>
        <v>0</v>
      </c>
      <c r="AL55" s="9">
        <f>SUMIFS(Data!$AD$3:$AD$150,Data!$X$3:$X$150,AL$1,Data!$Y$3:$Y$150,"2022",Data!$K$3:$K$150,'Reporting 2022'!$B23)</f>
        <v>0</v>
      </c>
      <c r="AM55" s="9">
        <f>SUMIFS(Data!$AD$3:$AD$150,Data!$X$3:$X$150,AM$1,Data!$Y$3:$Y$150,"2022",Data!$K$3:$K$150,'Reporting 2022'!$B23)</f>
        <v>0</v>
      </c>
      <c r="AN55" s="9">
        <f>SUMIFS(Data!$AD$3:$AD$150,Data!$X$3:$X$150,AN$1,Data!$Y$3:$Y$150,"2022",Data!$K$3:$K$150,'Reporting 2022'!$B23)</f>
        <v>0</v>
      </c>
      <c r="AO55" s="9">
        <f>SUMIFS(Data!$AD$3:$AD$150,Data!$X$3:$X$150,AO$1,Data!$Y$3:$Y$150,"2022",Data!$K$3:$K$150,'Reporting 2022'!$B23)</f>
        <v>0</v>
      </c>
      <c r="AP55" s="9">
        <f>SUMIFS(Data!$AD$3:$AD$150,Data!$X$3:$X$150,AP$1,Data!$Y$3:$Y$150,"2022",Data!$K$3:$K$150,'Reporting 2022'!$B23)</f>
        <v>0</v>
      </c>
      <c r="AQ55" s="9">
        <f>SUMIFS(Data!$AD$3:$AD$150,Data!$X$3:$X$150,AQ$1,Data!$Y$3:$Y$150,"2022",Data!$K$3:$K$150,'Reporting 2022'!$B23)</f>
        <v>0</v>
      </c>
      <c r="AR55" s="9">
        <f>SUMIFS(Data!$AD$3:$AD$150,Data!$X$3:$X$150,AR$1,Data!$Y$3:$Y$150,"2022",Data!$K$3:$K$150,'Reporting 2022'!$B23)</f>
        <v>0</v>
      </c>
      <c r="AS55" s="9">
        <f>SUMIFS(Data!$AD$3:$AD$150,Data!$X$3:$X$150,AS$1,Data!$Y$3:$Y$150,"2022",Data!$K$3:$K$150,'Reporting 2022'!$B23)</f>
        <v>0</v>
      </c>
      <c r="AT55" s="9">
        <f>SUMIFS(Data!$AD$3:$AD$150,Data!$X$3:$X$150,AT$1,Data!$Y$3:$Y$150,"2022",Data!$K$3:$K$150,'Reporting 2022'!$B23)</f>
        <v>0</v>
      </c>
      <c r="AU55" s="9">
        <f>SUMIFS(Data!$AD$3:$AD$150,Data!$X$3:$X$150,AU$1,Data!$Y$3:$Y$150,"2022",Data!$K$3:$K$150,'Reporting 2022'!$B23)</f>
        <v>0</v>
      </c>
      <c r="AV55" s="9">
        <f>SUMIFS(Data!$AD$3:$AD$150,Data!$X$3:$X$150,AV$1,Data!$Y$3:$Y$150,"2022",Data!$K$3:$K$150,'Reporting 2022'!$B23)</f>
        <v>0</v>
      </c>
      <c r="AW55" s="9">
        <f>SUMIFS(Data!$AD$3:$AD$150,Data!$X$3:$X$150,AW$1,Data!$Y$3:$Y$150,"2022",Data!$K$3:$K$150,'Reporting 2022'!$B23)</f>
        <v>0</v>
      </c>
      <c r="AX55" s="9">
        <f>SUMIFS(Data!$AD$3:$AD$150,Data!$X$3:$X$150,AX$1,Data!$Y$3:$Y$150,"2022",Data!$K$3:$K$150,'Reporting 2022'!$B23)</f>
        <v>0</v>
      </c>
      <c r="AY55" s="9">
        <f>SUMIFS(Data!$AD$3:$AD$150,Data!$X$3:$X$150,AY$1,Data!$Y$3:$Y$150,"2022",Data!$K$3:$K$150,'Reporting 2022'!$B23)</f>
        <v>0</v>
      </c>
      <c r="AZ55" s="9">
        <f>SUMIFS(Data!$AD$3:$AD$150,Data!$X$3:$X$150,AZ$1,Data!$Y$3:$Y$150,"2022",Data!$K$3:$K$150,'Reporting 2022'!$B23)</f>
        <v>0</v>
      </c>
      <c r="BA55" s="9">
        <f>SUMIFS(Data!$AD$3:$AD$150,Data!$X$3:$X$150,BA$1,Data!$Y$3:$Y$150,"2022",Data!$K$3:$K$150,'Reporting 2022'!$B23)</f>
        <v>0</v>
      </c>
      <c r="BB55" s="9">
        <f>SUMIFS(Data!$AD$3:$AD$150,Data!$X$3:$X$150,BB$1,Data!$Y$3:$Y$150,"2022",Data!$K$3:$K$150,'Reporting 2022'!$B23)</f>
        <v>0</v>
      </c>
      <c r="BC55" s="3"/>
      <c r="BD55" s="3"/>
      <c r="BE55" s="3"/>
    </row>
    <row r="56" spans="1:57" ht="15" customHeight="1" x14ac:dyDescent="0.3">
      <c r="A56" s="3"/>
      <c r="B56" s="512" t="s">
        <v>479</v>
      </c>
      <c r="C56" s="425">
        <f>SUMIFS(Data!$AD$3:$AD$150,Data!$X$3:$X$150,C$1,Data!$Y$3:$Y$150,"2022",Data!$K$3:$K$150,'Reporting 2022'!$B24)</f>
        <v>0</v>
      </c>
      <c r="D56" s="425">
        <f>SUMIFS(Data!$AD$3:$AD$150,Data!$X$3:$X$150,D$1,Data!$Y$3:$Y$150,"2022",Data!$K$3:$K$150,'Reporting 2022'!$B24)</f>
        <v>0</v>
      </c>
      <c r="E56" s="425">
        <f>SUMIFS(Data!$AD$3:$AD$150,Data!$X$3:$X$150,E$1,Data!$Y$3:$Y$150,"2022",Data!$K$3:$K$150,'Reporting 2022'!$B24)</f>
        <v>0</v>
      </c>
      <c r="F56" s="425">
        <f>SUMIFS(Data!$AD$3:$AD$150,Data!$X$3:$X$150,F$1,Data!$Y$3:$Y$150,"2022",Data!$K$3:$K$150,'Reporting 2022'!$B24)</f>
        <v>0</v>
      </c>
      <c r="G56" s="425">
        <f>SUMIFS(Data!$AD$3:$AD$150,Data!$X$3:$X$150,G$1,Data!$Y$3:$Y$150,"2022",Data!$K$3:$K$150,'Reporting 2022'!$B24)</f>
        <v>0</v>
      </c>
      <c r="H56" s="425">
        <f>SUMIFS(Data!$AD$3:$AD$150,Data!$X$3:$X$150,H$1,Data!$Y$3:$Y$150,"2022",Data!$K$3:$K$150,'Reporting 2022'!$B24)</f>
        <v>0</v>
      </c>
      <c r="I56" s="425">
        <f>SUMIFS(Data!$AD$3:$AD$150,Data!$X$3:$X$150,I$1,Data!$Y$3:$Y$150,"2022",Data!$K$3:$K$150,'Reporting 2022'!$B24)</f>
        <v>0</v>
      </c>
      <c r="J56" s="425">
        <f>SUMIFS(Data!$AD$3:$AD$150,Data!$X$3:$X$150,J$1,Data!$Y$3:$Y$150,"2022",Data!$K$3:$K$150,'Reporting 2022'!$B24)</f>
        <v>0</v>
      </c>
      <c r="K56" s="425">
        <f>SUMIFS(Data!$AD$3:$AD$150,Data!$X$3:$X$150,K$1,Data!$Y$3:$Y$150,"2022",Data!$K$3:$K$150,'Reporting 2022'!$B24)</f>
        <v>0</v>
      </c>
      <c r="L56" s="425">
        <f>SUMIFS(Data!$AD$3:$AD$150,Data!$X$3:$X$150,L$1,Data!$Y$3:$Y$150,"2022",Data!$K$3:$K$150,'Reporting 2022'!$B24)</f>
        <v>0</v>
      </c>
      <c r="M56" s="425">
        <f>SUMIFS(Data!$AD$3:$AD$150,Data!$X$3:$X$150,M$1,Data!$Y$3:$Y$150,"2022",Data!$K$3:$K$150,'Reporting 2022'!$B24)</f>
        <v>0</v>
      </c>
      <c r="N56" s="425">
        <f>SUMIFS(Data!$AD$3:$AD$150,Data!$X$3:$X$150,N$1,Data!$Y$3:$Y$150,"2022",Data!$K$3:$K$150,'Reporting 2022'!$B24)</f>
        <v>0</v>
      </c>
      <c r="O56" s="425">
        <f>SUMIFS(Data!$AD$3:$AD$150,Data!$X$3:$X$150,O$1,Data!$Y$3:$Y$150,"2022",Data!$K$3:$K$150,'Reporting 2022'!$B24)</f>
        <v>0</v>
      </c>
      <c r="P56" s="425">
        <f>SUMIFS(Data!$AD$3:$AD$150,Data!$X$3:$X$150,P$1,Data!$Y$3:$Y$150,"2022",Data!$K$3:$K$150,'Reporting 2022'!$B24)</f>
        <v>0</v>
      </c>
      <c r="Q56" s="425">
        <f>SUMIFS(Data!$AD$3:$AD$150,Data!$X$3:$X$150,Q$1,Data!$Y$3:$Y$150,"2022",Data!$K$3:$K$150,'Reporting 2022'!$B24)</f>
        <v>0</v>
      </c>
      <c r="R56" s="425">
        <f>SUMIFS(Data!$AD$3:$AD$150,Data!$X$3:$X$150,R$1,Data!$Y$3:$Y$150,"2022",Data!$K$3:$K$150,'Reporting 2022'!$B24)</f>
        <v>0</v>
      </c>
      <c r="S56" s="425">
        <f>SUMIFS(Data!$AD$3:$AD$150,Data!$X$3:$X$150,S$1,Data!$Y$3:$Y$150,"2022",Data!$K$3:$K$150,'Reporting 2022'!$B24)</f>
        <v>0</v>
      </c>
      <c r="T56" s="425">
        <f>SUMIFS(Data!$AD$3:$AD$150,Data!$X$3:$X$150,T$1,Data!$Y$3:$Y$150,"2022",Data!$K$3:$K$150,'Reporting 2022'!$B24)</f>
        <v>0</v>
      </c>
      <c r="U56" s="425">
        <f>SUMIFS(Data!$AD$3:$AD$150,Data!$X$3:$X$150,U$1,Data!$Y$3:$Y$150,"2022",Data!$K$3:$K$150,'Reporting 2022'!$B24)</f>
        <v>0</v>
      </c>
      <c r="V56" s="425">
        <f>SUMIFS(Data!$AD$3:$AD$150,Data!$X$3:$X$150,V$1,Data!$Y$3:$Y$150,"2022",Data!$K$3:$K$150,'Reporting 2022'!$B24)</f>
        <v>0</v>
      </c>
      <c r="W56" s="425">
        <f>SUMIFS(Data!$AD$3:$AD$150,Data!$X$3:$X$150,W$1,Data!$Y$3:$Y$150,"2022",Data!$K$3:$K$150,'Reporting 2022'!$B24)</f>
        <v>0</v>
      </c>
      <c r="X56" s="425">
        <f>SUMIFS(Data!$AD$3:$AD$150,Data!$X$3:$X$150,X$1,Data!$Y$3:$Y$150,"2022",Data!$K$3:$K$150,'Reporting 2022'!$B24)</f>
        <v>0</v>
      </c>
      <c r="Y56" s="425">
        <f>SUMIFS(Data!$AD$3:$AD$150,Data!$X$3:$X$150,Y$1,Data!$Y$3:$Y$150,"2022",Data!$K$3:$K$150,'Reporting 2022'!$B24)</f>
        <v>0</v>
      </c>
      <c r="Z56" s="425">
        <f>SUMIFS(Data!$AD$3:$AD$150,Data!$X$3:$X$150,Z$1,Data!$Y$3:$Y$150,"2022",Data!$K$3:$K$150,'Reporting 2022'!$B24)</f>
        <v>0</v>
      </c>
      <c r="AA56" s="425">
        <f>SUMIFS(Data!$AD$3:$AD$150,Data!$X$3:$X$150,AA$1,Data!$Y$3:$Y$150,"2022",Data!$K$3:$K$150,'Reporting 2022'!$B24)</f>
        <v>0</v>
      </c>
      <c r="AB56" s="425">
        <f>SUMIFS(Data!$AD$3:$AD$150,Data!$X$3:$X$150,AB$1,Data!$Y$3:$Y$150,"2022",Data!$K$3:$K$150,'Reporting 2022'!$B24)</f>
        <v>0</v>
      </c>
      <c r="AC56" s="425">
        <f>SUMIFS(Data!$AD$3:$AD$150,Data!$X$3:$X$150,AC$1,Data!$Y$3:$Y$150,"2022",Data!$K$3:$K$150,'Reporting 2022'!$B24)</f>
        <v>0</v>
      </c>
      <c r="AD56" s="425">
        <f>SUMIFS(Data!$AD$3:$AD$150,Data!$X$3:$X$150,AD$1,Data!$Y$3:$Y$150,"2022",Data!$K$3:$K$150,'Reporting 2022'!$B24)</f>
        <v>0</v>
      </c>
      <c r="AE56" s="425">
        <f>SUMIFS(Data!$AD$3:$AD$150,Data!$X$3:$X$150,AE$1,Data!$Y$3:$Y$150,"2022",Data!$K$3:$K$150,'Reporting 2022'!$B24)</f>
        <v>0</v>
      </c>
      <c r="AF56" s="425">
        <f>SUMIFS(Data!$AD$3:$AD$150,Data!$X$3:$X$150,AF$1,Data!$Y$3:$Y$150,"2022",Data!$K$3:$K$150,'Reporting 2022'!$B24)</f>
        <v>0</v>
      </c>
      <c r="AG56" s="425">
        <f>SUMIFS(Data!$AD$3:$AD$150,Data!$X$3:$X$150,AG$1,Data!$Y$3:$Y$150,"2022",Data!$K$3:$K$150,'Reporting 2022'!$B24)</f>
        <v>0</v>
      </c>
      <c r="AH56" s="425">
        <f>SUMIFS(Data!$AD$3:$AD$150,Data!$X$3:$X$150,AH$1,Data!$Y$3:$Y$150,"2022",Data!$K$3:$K$150,'Reporting 2022'!$B24)</f>
        <v>0</v>
      </c>
      <c r="AI56" s="425">
        <f>SUMIFS(Data!$AD$3:$AD$150,Data!$X$3:$X$150,AI$1,Data!$Y$3:$Y$150,"2022",Data!$K$3:$K$150,'Reporting 2022'!$B24)</f>
        <v>0</v>
      </c>
      <c r="AJ56" s="425">
        <f>SUMIFS(Data!$AD$3:$AD$150,Data!$X$3:$X$150,AJ$1,Data!$Y$3:$Y$150,"2022",Data!$K$3:$K$150,'Reporting 2022'!$B24)</f>
        <v>0</v>
      </c>
      <c r="AK56" s="425">
        <f>SUMIFS(Data!$AD$3:$AD$150,Data!$X$3:$X$150,AK$1,Data!$Y$3:$Y$150,"2022",Data!$K$3:$K$150,'Reporting 2022'!$B24)</f>
        <v>0</v>
      </c>
      <c r="AL56" s="425">
        <f>SUMIFS(Data!$AD$3:$AD$150,Data!$X$3:$X$150,AL$1,Data!$Y$3:$Y$150,"2022",Data!$K$3:$K$150,'Reporting 2022'!$B24)</f>
        <v>0</v>
      </c>
      <c r="AM56" s="425">
        <f>SUMIFS(Data!$AD$3:$AD$150,Data!$X$3:$X$150,AM$1,Data!$Y$3:$Y$150,"2022",Data!$K$3:$K$150,'Reporting 2022'!$B24)</f>
        <v>0</v>
      </c>
      <c r="AN56" s="425">
        <f>SUMIFS(Data!$AD$3:$AD$150,Data!$X$3:$X$150,AN$1,Data!$Y$3:$Y$150,"2022",Data!$K$3:$K$150,'Reporting 2022'!$B24)</f>
        <v>0</v>
      </c>
      <c r="AO56" s="425">
        <f>SUMIFS(Data!$AD$3:$AD$150,Data!$X$3:$X$150,AO$1,Data!$Y$3:$Y$150,"2022",Data!$K$3:$K$150,'Reporting 2022'!$B24)</f>
        <v>0</v>
      </c>
      <c r="AP56" s="425">
        <f>SUMIFS(Data!$AD$3:$AD$150,Data!$X$3:$X$150,AP$1,Data!$Y$3:$Y$150,"2022",Data!$K$3:$K$150,'Reporting 2022'!$B24)</f>
        <v>0</v>
      </c>
      <c r="AQ56" s="425">
        <f>SUMIFS(Data!$AD$3:$AD$150,Data!$X$3:$X$150,AQ$1,Data!$Y$3:$Y$150,"2022",Data!$K$3:$K$150,'Reporting 2022'!$B24)</f>
        <v>0</v>
      </c>
      <c r="AR56" s="425">
        <f>SUMIFS(Data!$AD$3:$AD$150,Data!$X$3:$X$150,AR$1,Data!$Y$3:$Y$150,"2022",Data!$K$3:$K$150,'Reporting 2022'!$B24)</f>
        <v>0</v>
      </c>
      <c r="AS56" s="425">
        <f>SUMIFS(Data!$AD$3:$AD$150,Data!$X$3:$X$150,AS$1,Data!$Y$3:$Y$150,"2022",Data!$K$3:$K$150,'Reporting 2022'!$B24)</f>
        <v>0</v>
      </c>
      <c r="AT56" s="425">
        <f>SUMIFS(Data!$AD$3:$AD$150,Data!$X$3:$X$150,AT$1,Data!$Y$3:$Y$150,"2022",Data!$K$3:$K$150,'Reporting 2022'!$B24)</f>
        <v>0</v>
      </c>
      <c r="AU56" s="425">
        <f>SUMIFS(Data!$AD$3:$AD$150,Data!$X$3:$X$150,AU$1,Data!$Y$3:$Y$150,"2022",Data!$K$3:$K$150,'Reporting 2022'!$B24)</f>
        <v>0</v>
      </c>
      <c r="AV56" s="425">
        <f>SUMIFS(Data!$AD$3:$AD$150,Data!$X$3:$X$150,AV$1,Data!$Y$3:$Y$150,"2022",Data!$K$3:$K$150,'Reporting 2022'!$B24)</f>
        <v>0</v>
      </c>
      <c r="AW56" s="425">
        <f>SUMIFS(Data!$AD$3:$AD$150,Data!$X$3:$X$150,AW$1,Data!$Y$3:$Y$150,"2022",Data!$K$3:$K$150,'Reporting 2022'!$B24)</f>
        <v>0</v>
      </c>
      <c r="AX56" s="425">
        <f>SUMIFS(Data!$AD$3:$AD$150,Data!$X$3:$X$150,AX$1,Data!$Y$3:$Y$150,"2022",Data!$K$3:$K$150,'Reporting 2022'!$B24)</f>
        <v>0</v>
      </c>
      <c r="AY56" s="425">
        <f>SUMIFS(Data!$AD$3:$AD$150,Data!$X$3:$X$150,AY$1,Data!$Y$3:$Y$150,"2022",Data!$K$3:$K$150,'Reporting 2022'!$B24)</f>
        <v>0</v>
      </c>
      <c r="AZ56" s="425">
        <f>SUMIFS(Data!$AD$3:$AD$150,Data!$X$3:$X$150,AZ$1,Data!$Y$3:$Y$150,"2022",Data!$K$3:$K$150,'Reporting 2022'!$B24)</f>
        <v>0</v>
      </c>
      <c r="BA56" s="425">
        <f>SUMIFS(Data!$AD$3:$AD$150,Data!$X$3:$X$150,BA$1,Data!$Y$3:$Y$150,"2022",Data!$K$3:$K$150,'Reporting 2022'!$B24)</f>
        <v>0</v>
      </c>
      <c r="BB56" s="425">
        <f>SUMIFS(Data!$AD$3:$AD$150,Data!$X$3:$X$150,BB$1,Data!$Y$3:$Y$150,"2022",Data!$K$3:$K$150,'Reporting 2022'!$B24)</f>
        <v>0</v>
      </c>
      <c r="BC56" s="3"/>
      <c r="BD56" s="3"/>
      <c r="BE56" s="3"/>
    </row>
    <row r="57" spans="1:57" ht="15" customHeight="1" x14ac:dyDescent="0.3">
      <c r="A57" s="3"/>
      <c r="B57" s="191" t="s">
        <v>480</v>
      </c>
      <c r="C57" s="426">
        <f t="shared" ref="C57:C66" si="38">C47</f>
        <v>0</v>
      </c>
      <c r="D57" s="426">
        <f t="shared" ref="D57:AI57" si="39">C57+D47</f>
        <v>0</v>
      </c>
      <c r="E57" s="426">
        <f t="shared" si="39"/>
        <v>0</v>
      </c>
      <c r="F57" s="426">
        <f t="shared" si="39"/>
        <v>0</v>
      </c>
      <c r="G57" s="426">
        <f t="shared" si="39"/>
        <v>0</v>
      </c>
      <c r="H57" s="426">
        <f t="shared" si="39"/>
        <v>0</v>
      </c>
      <c r="I57" s="426">
        <f t="shared" si="39"/>
        <v>0</v>
      </c>
      <c r="J57" s="426">
        <f t="shared" si="39"/>
        <v>0</v>
      </c>
      <c r="K57" s="426">
        <f t="shared" si="39"/>
        <v>0</v>
      </c>
      <c r="L57" s="426">
        <f t="shared" si="39"/>
        <v>0</v>
      </c>
      <c r="M57" s="426">
        <f t="shared" si="39"/>
        <v>0</v>
      </c>
      <c r="N57" s="426">
        <f t="shared" si="39"/>
        <v>0</v>
      </c>
      <c r="O57" s="426">
        <f t="shared" si="39"/>
        <v>0</v>
      </c>
      <c r="P57" s="426">
        <f t="shared" si="39"/>
        <v>0</v>
      </c>
      <c r="Q57" s="426">
        <f t="shared" si="39"/>
        <v>0</v>
      </c>
      <c r="R57" s="426">
        <f t="shared" si="39"/>
        <v>0</v>
      </c>
      <c r="S57" s="426">
        <f t="shared" si="39"/>
        <v>0</v>
      </c>
      <c r="T57" s="426">
        <f t="shared" si="39"/>
        <v>0</v>
      </c>
      <c r="U57" s="426">
        <f t="shared" si="39"/>
        <v>0</v>
      </c>
      <c r="V57" s="426">
        <f t="shared" si="39"/>
        <v>0</v>
      </c>
      <c r="W57" s="426">
        <f t="shared" si="39"/>
        <v>0</v>
      </c>
      <c r="X57" s="426">
        <f t="shared" si="39"/>
        <v>0</v>
      </c>
      <c r="Y57" s="426">
        <f t="shared" si="39"/>
        <v>0</v>
      </c>
      <c r="Z57" s="426">
        <f t="shared" si="39"/>
        <v>0</v>
      </c>
      <c r="AA57" s="426">
        <f t="shared" si="39"/>
        <v>0</v>
      </c>
      <c r="AB57" s="426">
        <f t="shared" si="39"/>
        <v>0</v>
      </c>
      <c r="AC57" s="426">
        <f t="shared" si="39"/>
        <v>0</v>
      </c>
      <c r="AD57" s="426">
        <f t="shared" si="39"/>
        <v>0</v>
      </c>
      <c r="AE57" s="426">
        <f t="shared" si="39"/>
        <v>0</v>
      </c>
      <c r="AF57" s="426">
        <f t="shared" si="39"/>
        <v>0</v>
      </c>
      <c r="AG57" s="426">
        <f t="shared" si="39"/>
        <v>0</v>
      </c>
      <c r="AH57" s="426">
        <f t="shared" si="39"/>
        <v>0</v>
      </c>
      <c r="AI57" s="426">
        <f t="shared" si="39"/>
        <v>0</v>
      </c>
      <c r="AJ57" s="426">
        <f t="shared" ref="AJ57:BB57" si="40">AI57+AJ47</f>
        <v>0</v>
      </c>
      <c r="AK57" s="426">
        <f t="shared" si="40"/>
        <v>0</v>
      </c>
      <c r="AL57" s="426">
        <f t="shared" si="40"/>
        <v>0</v>
      </c>
      <c r="AM57" s="426">
        <f t="shared" si="40"/>
        <v>0</v>
      </c>
      <c r="AN57" s="426">
        <f t="shared" si="40"/>
        <v>0</v>
      </c>
      <c r="AO57" s="426">
        <f t="shared" si="40"/>
        <v>0</v>
      </c>
      <c r="AP57" s="426">
        <f t="shared" si="40"/>
        <v>0</v>
      </c>
      <c r="AQ57" s="426">
        <f t="shared" si="40"/>
        <v>0</v>
      </c>
      <c r="AR57" s="426">
        <f t="shared" si="40"/>
        <v>0</v>
      </c>
      <c r="AS57" s="426">
        <f t="shared" si="40"/>
        <v>0</v>
      </c>
      <c r="AT57" s="426">
        <f t="shared" si="40"/>
        <v>0</v>
      </c>
      <c r="AU57" s="426">
        <f t="shared" si="40"/>
        <v>0</v>
      </c>
      <c r="AV57" s="426">
        <f t="shared" si="40"/>
        <v>0</v>
      </c>
      <c r="AW57" s="426">
        <f t="shared" si="40"/>
        <v>0</v>
      </c>
      <c r="AX57" s="426">
        <f t="shared" si="40"/>
        <v>0</v>
      </c>
      <c r="AY57" s="426">
        <f t="shared" si="40"/>
        <v>0</v>
      </c>
      <c r="AZ57" s="426">
        <f t="shared" si="40"/>
        <v>0</v>
      </c>
      <c r="BA57" s="426">
        <f t="shared" si="40"/>
        <v>0</v>
      </c>
      <c r="BB57" s="426">
        <f t="shared" si="40"/>
        <v>0</v>
      </c>
      <c r="BC57" s="3"/>
      <c r="BD57" s="3"/>
      <c r="BE57" s="3"/>
    </row>
    <row r="58" spans="1:57" ht="19.5" customHeight="1" x14ac:dyDescent="0.3">
      <c r="A58" s="3"/>
      <c r="B58" s="191" t="s">
        <v>481</v>
      </c>
      <c r="C58" s="426">
        <f t="shared" si="38"/>
        <v>0</v>
      </c>
      <c r="D58" s="426">
        <f t="shared" ref="D58:AI58" si="41">C58+D48</f>
        <v>0</v>
      </c>
      <c r="E58" s="426">
        <f t="shared" si="41"/>
        <v>0</v>
      </c>
      <c r="F58" s="426">
        <f t="shared" si="41"/>
        <v>0</v>
      </c>
      <c r="G58" s="426">
        <f t="shared" si="41"/>
        <v>0</v>
      </c>
      <c r="H58" s="426">
        <f t="shared" si="41"/>
        <v>0</v>
      </c>
      <c r="I58" s="426">
        <f t="shared" si="41"/>
        <v>0</v>
      </c>
      <c r="J58" s="426">
        <f t="shared" si="41"/>
        <v>0</v>
      </c>
      <c r="K58" s="426">
        <f t="shared" si="41"/>
        <v>0</v>
      </c>
      <c r="L58" s="426">
        <f t="shared" si="41"/>
        <v>0</v>
      </c>
      <c r="M58" s="426">
        <f t="shared" si="41"/>
        <v>0</v>
      </c>
      <c r="N58" s="426">
        <f t="shared" si="41"/>
        <v>0</v>
      </c>
      <c r="O58" s="426">
        <f t="shared" si="41"/>
        <v>0</v>
      </c>
      <c r="P58" s="426">
        <f t="shared" si="41"/>
        <v>0</v>
      </c>
      <c r="Q58" s="426">
        <f t="shared" si="41"/>
        <v>0</v>
      </c>
      <c r="R58" s="426">
        <f t="shared" si="41"/>
        <v>0</v>
      </c>
      <c r="S58" s="426">
        <f t="shared" si="41"/>
        <v>0</v>
      </c>
      <c r="T58" s="426">
        <f t="shared" si="41"/>
        <v>0</v>
      </c>
      <c r="U58" s="426">
        <f t="shared" si="41"/>
        <v>0</v>
      </c>
      <c r="V58" s="426">
        <f t="shared" si="41"/>
        <v>0</v>
      </c>
      <c r="W58" s="426">
        <f t="shared" si="41"/>
        <v>0</v>
      </c>
      <c r="X58" s="426">
        <f t="shared" si="41"/>
        <v>0</v>
      </c>
      <c r="Y58" s="426">
        <f t="shared" si="41"/>
        <v>0</v>
      </c>
      <c r="Z58" s="426">
        <f t="shared" si="41"/>
        <v>0</v>
      </c>
      <c r="AA58" s="426">
        <f t="shared" si="41"/>
        <v>0</v>
      </c>
      <c r="AB58" s="426">
        <f t="shared" si="41"/>
        <v>0</v>
      </c>
      <c r="AC58" s="426">
        <f t="shared" si="41"/>
        <v>0</v>
      </c>
      <c r="AD58" s="426">
        <f t="shared" si="41"/>
        <v>0</v>
      </c>
      <c r="AE58" s="426">
        <f t="shared" si="41"/>
        <v>0</v>
      </c>
      <c r="AF58" s="426">
        <f t="shared" si="41"/>
        <v>0</v>
      </c>
      <c r="AG58" s="426">
        <f t="shared" si="41"/>
        <v>0</v>
      </c>
      <c r="AH58" s="426">
        <f t="shared" si="41"/>
        <v>0</v>
      </c>
      <c r="AI58" s="426">
        <f t="shared" si="41"/>
        <v>0</v>
      </c>
      <c r="AJ58" s="426">
        <f t="shared" ref="AJ58:BB58" si="42">AI58+AJ48</f>
        <v>0</v>
      </c>
      <c r="AK58" s="426">
        <f t="shared" si="42"/>
        <v>0</v>
      </c>
      <c r="AL58" s="426">
        <f t="shared" si="42"/>
        <v>0</v>
      </c>
      <c r="AM58" s="426">
        <f t="shared" si="42"/>
        <v>0</v>
      </c>
      <c r="AN58" s="426">
        <f t="shared" si="42"/>
        <v>0</v>
      </c>
      <c r="AO58" s="426">
        <f t="shared" si="42"/>
        <v>0</v>
      </c>
      <c r="AP58" s="426">
        <f t="shared" si="42"/>
        <v>0</v>
      </c>
      <c r="AQ58" s="426">
        <f t="shared" si="42"/>
        <v>0</v>
      </c>
      <c r="AR58" s="426">
        <f t="shared" si="42"/>
        <v>0</v>
      </c>
      <c r="AS58" s="426">
        <f t="shared" si="42"/>
        <v>0</v>
      </c>
      <c r="AT58" s="426">
        <f t="shared" si="42"/>
        <v>0</v>
      </c>
      <c r="AU58" s="426">
        <f t="shared" si="42"/>
        <v>0</v>
      </c>
      <c r="AV58" s="426">
        <f t="shared" si="42"/>
        <v>0</v>
      </c>
      <c r="AW58" s="426">
        <f t="shared" si="42"/>
        <v>0</v>
      </c>
      <c r="AX58" s="426">
        <f t="shared" si="42"/>
        <v>0</v>
      </c>
      <c r="AY58" s="426">
        <f t="shared" si="42"/>
        <v>0</v>
      </c>
      <c r="AZ58" s="426">
        <f t="shared" si="42"/>
        <v>0</v>
      </c>
      <c r="BA58" s="426">
        <f t="shared" si="42"/>
        <v>0</v>
      </c>
      <c r="BB58" s="426">
        <f t="shared" si="42"/>
        <v>0</v>
      </c>
      <c r="BC58" s="3"/>
      <c r="BD58" s="3"/>
      <c r="BE58" s="3"/>
    </row>
    <row r="59" spans="1:57" ht="19.5" customHeight="1" x14ac:dyDescent="0.3">
      <c r="A59" s="3"/>
      <c r="B59" s="191" t="s">
        <v>482</v>
      </c>
      <c r="C59" s="426">
        <f t="shared" si="38"/>
        <v>0</v>
      </c>
      <c r="D59" s="426">
        <f t="shared" ref="D59:AI59" si="43">C59+D49</f>
        <v>0</v>
      </c>
      <c r="E59" s="426">
        <f t="shared" si="43"/>
        <v>0</v>
      </c>
      <c r="F59" s="426">
        <f t="shared" si="43"/>
        <v>0</v>
      </c>
      <c r="G59" s="426">
        <f t="shared" si="43"/>
        <v>0</v>
      </c>
      <c r="H59" s="426">
        <f t="shared" si="43"/>
        <v>0</v>
      </c>
      <c r="I59" s="426">
        <f t="shared" si="43"/>
        <v>0</v>
      </c>
      <c r="J59" s="426">
        <f t="shared" si="43"/>
        <v>0</v>
      </c>
      <c r="K59" s="426">
        <f t="shared" si="43"/>
        <v>0</v>
      </c>
      <c r="L59" s="426">
        <f t="shared" si="43"/>
        <v>0</v>
      </c>
      <c r="M59" s="426">
        <f t="shared" si="43"/>
        <v>0</v>
      </c>
      <c r="N59" s="426">
        <f t="shared" si="43"/>
        <v>0</v>
      </c>
      <c r="O59" s="426">
        <f t="shared" si="43"/>
        <v>0</v>
      </c>
      <c r="P59" s="426">
        <f t="shared" si="43"/>
        <v>0</v>
      </c>
      <c r="Q59" s="426">
        <f t="shared" si="43"/>
        <v>0</v>
      </c>
      <c r="R59" s="426">
        <f t="shared" si="43"/>
        <v>0</v>
      </c>
      <c r="S59" s="426">
        <f t="shared" si="43"/>
        <v>0</v>
      </c>
      <c r="T59" s="426">
        <f t="shared" si="43"/>
        <v>0</v>
      </c>
      <c r="U59" s="426">
        <f t="shared" si="43"/>
        <v>0</v>
      </c>
      <c r="V59" s="426">
        <f t="shared" si="43"/>
        <v>0</v>
      </c>
      <c r="W59" s="426">
        <f t="shared" si="43"/>
        <v>0</v>
      </c>
      <c r="X59" s="426">
        <f t="shared" si="43"/>
        <v>0</v>
      </c>
      <c r="Y59" s="426">
        <f t="shared" si="43"/>
        <v>0</v>
      </c>
      <c r="Z59" s="426">
        <f t="shared" si="43"/>
        <v>0</v>
      </c>
      <c r="AA59" s="426">
        <f t="shared" si="43"/>
        <v>0</v>
      </c>
      <c r="AB59" s="426">
        <f t="shared" si="43"/>
        <v>0</v>
      </c>
      <c r="AC59" s="426">
        <f t="shared" si="43"/>
        <v>0</v>
      </c>
      <c r="AD59" s="426">
        <f t="shared" si="43"/>
        <v>0</v>
      </c>
      <c r="AE59" s="426">
        <f t="shared" si="43"/>
        <v>0</v>
      </c>
      <c r="AF59" s="426">
        <f t="shared" si="43"/>
        <v>0</v>
      </c>
      <c r="AG59" s="426">
        <f t="shared" si="43"/>
        <v>0</v>
      </c>
      <c r="AH59" s="426">
        <f t="shared" si="43"/>
        <v>0</v>
      </c>
      <c r="AI59" s="426">
        <f t="shared" si="43"/>
        <v>0</v>
      </c>
      <c r="AJ59" s="426">
        <f t="shared" ref="AJ59:BB59" si="44">AI59+AJ49</f>
        <v>0</v>
      </c>
      <c r="AK59" s="426">
        <f t="shared" si="44"/>
        <v>0</v>
      </c>
      <c r="AL59" s="426">
        <f t="shared" si="44"/>
        <v>0</v>
      </c>
      <c r="AM59" s="426">
        <f t="shared" si="44"/>
        <v>0</v>
      </c>
      <c r="AN59" s="426">
        <f t="shared" si="44"/>
        <v>0</v>
      </c>
      <c r="AO59" s="426">
        <f t="shared" si="44"/>
        <v>0</v>
      </c>
      <c r="AP59" s="426">
        <f t="shared" si="44"/>
        <v>0</v>
      </c>
      <c r="AQ59" s="426">
        <f t="shared" si="44"/>
        <v>0</v>
      </c>
      <c r="AR59" s="426">
        <f t="shared" si="44"/>
        <v>0</v>
      </c>
      <c r="AS59" s="426">
        <f t="shared" si="44"/>
        <v>0</v>
      </c>
      <c r="AT59" s="426">
        <f t="shared" si="44"/>
        <v>0</v>
      </c>
      <c r="AU59" s="426">
        <f t="shared" si="44"/>
        <v>0</v>
      </c>
      <c r="AV59" s="426">
        <f t="shared" si="44"/>
        <v>0</v>
      </c>
      <c r="AW59" s="426">
        <f t="shared" si="44"/>
        <v>0</v>
      </c>
      <c r="AX59" s="426">
        <f t="shared" si="44"/>
        <v>0</v>
      </c>
      <c r="AY59" s="426">
        <f t="shared" si="44"/>
        <v>0</v>
      </c>
      <c r="AZ59" s="426">
        <f t="shared" si="44"/>
        <v>0</v>
      </c>
      <c r="BA59" s="426">
        <f t="shared" si="44"/>
        <v>0</v>
      </c>
      <c r="BB59" s="426">
        <f t="shared" si="44"/>
        <v>0</v>
      </c>
      <c r="BC59" s="3"/>
      <c r="BD59" s="3"/>
      <c r="BE59" s="3"/>
    </row>
    <row r="60" spans="1:57" ht="19.5" customHeight="1" x14ac:dyDescent="0.3">
      <c r="A60" s="3"/>
      <c r="B60" s="191" t="s">
        <v>483</v>
      </c>
      <c r="C60" s="426">
        <f t="shared" si="38"/>
        <v>0</v>
      </c>
      <c r="D60" s="426">
        <f t="shared" ref="D60:AI60" si="45">C60+D50</f>
        <v>0</v>
      </c>
      <c r="E60" s="426">
        <f t="shared" si="45"/>
        <v>0</v>
      </c>
      <c r="F60" s="426">
        <f t="shared" si="45"/>
        <v>0</v>
      </c>
      <c r="G60" s="426">
        <f t="shared" si="45"/>
        <v>0</v>
      </c>
      <c r="H60" s="426">
        <f t="shared" si="45"/>
        <v>0</v>
      </c>
      <c r="I60" s="426">
        <f t="shared" si="45"/>
        <v>0</v>
      </c>
      <c r="J60" s="426">
        <f t="shared" si="45"/>
        <v>0</v>
      </c>
      <c r="K60" s="426">
        <f t="shared" si="45"/>
        <v>0</v>
      </c>
      <c r="L60" s="426">
        <f t="shared" si="45"/>
        <v>0</v>
      </c>
      <c r="M60" s="426">
        <f t="shared" si="45"/>
        <v>0</v>
      </c>
      <c r="N60" s="426">
        <f t="shared" si="45"/>
        <v>0</v>
      </c>
      <c r="O60" s="426">
        <f t="shared" si="45"/>
        <v>0</v>
      </c>
      <c r="P60" s="426">
        <f t="shared" si="45"/>
        <v>0</v>
      </c>
      <c r="Q60" s="426">
        <f t="shared" si="45"/>
        <v>0</v>
      </c>
      <c r="R60" s="426">
        <f t="shared" si="45"/>
        <v>0</v>
      </c>
      <c r="S60" s="426">
        <f t="shared" si="45"/>
        <v>0</v>
      </c>
      <c r="T60" s="426">
        <f t="shared" si="45"/>
        <v>0</v>
      </c>
      <c r="U60" s="426">
        <f t="shared" si="45"/>
        <v>0</v>
      </c>
      <c r="V60" s="426">
        <f t="shared" si="45"/>
        <v>0</v>
      </c>
      <c r="W60" s="426">
        <f t="shared" si="45"/>
        <v>0</v>
      </c>
      <c r="X60" s="426">
        <f t="shared" si="45"/>
        <v>0</v>
      </c>
      <c r="Y60" s="426">
        <f t="shared" si="45"/>
        <v>0</v>
      </c>
      <c r="Z60" s="426">
        <f t="shared" si="45"/>
        <v>0</v>
      </c>
      <c r="AA60" s="426">
        <f t="shared" si="45"/>
        <v>0</v>
      </c>
      <c r="AB60" s="426">
        <f t="shared" si="45"/>
        <v>0</v>
      </c>
      <c r="AC60" s="426">
        <f t="shared" si="45"/>
        <v>0</v>
      </c>
      <c r="AD60" s="426">
        <f t="shared" si="45"/>
        <v>0</v>
      </c>
      <c r="AE60" s="426">
        <f t="shared" si="45"/>
        <v>0</v>
      </c>
      <c r="AF60" s="426">
        <f t="shared" si="45"/>
        <v>0</v>
      </c>
      <c r="AG60" s="426">
        <f t="shared" si="45"/>
        <v>0</v>
      </c>
      <c r="AH60" s="426">
        <f t="shared" si="45"/>
        <v>0</v>
      </c>
      <c r="AI60" s="426">
        <f t="shared" si="45"/>
        <v>0</v>
      </c>
      <c r="AJ60" s="426">
        <f t="shared" ref="AJ60:BB60" si="46">AI60+AJ50</f>
        <v>0</v>
      </c>
      <c r="AK60" s="426">
        <f t="shared" si="46"/>
        <v>0</v>
      </c>
      <c r="AL60" s="426">
        <f t="shared" si="46"/>
        <v>0</v>
      </c>
      <c r="AM60" s="426">
        <f t="shared" si="46"/>
        <v>0</v>
      </c>
      <c r="AN60" s="426">
        <f t="shared" si="46"/>
        <v>0</v>
      </c>
      <c r="AO60" s="426">
        <f t="shared" si="46"/>
        <v>0</v>
      </c>
      <c r="AP60" s="426">
        <f t="shared" si="46"/>
        <v>0</v>
      </c>
      <c r="AQ60" s="426">
        <f t="shared" si="46"/>
        <v>0</v>
      </c>
      <c r="AR60" s="426">
        <f t="shared" si="46"/>
        <v>0</v>
      </c>
      <c r="AS60" s="426">
        <f t="shared" si="46"/>
        <v>0</v>
      </c>
      <c r="AT60" s="426">
        <f t="shared" si="46"/>
        <v>0</v>
      </c>
      <c r="AU60" s="426">
        <f t="shared" si="46"/>
        <v>0</v>
      </c>
      <c r="AV60" s="426">
        <f t="shared" si="46"/>
        <v>0</v>
      </c>
      <c r="AW60" s="426">
        <f t="shared" si="46"/>
        <v>0</v>
      </c>
      <c r="AX60" s="426">
        <f t="shared" si="46"/>
        <v>0</v>
      </c>
      <c r="AY60" s="426">
        <f t="shared" si="46"/>
        <v>0</v>
      </c>
      <c r="AZ60" s="426">
        <f t="shared" si="46"/>
        <v>0</v>
      </c>
      <c r="BA60" s="426">
        <f t="shared" si="46"/>
        <v>0</v>
      </c>
      <c r="BB60" s="426">
        <f t="shared" si="46"/>
        <v>0</v>
      </c>
      <c r="BC60" s="3"/>
      <c r="BD60" s="3"/>
      <c r="BE60" s="3"/>
    </row>
    <row r="61" spans="1:57" ht="19.5" customHeight="1" x14ac:dyDescent="0.3">
      <c r="A61" s="3"/>
      <c r="B61" s="191" t="s">
        <v>484</v>
      </c>
      <c r="C61" s="426">
        <f t="shared" si="38"/>
        <v>0</v>
      </c>
      <c r="D61" s="426">
        <f t="shared" ref="D61:AI61" si="47">C61+D51</f>
        <v>0</v>
      </c>
      <c r="E61" s="426">
        <f t="shared" si="47"/>
        <v>0</v>
      </c>
      <c r="F61" s="426">
        <f t="shared" si="47"/>
        <v>0</v>
      </c>
      <c r="G61" s="426">
        <f t="shared" si="47"/>
        <v>0</v>
      </c>
      <c r="H61" s="426">
        <f t="shared" si="47"/>
        <v>0</v>
      </c>
      <c r="I61" s="426">
        <f t="shared" si="47"/>
        <v>0</v>
      </c>
      <c r="J61" s="426">
        <f t="shared" si="47"/>
        <v>0</v>
      </c>
      <c r="K61" s="426">
        <f t="shared" si="47"/>
        <v>0</v>
      </c>
      <c r="L61" s="426">
        <f t="shared" si="47"/>
        <v>0</v>
      </c>
      <c r="M61" s="426">
        <f t="shared" si="47"/>
        <v>0</v>
      </c>
      <c r="N61" s="426">
        <f t="shared" si="47"/>
        <v>0</v>
      </c>
      <c r="O61" s="426">
        <f t="shared" si="47"/>
        <v>0</v>
      </c>
      <c r="P61" s="426">
        <f t="shared" si="47"/>
        <v>0</v>
      </c>
      <c r="Q61" s="426">
        <f t="shared" si="47"/>
        <v>0</v>
      </c>
      <c r="R61" s="426">
        <f t="shared" si="47"/>
        <v>0</v>
      </c>
      <c r="S61" s="426">
        <f t="shared" si="47"/>
        <v>0</v>
      </c>
      <c r="T61" s="426">
        <f t="shared" si="47"/>
        <v>0</v>
      </c>
      <c r="U61" s="426">
        <f t="shared" si="47"/>
        <v>0</v>
      </c>
      <c r="V61" s="426">
        <f t="shared" si="47"/>
        <v>0</v>
      </c>
      <c r="W61" s="426">
        <f t="shared" si="47"/>
        <v>0</v>
      </c>
      <c r="X61" s="426">
        <f t="shared" si="47"/>
        <v>0</v>
      </c>
      <c r="Y61" s="426">
        <f t="shared" si="47"/>
        <v>0</v>
      </c>
      <c r="Z61" s="426">
        <f t="shared" si="47"/>
        <v>0</v>
      </c>
      <c r="AA61" s="426">
        <f t="shared" si="47"/>
        <v>0</v>
      </c>
      <c r="AB61" s="426">
        <f t="shared" si="47"/>
        <v>0</v>
      </c>
      <c r="AC61" s="426">
        <f t="shared" si="47"/>
        <v>0</v>
      </c>
      <c r="AD61" s="426">
        <f t="shared" si="47"/>
        <v>0</v>
      </c>
      <c r="AE61" s="426">
        <f t="shared" si="47"/>
        <v>0</v>
      </c>
      <c r="AF61" s="426">
        <f t="shared" si="47"/>
        <v>0</v>
      </c>
      <c r="AG61" s="426">
        <f t="shared" si="47"/>
        <v>0</v>
      </c>
      <c r="AH61" s="426">
        <f t="shared" si="47"/>
        <v>0</v>
      </c>
      <c r="AI61" s="426">
        <f t="shared" si="47"/>
        <v>0</v>
      </c>
      <c r="AJ61" s="426">
        <f t="shared" ref="AJ61:BB61" si="48">AI61+AJ51</f>
        <v>0</v>
      </c>
      <c r="AK61" s="426">
        <f t="shared" si="48"/>
        <v>0</v>
      </c>
      <c r="AL61" s="426">
        <f t="shared" si="48"/>
        <v>0</v>
      </c>
      <c r="AM61" s="426">
        <f t="shared" si="48"/>
        <v>0</v>
      </c>
      <c r="AN61" s="426">
        <f t="shared" si="48"/>
        <v>0</v>
      </c>
      <c r="AO61" s="426">
        <f t="shared" si="48"/>
        <v>0</v>
      </c>
      <c r="AP61" s="426">
        <f t="shared" si="48"/>
        <v>0</v>
      </c>
      <c r="AQ61" s="426">
        <f t="shared" si="48"/>
        <v>0</v>
      </c>
      <c r="AR61" s="426">
        <f t="shared" si="48"/>
        <v>0</v>
      </c>
      <c r="AS61" s="426">
        <f t="shared" si="48"/>
        <v>0</v>
      </c>
      <c r="AT61" s="426">
        <f t="shared" si="48"/>
        <v>0</v>
      </c>
      <c r="AU61" s="426">
        <f t="shared" si="48"/>
        <v>0</v>
      </c>
      <c r="AV61" s="426">
        <f t="shared" si="48"/>
        <v>0</v>
      </c>
      <c r="AW61" s="426">
        <f t="shared" si="48"/>
        <v>0</v>
      </c>
      <c r="AX61" s="426">
        <f t="shared" si="48"/>
        <v>0</v>
      </c>
      <c r="AY61" s="426">
        <f t="shared" si="48"/>
        <v>0</v>
      </c>
      <c r="AZ61" s="426">
        <f t="shared" si="48"/>
        <v>0</v>
      </c>
      <c r="BA61" s="426">
        <f t="shared" si="48"/>
        <v>0</v>
      </c>
      <c r="BB61" s="426">
        <f t="shared" si="48"/>
        <v>0</v>
      </c>
      <c r="BC61" s="3"/>
      <c r="BD61" s="3"/>
      <c r="BE61" s="3"/>
    </row>
    <row r="62" spans="1:57" ht="19.5" customHeight="1" x14ac:dyDescent="0.3">
      <c r="A62" s="3"/>
      <c r="B62" s="191" t="s">
        <v>485</v>
      </c>
      <c r="C62" s="426">
        <f t="shared" si="38"/>
        <v>0</v>
      </c>
      <c r="D62" s="426">
        <f t="shared" ref="D62:AI62" si="49">C62+D52</f>
        <v>0</v>
      </c>
      <c r="E62" s="426">
        <f t="shared" si="49"/>
        <v>0</v>
      </c>
      <c r="F62" s="426">
        <f t="shared" si="49"/>
        <v>0</v>
      </c>
      <c r="G62" s="426">
        <f t="shared" si="49"/>
        <v>0</v>
      </c>
      <c r="H62" s="426">
        <f t="shared" si="49"/>
        <v>0</v>
      </c>
      <c r="I62" s="426">
        <f t="shared" si="49"/>
        <v>0</v>
      </c>
      <c r="J62" s="426">
        <f t="shared" si="49"/>
        <v>0</v>
      </c>
      <c r="K62" s="426">
        <f t="shared" si="49"/>
        <v>0</v>
      </c>
      <c r="L62" s="426">
        <f t="shared" si="49"/>
        <v>0</v>
      </c>
      <c r="M62" s="426">
        <f t="shared" si="49"/>
        <v>0</v>
      </c>
      <c r="N62" s="426">
        <f t="shared" si="49"/>
        <v>0</v>
      </c>
      <c r="O62" s="426">
        <f t="shared" si="49"/>
        <v>0</v>
      </c>
      <c r="P62" s="426">
        <f t="shared" si="49"/>
        <v>0</v>
      </c>
      <c r="Q62" s="426">
        <f t="shared" si="49"/>
        <v>0</v>
      </c>
      <c r="R62" s="426">
        <f t="shared" si="49"/>
        <v>0</v>
      </c>
      <c r="S62" s="426">
        <f t="shared" si="49"/>
        <v>0</v>
      </c>
      <c r="T62" s="426">
        <f t="shared" si="49"/>
        <v>0</v>
      </c>
      <c r="U62" s="426">
        <f t="shared" si="49"/>
        <v>0</v>
      </c>
      <c r="V62" s="426">
        <f t="shared" si="49"/>
        <v>0</v>
      </c>
      <c r="W62" s="426">
        <f t="shared" si="49"/>
        <v>0</v>
      </c>
      <c r="X62" s="426">
        <f t="shared" si="49"/>
        <v>0</v>
      </c>
      <c r="Y62" s="426">
        <f t="shared" si="49"/>
        <v>0</v>
      </c>
      <c r="Z62" s="426">
        <f t="shared" si="49"/>
        <v>0</v>
      </c>
      <c r="AA62" s="426">
        <f t="shared" si="49"/>
        <v>0</v>
      </c>
      <c r="AB62" s="426">
        <f t="shared" si="49"/>
        <v>0</v>
      </c>
      <c r="AC62" s="426">
        <f t="shared" si="49"/>
        <v>0</v>
      </c>
      <c r="AD62" s="426">
        <f t="shared" si="49"/>
        <v>0</v>
      </c>
      <c r="AE62" s="426">
        <f t="shared" si="49"/>
        <v>0</v>
      </c>
      <c r="AF62" s="426">
        <f t="shared" si="49"/>
        <v>0</v>
      </c>
      <c r="AG62" s="426">
        <f t="shared" si="49"/>
        <v>0</v>
      </c>
      <c r="AH62" s="426">
        <f t="shared" si="49"/>
        <v>0</v>
      </c>
      <c r="AI62" s="426">
        <f t="shared" si="49"/>
        <v>0</v>
      </c>
      <c r="AJ62" s="426">
        <f t="shared" ref="AJ62:BB62" si="50">AI62+AJ52</f>
        <v>0</v>
      </c>
      <c r="AK62" s="426">
        <f t="shared" si="50"/>
        <v>0</v>
      </c>
      <c r="AL62" s="426">
        <f t="shared" si="50"/>
        <v>0</v>
      </c>
      <c r="AM62" s="426">
        <f t="shared" si="50"/>
        <v>0</v>
      </c>
      <c r="AN62" s="426">
        <f t="shared" si="50"/>
        <v>0</v>
      </c>
      <c r="AO62" s="426">
        <f t="shared" si="50"/>
        <v>0</v>
      </c>
      <c r="AP62" s="426">
        <f t="shared" si="50"/>
        <v>0</v>
      </c>
      <c r="AQ62" s="426">
        <f t="shared" si="50"/>
        <v>0</v>
      </c>
      <c r="AR62" s="426">
        <f t="shared" si="50"/>
        <v>0</v>
      </c>
      <c r="AS62" s="426">
        <f t="shared" si="50"/>
        <v>0</v>
      </c>
      <c r="AT62" s="426">
        <f t="shared" si="50"/>
        <v>0</v>
      </c>
      <c r="AU62" s="426">
        <f t="shared" si="50"/>
        <v>0</v>
      </c>
      <c r="AV62" s="426">
        <f t="shared" si="50"/>
        <v>0</v>
      </c>
      <c r="AW62" s="426">
        <f t="shared" si="50"/>
        <v>0</v>
      </c>
      <c r="AX62" s="426">
        <f t="shared" si="50"/>
        <v>0</v>
      </c>
      <c r="AY62" s="426">
        <f t="shared" si="50"/>
        <v>0</v>
      </c>
      <c r="AZ62" s="426">
        <f t="shared" si="50"/>
        <v>0</v>
      </c>
      <c r="BA62" s="426">
        <f t="shared" si="50"/>
        <v>0</v>
      </c>
      <c r="BB62" s="426">
        <f t="shared" si="50"/>
        <v>0</v>
      </c>
      <c r="BC62" s="3"/>
      <c r="BD62" s="3"/>
      <c r="BE62" s="3"/>
    </row>
    <row r="63" spans="1:57" ht="19.5" customHeight="1" x14ac:dyDescent="0.3">
      <c r="A63" s="3"/>
      <c r="B63" s="191" t="s">
        <v>486</v>
      </c>
      <c r="C63" s="426">
        <f t="shared" si="38"/>
        <v>0</v>
      </c>
      <c r="D63" s="426">
        <f t="shared" ref="D63:AI63" si="51">C63+D53</f>
        <v>0</v>
      </c>
      <c r="E63" s="426">
        <f t="shared" si="51"/>
        <v>0</v>
      </c>
      <c r="F63" s="426">
        <f t="shared" si="51"/>
        <v>0</v>
      </c>
      <c r="G63" s="426">
        <f t="shared" si="51"/>
        <v>0</v>
      </c>
      <c r="H63" s="426">
        <f t="shared" si="51"/>
        <v>0</v>
      </c>
      <c r="I63" s="426">
        <f t="shared" si="51"/>
        <v>0</v>
      </c>
      <c r="J63" s="426">
        <f t="shared" si="51"/>
        <v>0</v>
      </c>
      <c r="K63" s="426">
        <f t="shared" si="51"/>
        <v>0</v>
      </c>
      <c r="L63" s="426">
        <f t="shared" si="51"/>
        <v>0</v>
      </c>
      <c r="M63" s="426">
        <f t="shared" si="51"/>
        <v>0</v>
      </c>
      <c r="N63" s="426">
        <f t="shared" si="51"/>
        <v>0</v>
      </c>
      <c r="O63" s="426">
        <f t="shared" si="51"/>
        <v>0</v>
      </c>
      <c r="P63" s="426">
        <f t="shared" si="51"/>
        <v>0</v>
      </c>
      <c r="Q63" s="426">
        <f t="shared" si="51"/>
        <v>0</v>
      </c>
      <c r="R63" s="426">
        <f t="shared" si="51"/>
        <v>0</v>
      </c>
      <c r="S63" s="426">
        <f t="shared" si="51"/>
        <v>0</v>
      </c>
      <c r="T63" s="426">
        <f t="shared" si="51"/>
        <v>0</v>
      </c>
      <c r="U63" s="426">
        <f t="shared" si="51"/>
        <v>0</v>
      </c>
      <c r="V63" s="426">
        <f t="shared" si="51"/>
        <v>0</v>
      </c>
      <c r="W63" s="426">
        <f t="shared" si="51"/>
        <v>0</v>
      </c>
      <c r="X63" s="426">
        <f t="shared" si="51"/>
        <v>0</v>
      </c>
      <c r="Y63" s="426">
        <f t="shared" si="51"/>
        <v>0</v>
      </c>
      <c r="Z63" s="426">
        <f t="shared" si="51"/>
        <v>0</v>
      </c>
      <c r="AA63" s="426">
        <f t="shared" si="51"/>
        <v>0</v>
      </c>
      <c r="AB63" s="426">
        <f t="shared" si="51"/>
        <v>0</v>
      </c>
      <c r="AC63" s="426">
        <f t="shared" si="51"/>
        <v>0</v>
      </c>
      <c r="AD63" s="426">
        <f t="shared" si="51"/>
        <v>0</v>
      </c>
      <c r="AE63" s="426">
        <f t="shared" si="51"/>
        <v>0</v>
      </c>
      <c r="AF63" s="426">
        <f t="shared" si="51"/>
        <v>0</v>
      </c>
      <c r="AG63" s="426">
        <f t="shared" si="51"/>
        <v>0</v>
      </c>
      <c r="AH63" s="426">
        <f t="shared" si="51"/>
        <v>0</v>
      </c>
      <c r="AI63" s="426">
        <f t="shared" si="51"/>
        <v>0</v>
      </c>
      <c r="AJ63" s="426">
        <f t="shared" ref="AJ63:BB63" si="52">AI63+AJ53</f>
        <v>0</v>
      </c>
      <c r="AK63" s="426">
        <f t="shared" si="52"/>
        <v>0</v>
      </c>
      <c r="AL63" s="426">
        <f t="shared" si="52"/>
        <v>0</v>
      </c>
      <c r="AM63" s="426">
        <f t="shared" si="52"/>
        <v>0</v>
      </c>
      <c r="AN63" s="426">
        <f t="shared" si="52"/>
        <v>0</v>
      </c>
      <c r="AO63" s="426">
        <f t="shared" si="52"/>
        <v>0</v>
      </c>
      <c r="AP63" s="426">
        <f t="shared" si="52"/>
        <v>0</v>
      </c>
      <c r="AQ63" s="426">
        <f t="shared" si="52"/>
        <v>0</v>
      </c>
      <c r="AR63" s="426">
        <f t="shared" si="52"/>
        <v>0</v>
      </c>
      <c r="AS63" s="426">
        <f t="shared" si="52"/>
        <v>0</v>
      </c>
      <c r="AT63" s="426">
        <f t="shared" si="52"/>
        <v>0</v>
      </c>
      <c r="AU63" s="426">
        <f t="shared" si="52"/>
        <v>0</v>
      </c>
      <c r="AV63" s="426">
        <f t="shared" si="52"/>
        <v>0</v>
      </c>
      <c r="AW63" s="426">
        <f t="shared" si="52"/>
        <v>0</v>
      </c>
      <c r="AX63" s="426">
        <f t="shared" si="52"/>
        <v>0</v>
      </c>
      <c r="AY63" s="426">
        <f t="shared" si="52"/>
        <v>0</v>
      </c>
      <c r="AZ63" s="426">
        <f t="shared" si="52"/>
        <v>0</v>
      </c>
      <c r="BA63" s="426">
        <f t="shared" si="52"/>
        <v>0</v>
      </c>
      <c r="BB63" s="426">
        <f t="shared" si="52"/>
        <v>0</v>
      </c>
      <c r="BC63" s="3"/>
      <c r="BD63" s="3"/>
      <c r="BE63" s="3"/>
    </row>
    <row r="64" spans="1:57" ht="19.5" customHeight="1" x14ac:dyDescent="0.3">
      <c r="A64" s="3"/>
      <c r="B64" s="191" t="s">
        <v>487</v>
      </c>
      <c r="C64" s="426">
        <f t="shared" si="38"/>
        <v>0</v>
      </c>
      <c r="D64" s="426">
        <f t="shared" ref="D64:AI64" si="53">C64+D54</f>
        <v>0</v>
      </c>
      <c r="E64" s="426">
        <f t="shared" si="53"/>
        <v>0</v>
      </c>
      <c r="F64" s="426">
        <f t="shared" si="53"/>
        <v>0</v>
      </c>
      <c r="G64" s="426">
        <f t="shared" si="53"/>
        <v>0</v>
      </c>
      <c r="H64" s="426">
        <f t="shared" si="53"/>
        <v>0</v>
      </c>
      <c r="I64" s="426">
        <f t="shared" si="53"/>
        <v>0</v>
      </c>
      <c r="J64" s="426">
        <f t="shared" si="53"/>
        <v>0</v>
      </c>
      <c r="K64" s="426">
        <f t="shared" si="53"/>
        <v>0</v>
      </c>
      <c r="L64" s="426">
        <f t="shared" si="53"/>
        <v>0</v>
      </c>
      <c r="M64" s="426">
        <f t="shared" si="53"/>
        <v>0</v>
      </c>
      <c r="N64" s="426">
        <f t="shared" si="53"/>
        <v>0</v>
      </c>
      <c r="O64" s="426">
        <f t="shared" si="53"/>
        <v>0</v>
      </c>
      <c r="P64" s="426">
        <f t="shared" si="53"/>
        <v>0</v>
      </c>
      <c r="Q64" s="426">
        <f t="shared" si="53"/>
        <v>0</v>
      </c>
      <c r="R64" s="426">
        <f t="shared" si="53"/>
        <v>0</v>
      </c>
      <c r="S64" s="426">
        <f t="shared" si="53"/>
        <v>0</v>
      </c>
      <c r="T64" s="426">
        <f t="shared" si="53"/>
        <v>0</v>
      </c>
      <c r="U64" s="426">
        <f t="shared" si="53"/>
        <v>0</v>
      </c>
      <c r="V64" s="426">
        <f t="shared" si="53"/>
        <v>0</v>
      </c>
      <c r="W64" s="426">
        <f t="shared" si="53"/>
        <v>0</v>
      </c>
      <c r="X64" s="426">
        <f t="shared" si="53"/>
        <v>0</v>
      </c>
      <c r="Y64" s="426">
        <f t="shared" si="53"/>
        <v>0</v>
      </c>
      <c r="Z64" s="426">
        <f t="shared" si="53"/>
        <v>0</v>
      </c>
      <c r="AA64" s="426">
        <f t="shared" si="53"/>
        <v>0</v>
      </c>
      <c r="AB64" s="426">
        <f t="shared" si="53"/>
        <v>0</v>
      </c>
      <c r="AC64" s="426">
        <f t="shared" si="53"/>
        <v>0</v>
      </c>
      <c r="AD64" s="426">
        <f t="shared" si="53"/>
        <v>0</v>
      </c>
      <c r="AE64" s="426">
        <f t="shared" si="53"/>
        <v>0</v>
      </c>
      <c r="AF64" s="426">
        <f t="shared" si="53"/>
        <v>0</v>
      </c>
      <c r="AG64" s="426">
        <f t="shared" si="53"/>
        <v>0</v>
      </c>
      <c r="AH64" s="426">
        <f t="shared" si="53"/>
        <v>0</v>
      </c>
      <c r="AI64" s="426">
        <f t="shared" si="53"/>
        <v>0</v>
      </c>
      <c r="AJ64" s="426">
        <f t="shared" ref="AJ64:BB64" si="54">AI64+AJ54</f>
        <v>0</v>
      </c>
      <c r="AK64" s="426">
        <f t="shared" si="54"/>
        <v>0</v>
      </c>
      <c r="AL64" s="426">
        <f t="shared" si="54"/>
        <v>0</v>
      </c>
      <c r="AM64" s="426">
        <f t="shared" si="54"/>
        <v>0</v>
      </c>
      <c r="AN64" s="426">
        <f t="shared" si="54"/>
        <v>0</v>
      </c>
      <c r="AO64" s="426">
        <f t="shared" si="54"/>
        <v>0</v>
      </c>
      <c r="AP64" s="426">
        <f t="shared" si="54"/>
        <v>0</v>
      </c>
      <c r="AQ64" s="426">
        <f t="shared" si="54"/>
        <v>0</v>
      </c>
      <c r="AR64" s="426">
        <f t="shared" si="54"/>
        <v>0</v>
      </c>
      <c r="AS64" s="426">
        <f t="shared" si="54"/>
        <v>0</v>
      </c>
      <c r="AT64" s="426">
        <f t="shared" si="54"/>
        <v>0</v>
      </c>
      <c r="AU64" s="426">
        <f t="shared" si="54"/>
        <v>0</v>
      </c>
      <c r="AV64" s="426">
        <f t="shared" si="54"/>
        <v>0</v>
      </c>
      <c r="AW64" s="426">
        <f t="shared" si="54"/>
        <v>0</v>
      </c>
      <c r="AX64" s="426">
        <f t="shared" si="54"/>
        <v>0</v>
      </c>
      <c r="AY64" s="426">
        <f t="shared" si="54"/>
        <v>0</v>
      </c>
      <c r="AZ64" s="426">
        <f t="shared" si="54"/>
        <v>0</v>
      </c>
      <c r="BA64" s="426">
        <f t="shared" si="54"/>
        <v>0</v>
      </c>
      <c r="BB64" s="426">
        <f t="shared" si="54"/>
        <v>0</v>
      </c>
      <c r="BC64" s="3"/>
      <c r="BD64" s="3"/>
      <c r="BE64" s="3"/>
    </row>
    <row r="65" spans="1:57" ht="19.5" customHeight="1" x14ac:dyDescent="0.3">
      <c r="A65" s="3"/>
      <c r="B65" s="191" t="s">
        <v>488</v>
      </c>
      <c r="C65" s="426">
        <f t="shared" si="38"/>
        <v>0</v>
      </c>
      <c r="D65" s="426">
        <f t="shared" ref="D65:AI65" si="55">C65+D55</f>
        <v>0</v>
      </c>
      <c r="E65" s="426">
        <f t="shared" si="55"/>
        <v>0</v>
      </c>
      <c r="F65" s="426">
        <f t="shared" si="55"/>
        <v>0</v>
      </c>
      <c r="G65" s="426">
        <f t="shared" si="55"/>
        <v>0</v>
      </c>
      <c r="H65" s="426">
        <f t="shared" si="55"/>
        <v>0</v>
      </c>
      <c r="I65" s="426">
        <f t="shared" si="55"/>
        <v>0</v>
      </c>
      <c r="J65" s="426">
        <f t="shared" si="55"/>
        <v>0</v>
      </c>
      <c r="K65" s="426">
        <f t="shared" si="55"/>
        <v>0</v>
      </c>
      <c r="L65" s="426">
        <f t="shared" si="55"/>
        <v>0</v>
      </c>
      <c r="M65" s="426">
        <f t="shared" si="55"/>
        <v>0</v>
      </c>
      <c r="N65" s="426">
        <f t="shared" si="55"/>
        <v>0</v>
      </c>
      <c r="O65" s="426">
        <f t="shared" si="55"/>
        <v>0</v>
      </c>
      <c r="P65" s="426">
        <f t="shared" si="55"/>
        <v>0</v>
      </c>
      <c r="Q65" s="426">
        <f t="shared" si="55"/>
        <v>0</v>
      </c>
      <c r="R65" s="426">
        <f t="shared" si="55"/>
        <v>0</v>
      </c>
      <c r="S65" s="426">
        <f t="shared" si="55"/>
        <v>0</v>
      </c>
      <c r="T65" s="426">
        <f t="shared" si="55"/>
        <v>0</v>
      </c>
      <c r="U65" s="426">
        <f t="shared" si="55"/>
        <v>0</v>
      </c>
      <c r="V65" s="426">
        <f t="shared" si="55"/>
        <v>0</v>
      </c>
      <c r="W65" s="426">
        <f t="shared" si="55"/>
        <v>0</v>
      </c>
      <c r="X65" s="426">
        <f t="shared" si="55"/>
        <v>0</v>
      </c>
      <c r="Y65" s="426">
        <f t="shared" si="55"/>
        <v>0</v>
      </c>
      <c r="Z65" s="426">
        <f t="shared" si="55"/>
        <v>0</v>
      </c>
      <c r="AA65" s="426">
        <f t="shared" si="55"/>
        <v>0</v>
      </c>
      <c r="AB65" s="426">
        <f t="shared" si="55"/>
        <v>0</v>
      </c>
      <c r="AC65" s="426">
        <f t="shared" si="55"/>
        <v>0</v>
      </c>
      <c r="AD65" s="426">
        <f t="shared" si="55"/>
        <v>0</v>
      </c>
      <c r="AE65" s="426">
        <f t="shared" si="55"/>
        <v>0</v>
      </c>
      <c r="AF65" s="426">
        <f t="shared" si="55"/>
        <v>0</v>
      </c>
      <c r="AG65" s="426">
        <f t="shared" si="55"/>
        <v>0</v>
      </c>
      <c r="AH65" s="426">
        <f t="shared" si="55"/>
        <v>0</v>
      </c>
      <c r="AI65" s="426">
        <f t="shared" si="55"/>
        <v>0</v>
      </c>
      <c r="AJ65" s="426">
        <f t="shared" ref="AJ65:BB65" si="56">AI65+AJ55</f>
        <v>0</v>
      </c>
      <c r="AK65" s="426">
        <f t="shared" si="56"/>
        <v>0</v>
      </c>
      <c r="AL65" s="426">
        <f t="shared" si="56"/>
        <v>0</v>
      </c>
      <c r="AM65" s="426">
        <f t="shared" si="56"/>
        <v>0</v>
      </c>
      <c r="AN65" s="426">
        <f t="shared" si="56"/>
        <v>0</v>
      </c>
      <c r="AO65" s="426">
        <f t="shared" si="56"/>
        <v>0</v>
      </c>
      <c r="AP65" s="426">
        <f t="shared" si="56"/>
        <v>0</v>
      </c>
      <c r="AQ65" s="426">
        <f t="shared" si="56"/>
        <v>0</v>
      </c>
      <c r="AR65" s="426">
        <f t="shared" si="56"/>
        <v>0</v>
      </c>
      <c r="AS65" s="426">
        <f t="shared" si="56"/>
        <v>0</v>
      </c>
      <c r="AT65" s="426">
        <f t="shared" si="56"/>
        <v>0</v>
      </c>
      <c r="AU65" s="426">
        <f t="shared" si="56"/>
        <v>0</v>
      </c>
      <c r="AV65" s="426">
        <f t="shared" si="56"/>
        <v>0</v>
      </c>
      <c r="AW65" s="426">
        <f t="shared" si="56"/>
        <v>0</v>
      </c>
      <c r="AX65" s="426">
        <f t="shared" si="56"/>
        <v>0</v>
      </c>
      <c r="AY65" s="426">
        <f t="shared" si="56"/>
        <v>0</v>
      </c>
      <c r="AZ65" s="426">
        <f t="shared" si="56"/>
        <v>0</v>
      </c>
      <c r="BA65" s="426">
        <f t="shared" si="56"/>
        <v>0</v>
      </c>
      <c r="BB65" s="426">
        <f t="shared" si="56"/>
        <v>0</v>
      </c>
      <c r="BC65" s="3"/>
      <c r="BD65" s="3"/>
      <c r="BE65" s="3"/>
    </row>
    <row r="66" spans="1:57" ht="19.5" customHeight="1" x14ac:dyDescent="0.3">
      <c r="A66" s="3"/>
      <c r="B66" s="191" t="s">
        <v>489</v>
      </c>
      <c r="C66" s="426">
        <f t="shared" si="38"/>
        <v>0</v>
      </c>
      <c r="D66" s="426">
        <f t="shared" ref="D66:AI66" si="57">C66+D56</f>
        <v>0</v>
      </c>
      <c r="E66" s="426">
        <f t="shared" si="57"/>
        <v>0</v>
      </c>
      <c r="F66" s="426">
        <f t="shared" si="57"/>
        <v>0</v>
      </c>
      <c r="G66" s="426">
        <f t="shared" si="57"/>
        <v>0</v>
      </c>
      <c r="H66" s="426">
        <f t="shared" si="57"/>
        <v>0</v>
      </c>
      <c r="I66" s="426">
        <f t="shared" si="57"/>
        <v>0</v>
      </c>
      <c r="J66" s="426">
        <f t="shared" si="57"/>
        <v>0</v>
      </c>
      <c r="K66" s="426">
        <f t="shared" si="57"/>
        <v>0</v>
      </c>
      <c r="L66" s="426">
        <f t="shared" si="57"/>
        <v>0</v>
      </c>
      <c r="M66" s="426">
        <f t="shared" si="57"/>
        <v>0</v>
      </c>
      <c r="N66" s="426">
        <f t="shared" si="57"/>
        <v>0</v>
      </c>
      <c r="O66" s="426">
        <f t="shared" si="57"/>
        <v>0</v>
      </c>
      <c r="P66" s="426">
        <f t="shared" si="57"/>
        <v>0</v>
      </c>
      <c r="Q66" s="426">
        <f t="shared" si="57"/>
        <v>0</v>
      </c>
      <c r="R66" s="426">
        <f t="shared" si="57"/>
        <v>0</v>
      </c>
      <c r="S66" s="426">
        <f t="shared" si="57"/>
        <v>0</v>
      </c>
      <c r="T66" s="426">
        <f t="shared" si="57"/>
        <v>0</v>
      </c>
      <c r="U66" s="426">
        <f t="shared" si="57"/>
        <v>0</v>
      </c>
      <c r="V66" s="426">
        <f t="shared" si="57"/>
        <v>0</v>
      </c>
      <c r="W66" s="426">
        <f t="shared" si="57"/>
        <v>0</v>
      </c>
      <c r="X66" s="426">
        <f t="shared" si="57"/>
        <v>0</v>
      </c>
      <c r="Y66" s="426">
        <f t="shared" si="57"/>
        <v>0</v>
      </c>
      <c r="Z66" s="426">
        <f t="shared" si="57"/>
        <v>0</v>
      </c>
      <c r="AA66" s="426">
        <f t="shared" si="57"/>
        <v>0</v>
      </c>
      <c r="AB66" s="426">
        <f t="shared" si="57"/>
        <v>0</v>
      </c>
      <c r="AC66" s="426">
        <f t="shared" si="57"/>
        <v>0</v>
      </c>
      <c r="AD66" s="426">
        <f t="shared" si="57"/>
        <v>0</v>
      </c>
      <c r="AE66" s="426">
        <f t="shared" si="57"/>
        <v>0</v>
      </c>
      <c r="AF66" s="426">
        <f t="shared" si="57"/>
        <v>0</v>
      </c>
      <c r="AG66" s="426">
        <f t="shared" si="57"/>
        <v>0</v>
      </c>
      <c r="AH66" s="426">
        <f t="shared" si="57"/>
        <v>0</v>
      </c>
      <c r="AI66" s="426">
        <f t="shared" si="57"/>
        <v>0</v>
      </c>
      <c r="AJ66" s="426">
        <f t="shared" ref="AJ66:BB66" si="58">AI66+AJ56</f>
        <v>0</v>
      </c>
      <c r="AK66" s="426">
        <f t="shared" si="58"/>
        <v>0</v>
      </c>
      <c r="AL66" s="426">
        <f t="shared" si="58"/>
        <v>0</v>
      </c>
      <c r="AM66" s="426">
        <f t="shared" si="58"/>
        <v>0</v>
      </c>
      <c r="AN66" s="426">
        <f t="shared" si="58"/>
        <v>0</v>
      </c>
      <c r="AO66" s="426">
        <f t="shared" si="58"/>
        <v>0</v>
      </c>
      <c r="AP66" s="426">
        <f t="shared" si="58"/>
        <v>0</v>
      </c>
      <c r="AQ66" s="426">
        <f t="shared" si="58"/>
        <v>0</v>
      </c>
      <c r="AR66" s="426">
        <f t="shared" si="58"/>
        <v>0</v>
      </c>
      <c r="AS66" s="426">
        <f t="shared" si="58"/>
        <v>0</v>
      </c>
      <c r="AT66" s="426">
        <f t="shared" si="58"/>
        <v>0</v>
      </c>
      <c r="AU66" s="426">
        <f t="shared" si="58"/>
        <v>0</v>
      </c>
      <c r="AV66" s="426">
        <f t="shared" si="58"/>
        <v>0</v>
      </c>
      <c r="AW66" s="426">
        <f t="shared" si="58"/>
        <v>0</v>
      </c>
      <c r="AX66" s="426">
        <f t="shared" si="58"/>
        <v>0</v>
      </c>
      <c r="AY66" s="426">
        <f t="shared" si="58"/>
        <v>0</v>
      </c>
      <c r="AZ66" s="426">
        <f t="shared" si="58"/>
        <v>0</v>
      </c>
      <c r="BA66" s="426">
        <f t="shared" si="58"/>
        <v>0</v>
      </c>
      <c r="BB66" s="426">
        <f t="shared" si="58"/>
        <v>0</v>
      </c>
      <c r="BC66" s="3"/>
      <c r="BD66" s="3"/>
      <c r="BE66" s="3"/>
    </row>
    <row r="67" spans="1:57" ht="19.5" customHeight="1" x14ac:dyDescent="0.3">
      <c r="A67" s="3"/>
      <c r="B67" s="513"/>
      <c r="C67" s="514"/>
      <c r="D67" s="429"/>
      <c r="E67" s="429"/>
      <c r="F67" s="429"/>
      <c r="G67" s="514"/>
      <c r="H67" s="514"/>
      <c r="I67" s="429"/>
      <c r="J67" s="429"/>
      <c r="K67" s="429"/>
      <c r="L67" s="514"/>
      <c r="M67" s="514"/>
      <c r="N67" s="514"/>
      <c r="O67" s="514"/>
      <c r="P67" s="514"/>
      <c r="Q67" s="514"/>
      <c r="R67" s="514"/>
      <c r="S67" s="514"/>
      <c r="T67" s="514"/>
      <c r="U67" s="514"/>
      <c r="V67" s="514"/>
      <c r="W67" s="514"/>
      <c r="X67" s="514"/>
      <c r="Y67" s="514"/>
      <c r="Z67" s="514"/>
      <c r="AA67" s="514"/>
      <c r="AB67" s="514"/>
      <c r="AC67" s="514"/>
      <c r="AD67" s="514"/>
      <c r="AE67" s="514"/>
      <c r="AF67" s="514"/>
      <c r="AG67" s="514"/>
      <c r="AH67" s="514"/>
      <c r="AI67" s="514"/>
      <c r="AJ67" s="514"/>
      <c r="AK67" s="514"/>
      <c r="AL67" s="514"/>
      <c r="AM67" s="514"/>
      <c r="AN67" s="514"/>
      <c r="AO67" s="514"/>
      <c r="AP67" s="514"/>
      <c r="AQ67" s="514"/>
      <c r="AR67" s="514"/>
      <c r="AS67" s="514"/>
      <c r="AT67" s="514"/>
      <c r="AU67" s="514"/>
      <c r="AV67" s="514"/>
      <c r="AW67" s="514"/>
      <c r="AX67" s="514"/>
      <c r="AY67" s="514"/>
      <c r="AZ67" s="514"/>
      <c r="BA67" s="514"/>
      <c r="BB67" s="515"/>
      <c r="BC67" s="3"/>
      <c r="BD67" s="3"/>
      <c r="BE67" s="3"/>
    </row>
    <row r="68" spans="1:57" ht="19.5" customHeight="1" x14ac:dyDescent="0.3">
      <c r="A68" s="3"/>
      <c r="B68" s="513"/>
      <c r="C68" s="514"/>
      <c r="D68" s="429"/>
      <c r="E68" s="429"/>
      <c r="F68" s="429"/>
      <c r="G68" s="514"/>
      <c r="H68" s="514"/>
      <c r="I68" s="429"/>
      <c r="J68" s="429"/>
      <c r="K68" s="429"/>
      <c r="L68" s="514"/>
      <c r="M68" s="514"/>
      <c r="N68" s="514"/>
      <c r="O68" s="514"/>
      <c r="P68" s="514"/>
      <c r="Q68" s="514"/>
      <c r="R68" s="514"/>
      <c r="S68" s="514"/>
      <c r="T68" s="514"/>
      <c r="U68" s="514"/>
      <c r="V68" s="514"/>
      <c r="W68" s="514"/>
      <c r="X68" s="514"/>
      <c r="Y68" s="514"/>
      <c r="Z68" s="514"/>
      <c r="AA68" s="514"/>
      <c r="AB68" s="514"/>
      <c r="AC68" s="514"/>
      <c r="AD68" s="514"/>
      <c r="AE68" s="514"/>
      <c r="AF68" s="514"/>
      <c r="AG68" s="514"/>
      <c r="AH68" s="514"/>
      <c r="AI68" s="514"/>
      <c r="AJ68" s="514"/>
      <c r="AK68" s="514"/>
      <c r="AL68" s="514"/>
      <c r="AM68" s="514"/>
      <c r="AN68" s="514"/>
      <c r="AO68" s="514"/>
      <c r="AP68" s="514"/>
      <c r="AQ68" s="514"/>
      <c r="AR68" s="514"/>
      <c r="AS68" s="514"/>
      <c r="AT68" s="514"/>
      <c r="AU68" s="514"/>
      <c r="AV68" s="514"/>
      <c r="AW68" s="514"/>
      <c r="AX68" s="514"/>
      <c r="AY68" s="514"/>
      <c r="AZ68" s="514"/>
      <c r="BA68" s="514"/>
      <c r="BB68" s="515"/>
      <c r="BC68" s="3"/>
      <c r="BD68" s="3"/>
      <c r="BE68" s="3"/>
    </row>
    <row r="69" spans="1:57" ht="19.5" customHeight="1" x14ac:dyDescent="0.3">
      <c r="A69" s="3"/>
      <c r="B69" s="513"/>
      <c r="C69" s="514"/>
      <c r="D69" s="429"/>
      <c r="E69" s="429"/>
      <c r="F69" s="429"/>
      <c r="G69" s="514"/>
      <c r="H69" s="514"/>
      <c r="I69" s="429"/>
      <c r="J69" s="429"/>
      <c r="K69" s="429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  <c r="X69" s="514"/>
      <c r="Y69" s="514"/>
      <c r="Z69" s="514"/>
      <c r="AA69" s="514"/>
      <c r="AB69" s="514"/>
      <c r="AC69" s="514"/>
      <c r="AD69" s="514"/>
      <c r="AE69" s="514"/>
      <c r="AF69" s="514"/>
      <c r="AG69" s="514"/>
      <c r="AH69" s="514"/>
      <c r="AI69" s="514"/>
      <c r="AJ69" s="514"/>
      <c r="AK69" s="514"/>
      <c r="AL69" s="514"/>
      <c r="AM69" s="514"/>
      <c r="AN69" s="514"/>
      <c r="AO69" s="514"/>
      <c r="AP69" s="514"/>
      <c r="AQ69" s="514"/>
      <c r="AR69" s="514"/>
      <c r="AS69" s="514"/>
      <c r="AT69" s="514"/>
      <c r="AU69" s="514"/>
      <c r="AV69" s="514"/>
      <c r="AW69" s="514"/>
      <c r="AX69" s="514"/>
      <c r="AY69" s="514"/>
      <c r="AZ69" s="514"/>
      <c r="BA69" s="514"/>
      <c r="BB69" s="515"/>
      <c r="BC69" s="3"/>
      <c r="BD69" s="3"/>
      <c r="BE69" s="3"/>
    </row>
    <row r="70" spans="1:57" ht="19.5" customHeight="1" x14ac:dyDescent="0.3">
      <c r="A70" s="3"/>
      <c r="B70" s="191" t="s">
        <v>490</v>
      </c>
      <c r="C70" s="427">
        <f>SUMIFS(Data!$S$3:$S$150,Data!$N$3:$N$150,C$1,Data!$K$3:$K$150,'Reporting 2022'!$B15)</f>
        <v>8579</v>
      </c>
      <c r="D70" s="427">
        <f>SUMIFS(Data!$S$3:$S$150,Data!$N$3:$N$150,D$1,Data!$K$3:$K$150,'Reporting 2022'!$B15)</f>
        <v>0</v>
      </c>
      <c r="E70" s="427">
        <f>SUMIFS(Data!$S$3:$S$150,Data!$N$3:$N$150,E$1,Data!$K$3:$K$150,'Reporting 2022'!$B15)</f>
        <v>0</v>
      </c>
      <c r="F70" s="427">
        <f>SUMIFS(Data!$S$3:$S$150,Data!$N$3:$N$150,F$1,Data!$K$3:$K$150,'Reporting 2022'!$B15)</f>
        <v>0</v>
      </c>
      <c r="G70" s="427">
        <f>SUMIFS(Data!$S$3:$S$150,Data!$N$3:$N$150,G$1,Data!$K$3:$K$150,'Reporting 2022'!$B15)</f>
        <v>0</v>
      </c>
      <c r="H70" s="427">
        <f>SUMIFS(Data!$S$3:$S$150,Data!$N$3:$N$150,H$1,Data!$K$3:$K$150,'Reporting 2022'!$B15)</f>
        <v>0</v>
      </c>
      <c r="I70" s="427">
        <f>SUMIFS(Data!$S$3:$S$150,Data!$N$3:$N$150,I$1,Data!$K$3:$K$150,'Reporting 2022'!$B15)</f>
        <v>0</v>
      </c>
      <c r="J70" s="427">
        <f>SUMIFS(Data!$S$3:$S$150,Data!$N$3:$N$150,J$1,Data!$K$3:$K$150,'Reporting 2022'!$B15)</f>
        <v>0</v>
      </c>
      <c r="K70" s="427">
        <f>SUMIFS(Data!$S$3:$S$150,Data!$N$3:$N$150,K$1,Data!$K$3:$K$150,'Reporting 2022'!$B15)</f>
        <v>0</v>
      </c>
      <c r="L70" s="427">
        <f>SUMIFS(Data!$S$3:$S$150,Data!$N$3:$N$150,L$1,Data!$K$3:$K$150,'Reporting 2022'!$B15)</f>
        <v>0</v>
      </c>
      <c r="M70" s="427">
        <f>SUMIFS(Data!$S$3:$S$150,Data!$N$3:$N$150,M$1,Data!$K$3:$K$150,'Reporting 2022'!$B15)</f>
        <v>0</v>
      </c>
      <c r="N70" s="427">
        <f>SUMIFS(Data!$S$3:$S$150,Data!$N$3:$N$150,N$1,Data!$K$3:$K$150,'Reporting 2022'!$B15)</f>
        <v>0</v>
      </c>
      <c r="O70" s="427">
        <f>SUMIFS(Data!$S$3:$S$150,Data!$N$3:$N$150,O$1,Data!$K$3:$K$150,'Reporting 2022'!$B15)</f>
        <v>0</v>
      </c>
      <c r="P70" s="427">
        <f>SUMIFS(Data!$S$3:$S$150,Data!$N$3:$N$150,P$1,Data!$K$3:$K$150,'Reporting 2022'!$B15)</f>
        <v>0</v>
      </c>
      <c r="Q70" s="427">
        <f>SUMIFS(Data!$S$3:$S$150,Data!$N$3:$N$150,Q$1,Data!$K$3:$K$150,'Reporting 2022'!$B15)</f>
        <v>0</v>
      </c>
      <c r="R70" s="427">
        <f>SUMIFS(Data!$S$3:$S$150,Data!$N$3:$N$150,R$1,Data!$K$3:$K$150,'Reporting 2022'!$B15)</f>
        <v>0</v>
      </c>
      <c r="S70" s="427">
        <f>SUMIFS(Data!$S$3:$S$150,Data!$N$3:$N$150,S$1,Data!$K$3:$K$150,'Reporting 2022'!$B15)</f>
        <v>0</v>
      </c>
      <c r="T70" s="427">
        <f>SUMIFS(Data!$S$3:$S$150,Data!$N$3:$N$150,T$1,Data!$K$3:$K$150,'Reporting 2022'!$B15)</f>
        <v>0</v>
      </c>
      <c r="U70" s="427">
        <f>SUMIFS(Data!$S$3:$S$150,Data!$N$3:$N$150,U$1,Data!$K$3:$K$150,'Reporting 2022'!$B15)</f>
        <v>0</v>
      </c>
      <c r="V70" s="427">
        <f>SUMIFS(Data!$S$3:$S$150,Data!$N$3:$N$150,V$1,Data!$K$3:$K$150,'Reporting 2022'!$B15)</f>
        <v>0</v>
      </c>
      <c r="W70" s="427">
        <f>SUMIFS(Data!$S$3:$S$150,Data!$N$3:$N$150,W$1,Data!$K$3:$K$150,'Reporting 2022'!$B15)</f>
        <v>0</v>
      </c>
      <c r="X70" s="427">
        <f>SUMIFS(Data!$S$3:$S$150,Data!$N$3:$N$150,X$1,Data!$K$3:$K$150,'Reporting 2022'!$B15)</f>
        <v>0</v>
      </c>
      <c r="Y70" s="427">
        <f>SUMIFS(Data!$S$3:$S$150,Data!$N$3:$N$150,Y$1,Data!$K$3:$K$150,'Reporting 2022'!$B15)</f>
        <v>0</v>
      </c>
      <c r="Z70" s="427">
        <f>SUMIFS(Data!$S$3:$S$150,Data!$N$3:$N$150,Z$1,Data!$K$3:$K$150,'Reporting 2022'!$B15)</f>
        <v>0</v>
      </c>
      <c r="AA70" s="427">
        <f>SUMIFS(Data!$S$3:$S$150,Data!$N$3:$N$150,AA$1,Data!$K$3:$K$150,'Reporting 2022'!$B15)</f>
        <v>0</v>
      </c>
      <c r="AB70" s="427">
        <f>SUMIFS(Data!$S$3:$S$150,Data!$N$3:$N$150,AB$1,Data!$K$3:$K$150,'Reporting 2022'!$B15)</f>
        <v>0</v>
      </c>
      <c r="AC70" s="427">
        <f>SUMIFS(Data!$S$3:$S$150,Data!$N$3:$N$150,AC$1,Data!$K$3:$K$150,'Reporting 2022'!$B15)</f>
        <v>0</v>
      </c>
      <c r="AD70" s="427">
        <f>SUMIFS(Data!$S$3:$S$150,Data!$N$3:$N$150,AD$1,Data!$K$3:$K$150,'Reporting 2022'!$B15)</f>
        <v>0</v>
      </c>
      <c r="AE70" s="427">
        <f>SUMIFS(Data!$S$3:$S$150,Data!$N$3:$N$150,AE$1,Data!$K$3:$K$150,'Reporting 2022'!$B15)</f>
        <v>0</v>
      </c>
      <c r="AF70" s="427">
        <f>SUMIFS(Data!$S$3:$S$150,Data!$N$3:$N$150,AF$1,Data!$K$3:$K$150,'Reporting 2022'!$B15)</f>
        <v>0</v>
      </c>
      <c r="AG70" s="427">
        <f>SUMIFS(Data!$S$3:$S$150,Data!$N$3:$N$150,AG$1,Data!$K$3:$K$150,'Reporting 2022'!$B15)</f>
        <v>0</v>
      </c>
      <c r="AH70" s="427">
        <f>SUMIFS(Data!$S$3:$S$150,Data!$N$3:$N$150,AH$1,Data!$K$3:$K$150,'Reporting 2022'!$B15)</f>
        <v>0</v>
      </c>
      <c r="AI70" s="427">
        <f>SUMIFS(Data!$S$3:$S$150,Data!$N$3:$N$150,AI$1,Data!$K$3:$K$150,'Reporting 2022'!$B15)</f>
        <v>0</v>
      </c>
      <c r="AJ70" s="427">
        <f>SUMIFS(Data!$S$3:$S$150,Data!$N$3:$N$150,AJ$1,Data!$K$3:$K$150,'Reporting 2022'!$B15)</f>
        <v>0</v>
      </c>
      <c r="AK70" s="427">
        <f>SUMIFS(Data!$S$3:$S$150,Data!$N$3:$N$150,AK$1,Data!$K$3:$K$150,'Reporting 2022'!$B15)</f>
        <v>0</v>
      </c>
      <c r="AL70" s="427">
        <f>SUMIFS(Data!$S$3:$S$150,Data!$N$3:$N$150,AL$1,Data!$K$3:$K$150,'Reporting 2022'!$B15)</f>
        <v>0</v>
      </c>
      <c r="AM70" s="427">
        <f>SUMIFS(Data!$S$3:$S$150,Data!$N$3:$N$150,AM$1,Data!$K$3:$K$150,'Reporting 2022'!$B15)</f>
        <v>0</v>
      </c>
      <c r="AN70" s="427">
        <f>SUMIFS(Data!$S$3:$S$150,Data!$N$3:$N$150,AN$1,Data!$K$3:$K$150,'Reporting 2022'!$B15)</f>
        <v>0</v>
      </c>
      <c r="AO70" s="427">
        <f>SUMIFS(Data!$S$3:$S$150,Data!$N$3:$N$150,AO$1,Data!$K$3:$K$150,'Reporting 2022'!$B15)</f>
        <v>0</v>
      </c>
      <c r="AP70" s="427">
        <f>SUMIFS(Data!$S$3:$S$150,Data!$N$3:$N$150,AP$1,Data!$K$3:$K$150,'Reporting 2022'!$B15)</f>
        <v>0</v>
      </c>
      <c r="AQ70" s="427">
        <f>SUMIFS(Data!$S$3:$S$150,Data!$N$3:$N$150,AQ$1,Data!$K$3:$K$150,'Reporting 2022'!$B15)</f>
        <v>0</v>
      </c>
      <c r="AR70" s="427">
        <f>SUMIFS(Data!$S$3:$S$150,Data!$N$3:$N$150,AR$1,Data!$K$3:$K$150,'Reporting 2022'!$B15)</f>
        <v>0</v>
      </c>
      <c r="AS70" s="427">
        <f>SUMIFS(Data!$S$3:$S$150,Data!$N$3:$N$150,AS$1,Data!$K$3:$K$150,'Reporting 2022'!$B15)</f>
        <v>0</v>
      </c>
      <c r="AT70" s="427">
        <f>SUMIFS(Data!$S$3:$S$150,Data!$N$3:$N$150,AT$1,Data!$K$3:$K$150,'Reporting 2022'!$B15)</f>
        <v>0</v>
      </c>
      <c r="AU70" s="427">
        <f>SUMIFS(Data!$S$3:$S$150,Data!$N$3:$N$150,AU$1,Data!$K$3:$K$150,'Reporting 2022'!$B15)</f>
        <v>0</v>
      </c>
      <c r="AV70" s="427">
        <f>SUMIFS(Data!$S$3:$S$150,Data!$N$3:$N$150,AV$1,Data!$K$3:$K$150,'Reporting 2022'!$B15)</f>
        <v>0</v>
      </c>
      <c r="AW70" s="427">
        <f>SUMIFS(Data!$S$3:$S$150,Data!$N$3:$N$150,AW$1,Data!$K$3:$K$150,'Reporting 2022'!$B15)</f>
        <v>0</v>
      </c>
      <c r="AX70" s="427">
        <f>SUMIFS(Data!$S$3:$S$150,Data!$N$3:$N$150,AX$1,Data!$K$3:$K$150,'Reporting 2022'!$B15)</f>
        <v>0</v>
      </c>
      <c r="AY70" s="427">
        <f>SUMIFS(Data!$S$3:$S$150,Data!$N$3:$N$150,AY$1,Data!$K$3:$K$150,'Reporting 2022'!$B15)</f>
        <v>0</v>
      </c>
      <c r="AZ70" s="427">
        <f>SUMIFS(Data!$S$3:$S$150,Data!$N$3:$N$150,AZ$1,Data!$K$3:$K$150,'Reporting 2022'!$B15)</f>
        <v>0</v>
      </c>
      <c r="BA70" s="427">
        <f>SUMIFS(Data!$S$3:$S$150,Data!$N$3:$N$150,BA$1,Data!$K$3:$K$150,'Reporting 2022'!$B15)</f>
        <v>0</v>
      </c>
      <c r="BB70" s="427">
        <f>SUMIFS(Data!$S$3:$S$150,Data!$N$3:$N$150,BB$1,Data!$K$3:$K$150,'Reporting 2022'!$B15)</f>
        <v>0</v>
      </c>
      <c r="BC70" s="3"/>
      <c r="BD70" s="3"/>
      <c r="BE70" s="3"/>
    </row>
    <row r="71" spans="1:57" ht="19.5" customHeight="1" x14ac:dyDescent="0.3">
      <c r="A71" s="3"/>
      <c r="B71" s="191" t="s">
        <v>491</v>
      </c>
      <c r="C71" s="427">
        <f>SUMIFS(Data!$S$3:$S$150,Data!$N$3:$N$150,C$1,Data!$K$3:$K$150,'Reporting 2022'!$B16)</f>
        <v>0</v>
      </c>
      <c r="D71" s="427">
        <f>SUMIFS(Data!$S$3:$S$150,Data!$N$3:$N$150,D$1,Data!$K$3:$K$150,'Reporting 2022'!$B16)</f>
        <v>0</v>
      </c>
      <c r="E71" s="427">
        <f>SUMIFS(Data!$S$3:$S$150,Data!$N$3:$N$150,E$1,Data!$K$3:$K$150,'Reporting 2022'!$B16)</f>
        <v>0</v>
      </c>
      <c r="F71" s="427">
        <f>SUMIFS(Data!$S$3:$S$150,Data!$N$3:$N$150,F$1,Data!$K$3:$K$150,'Reporting 2022'!$B16)</f>
        <v>0</v>
      </c>
      <c r="G71" s="427">
        <f>SUMIFS(Data!$S$3:$S$150,Data!$N$3:$N$150,G$1,Data!$K$3:$K$150,'Reporting 2022'!$B16)</f>
        <v>0</v>
      </c>
      <c r="H71" s="427">
        <f>SUMIFS(Data!$S$3:$S$150,Data!$N$3:$N$150,H$1,Data!$K$3:$K$150,'Reporting 2022'!$B16)</f>
        <v>0</v>
      </c>
      <c r="I71" s="427">
        <f>SUMIFS(Data!$S$3:$S$150,Data!$N$3:$N$150,I$1,Data!$K$3:$K$150,'Reporting 2022'!$B16)</f>
        <v>0</v>
      </c>
      <c r="J71" s="427">
        <f>SUMIFS(Data!$S$3:$S$150,Data!$N$3:$N$150,J$1,Data!$K$3:$K$150,'Reporting 2022'!$B16)</f>
        <v>0</v>
      </c>
      <c r="K71" s="427">
        <f>SUMIFS(Data!$S$3:$S$150,Data!$N$3:$N$150,K$1,Data!$K$3:$K$150,'Reporting 2022'!$B16)</f>
        <v>0</v>
      </c>
      <c r="L71" s="427">
        <f>SUMIFS(Data!$S$3:$S$150,Data!$N$3:$N$150,L$1,Data!$K$3:$K$150,'Reporting 2022'!$B16)</f>
        <v>0</v>
      </c>
      <c r="M71" s="427">
        <f>SUMIFS(Data!$S$3:$S$150,Data!$N$3:$N$150,M$1,Data!$K$3:$K$150,'Reporting 2022'!$B16)</f>
        <v>0</v>
      </c>
      <c r="N71" s="427">
        <f>SUMIFS(Data!$S$3:$S$150,Data!$N$3:$N$150,N$1,Data!$K$3:$K$150,'Reporting 2022'!$B16)</f>
        <v>0</v>
      </c>
      <c r="O71" s="427">
        <f>SUMIFS(Data!$S$3:$S$150,Data!$N$3:$N$150,O$1,Data!$K$3:$K$150,'Reporting 2022'!$B16)</f>
        <v>0</v>
      </c>
      <c r="P71" s="427">
        <f>SUMIFS(Data!$S$3:$S$150,Data!$N$3:$N$150,P$1,Data!$K$3:$K$150,'Reporting 2022'!$B16)</f>
        <v>0</v>
      </c>
      <c r="Q71" s="427">
        <f>SUMIFS(Data!$S$3:$S$150,Data!$N$3:$N$150,Q$1,Data!$K$3:$K$150,'Reporting 2022'!$B16)</f>
        <v>0</v>
      </c>
      <c r="R71" s="427">
        <f>SUMIFS(Data!$S$3:$S$150,Data!$N$3:$N$150,R$1,Data!$K$3:$K$150,'Reporting 2022'!$B16)</f>
        <v>0</v>
      </c>
      <c r="S71" s="427">
        <f>SUMIFS(Data!$S$3:$S$150,Data!$N$3:$N$150,S$1,Data!$K$3:$K$150,'Reporting 2022'!$B16)</f>
        <v>0</v>
      </c>
      <c r="T71" s="427">
        <f>SUMIFS(Data!$S$3:$S$150,Data!$N$3:$N$150,T$1,Data!$K$3:$K$150,'Reporting 2022'!$B16)</f>
        <v>0</v>
      </c>
      <c r="U71" s="427">
        <f>SUMIFS(Data!$S$3:$S$150,Data!$N$3:$N$150,U$1,Data!$K$3:$K$150,'Reporting 2022'!$B16)</f>
        <v>0</v>
      </c>
      <c r="V71" s="427">
        <f>SUMIFS(Data!$S$3:$S$150,Data!$N$3:$N$150,V$1,Data!$K$3:$K$150,'Reporting 2022'!$B16)</f>
        <v>0</v>
      </c>
      <c r="W71" s="427">
        <f>SUMIFS(Data!$S$3:$S$150,Data!$N$3:$N$150,W$1,Data!$K$3:$K$150,'Reporting 2022'!$B16)</f>
        <v>0</v>
      </c>
      <c r="X71" s="427">
        <f>SUMIFS(Data!$S$3:$S$150,Data!$N$3:$N$150,X$1,Data!$K$3:$K$150,'Reporting 2022'!$B16)</f>
        <v>0</v>
      </c>
      <c r="Y71" s="427">
        <f>SUMIFS(Data!$S$3:$S$150,Data!$N$3:$N$150,Y$1,Data!$K$3:$K$150,'Reporting 2022'!$B16)</f>
        <v>0</v>
      </c>
      <c r="Z71" s="427">
        <f>SUMIFS(Data!$S$3:$S$150,Data!$N$3:$N$150,Z$1,Data!$K$3:$K$150,'Reporting 2022'!$B16)</f>
        <v>0</v>
      </c>
      <c r="AA71" s="427">
        <f>SUMIFS(Data!$S$3:$S$150,Data!$N$3:$N$150,AA$1,Data!$K$3:$K$150,'Reporting 2022'!$B16)</f>
        <v>0</v>
      </c>
      <c r="AB71" s="427">
        <f>SUMIFS(Data!$S$3:$S$150,Data!$N$3:$N$150,AB$1,Data!$K$3:$K$150,'Reporting 2022'!$B16)</f>
        <v>0</v>
      </c>
      <c r="AC71" s="427">
        <f>SUMIFS(Data!$S$3:$S$150,Data!$N$3:$N$150,AC$1,Data!$K$3:$K$150,'Reporting 2022'!$B16)</f>
        <v>0</v>
      </c>
      <c r="AD71" s="427">
        <f>SUMIFS(Data!$S$3:$S$150,Data!$N$3:$N$150,AD$1,Data!$K$3:$K$150,'Reporting 2022'!$B16)</f>
        <v>0</v>
      </c>
      <c r="AE71" s="427">
        <f>SUMIFS(Data!$S$3:$S$150,Data!$N$3:$N$150,AE$1,Data!$K$3:$K$150,'Reporting 2022'!$B16)</f>
        <v>0</v>
      </c>
      <c r="AF71" s="427">
        <f>SUMIFS(Data!$S$3:$S$150,Data!$N$3:$N$150,AF$1,Data!$K$3:$K$150,'Reporting 2022'!$B16)</f>
        <v>0</v>
      </c>
      <c r="AG71" s="427">
        <f>SUMIFS(Data!$S$3:$S$150,Data!$N$3:$N$150,AG$1,Data!$K$3:$K$150,'Reporting 2022'!$B16)</f>
        <v>0</v>
      </c>
      <c r="AH71" s="427">
        <f>SUMIFS(Data!$S$3:$S$150,Data!$N$3:$N$150,AH$1,Data!$K$3:$K$150,'Reporting 2022'!$B16)</f>
        <v>0</v>
      </c>
      <c r="AI71" s="427">
        <f>SUMIFS(Data!$S$3:$S$150,Data!$N$3:$N$150,AI$1,Data!$K$3:$K$150,'Reporting 2022'!$B16)</f>
        <v>0</v>
      </c>
      <c r="AJ71" s="427">
        <f>SUMIFS(Data!$S$3:$S$150,Data!$N$3:$N$150,AJ$1,Data!$K$3:$K$150,'Reporting 2022'!$B16)</f>
        <v>0</v>
      </c>
      <c r="AK71" s="427">
        <f>SUMIFS(Data!$S$3:$S$150,Data!$N$3:$N$150,AK$1,Data!$K$3:$K$150,'Reporting 2022'!$B16)</f>
        <v>0</v>
      </c>
      <c r="AL71" s="427">
        <f>SUMIFS(Data!$S$3:$S$150,Data!$N$3:$N$150,AL$1,Data!$K$3:$K$150,'Reporting 2022'!$B16)</f>
        <v>0</v>
      </c>
      <c r="AM71" s="427">
        <f>SUMIFS(Data!$S$3:$S$150,Data!$N$3:$N$150,AM$1,Data!$K$3:$K$150,'Reporting 2022'!$B16)</f>
        <v>0</v>
      </c>
      <c r="AN71" s="427">
        <f>SUMIFS(Data!$S$3:$S$150,Data!$N$3:$N$150,AN$1,Data!$K$3:$K$150,'Reporting 2022'!$B16)</f>
        <v>0</v>
      </c>
      <c r="AO71" s="427">
        <f>SUMIFS(Data!$S$3:$S$150,Data!$N$3:$N$150,AO$1,Data!$K$3:$K$150,'Reporting 2022'!$B16)</f>
        <v>0</v>
      </c>
      <c r="AP71" s="427">
        <f>SUMIFS(Data!$S$3:$S$150,Data!$N$3:$N$150,AP$1,Data!$K$3:$K$150,'Reporting 2022'!$B16)</f>
        <v>0</v>
      </c>
      <c r="AQ71" s="427">
        <f>SUMIFS(Data!$S$3:$S$150,Data!$N$3:$N$150,AQ$1,Data!$K$3:$K$150,'Reporting 2022'!$B16)</f>
        <v>0</v>
      </c>
      <c r="AR71" s="427">
        <f>SUMIFS(Data!$S$3:$S$150,Data!$N$3:$N$150,AR$1,Data!$K$3:$K$150,'Reporting 2022'!$B16)</f>
        <v>0</v>
      </c>
      <c r="AS71" s="427">
        <f>SUMIFS(Data!$S$3:$S$150,Data!$N$3:$N$150,AS$1,Data!$K$3:$K$150,'Reporting 2022'!$B16)</f>
        <v>0</v>
      </c>
      <c r="AT71" s="427">
        <f>SUMIFS(Data!$S$3:$S$150,Data!$N$3:$N$150,AT$1,Data!$K$3:$K$150,'Reporting 2022'!$B16)</f>
        <v>0</v>
      </c>
      <c r="AU71" s="427">
        <f>SUMIFS(Data!$S$3:$S$150,Data!$N$3:$N$150,AU$1,Data!$K$3:$K$150,'Reporting 2022'!$B16)</f>
        <v>0</v>
      </c>
      <c r="AV71" s="427">
        <f>SUMIFS(Data!$S$3:$S$150,Data!$N$3:$N$150,AV$1,Data!$K$3:$K$150,'Reporting 2022'!$B16)</f>
        <v>0</v>
      </c>
      <c r="AW71" s="427">
        <f>SUMIFS(Data!$S$3:$S$150,Data!$N$3:$N$150,AW$1,Data!$K$3:$K$150,'Reporting 2022'!$B16)</f>
        <v>0</v>
      </c>
      <c r="AX71" s="427">
        <f>SUMIFS(Data!$S$3:$S$150,Data!$N$3:$N$150,AX$1,Data!$K$3:$K$150,'Reporting 2022'!$B16)</f>
        <v>0</v>
      </c>
      <c r="AY71" s="427">
        <f>SUMIFS(Data!$S$3:$S$150,Data!$N$3:$N$150,AY$1,Data!$K$3:$K$150,'Reporting 2022'!$B16)</f>
        <v>0</v>
      </c>
      <c r="AZ71" s="427">
        <f>SUMIFS(Data!$S$3:$S$150,Data!$N$3:$N$150,AZ$1,Data!$K$3:$K$150,'Reporting 2022'!$B16)</f>
        <v>0</v>
      </c>
      <c r="BA71" s="427">
        <f>SUMIFS(Data!$S$3:$S$150,Data!$N$3:$N$150,BA$1,Data!$K$3:$K$150,'Reporting 2022'!$B16)</f>
        <v>0</v>
      </c>
      <c r="BB71" s="427">
        <f>SUMIFS(Data!$S$3:$S$150,Data!$N$3:$N$150,BB$1,Data!$K$3:$K$150,'Reporting 2022'!$B16)</f>
        <v>0</v>
      </c>
      <c r="BC71" s="3"/>
      <c r="BD71" s="3"/>
      <c r="BE71" s="3"/>
    </row>
    <row r="72" spans="1:57" ht="19.5" customHeight="1" x14ac:dyDescent="0.3">
      <c r="A72" s="3"/>
      <c r="B72" s="191" t="s">
        <v>492</v>
      </c>
      <c r="C72" s="427">
        <f>SUMIFS(Data!$S$3:$S$150,Data!$N$3:$N$150,C$1,Data!$K$3:$K$150,'Reporting 2022'!$B17)</f>
        <v>9590</v>
      </c>
      <c r="D72" s="427">
        <f>SUMIFS(Data!$S$3:$S$150,Data!$N$3:$N$150,D$1,Data!$K$3:$K$150,'Reporting 2022'!$B17)</f>
        <v>0</v>
      </c>
      <c r="E72" s="427">
        <f>SUMIFS(Data!$S$3:$S$150,Data!$N$3:$N$150,E$1,Data!$K$3:$K$150,'Reporting 2022'!$B17)</f>
        <v>0</v>
      </c>
      <c r="F72" s="427">
        <f>SUMIFS(Data!$S$3:$S$150,Data!$N$3:$N$150,F$1,Data!$K$3:$K$150,'Reporting 2022'!$B17)</f>
        <v>0</v>
      </c>
      <c r="G72" s="427">
        <f>SUMIFS(Data!$S$3:$S$150,Data!$N$3:$N$150,G$1,Data!$K$3:$K$150,'Reporting 2022'!$B17)</f>
        <v>0</v>
      </c>
      <c r="H72" s="427">
        <f>SUMIFS(Data!$S$3:$S$150,Data!$N$3:$N$150,H$1,Data!$K$3:$K$150,'Reporting 2022'!$B17)</f>
        <v>0</v>
      </c>
      <c r="I72" s="427">
        <f>SUMIFS(Data!$S$3:$S$150,Data!$N$3:$N$150,I$1,Data!$K$3:$K$150,'Reporting 2022'!$B17)</f>
        <v>0</v>
      </c>
      <c r="J72" s="427">
        <f>SUMIFS(Data!$S$3:$S$150,Data!$N$3:$N$150,J$1,Data!$K$3:$K$150,'Reporting 2022'!$B17)</f>
        <v>0</v>
      </c>
      <c r="K72" s="427">
        <f>SUMIFS(Data!$S$3:$S$150,Data!$N$3:$N$150,K$1,Data!$K$3:$K$150,'Reporting 2022'!$B17)</f>
        <v>0</v>
      </c>
      <c r="L72" s="427">
        <f>SUMIFS(Data!$S$3:$S$150,Data!$N$3:$N$150,L$1,Data!$K$3:$K$150,'Reporting 2022'!$B17)</f>
        <v>0</v>
      </c>
      <c r="M72" s="427">
        <f>SUMIFS(Data!$S$3:$S$150,Data!$N$3:$N$150,M$1,Data!$K$3:$K$150,'Reporting 2022'!$B17)</f>
        <v>0</v>
      </c>
      <c r="N72" s="427">
        <f>SUMIFS(Data!$S$3:$S$150,Data!$N$3:$N$150,N$1,Data!$K$3:$K$150,'Reporting 2022'!$B17)</f>
        <v>0</v>
      </c>
      <c r="O72" s="427">
        <f>SUMIFS(Data!$S$3:$S$150,Data!$N$3:$N$150,O$1,Data!$K$3:$K$150,'Reporting 2022'!$B17)</f>
        <v>0</v>
      </c>
      <c r="P72" s="427">
        <f>SUMIFS(Data!$S$3:$S$150,Data!$N$3:$N$150,P$1,Data!$K$3:$K$150,'Reporting 2022'!$B17)</f>
        <v>0</v>
      </c>
      <c r="Q72" s="427">
        <f>SUMIFS(Data!$S$3:$S$150,Data!$N$3:$N$150,Q$1,Data!$K$3:$K$150,'Reporting 2022'!$B17)</f>
        <v>0</v>
      </c>
      <c r="R72" s="427">
        <f>SUMIFS(Data!$S$3:$S$150,Data!$N$3:$N$150,R$1,Data!$K$3:$K$150,'Reporting 2022'!$B17)</f>
        <v>0</v>
      </c>
      <c r="S72" s="427">
        <f>SUMIFS(Data!$S$3:$S$150,Data!$N$3:$N$150,S$1,Data!$K$3:$K$150,'Reporting 2022'!$B17)</f>
        <v>0</v>
      </c>
      <c r="T72" s="427">
        <f>SUMIFS(Data!$S$3:$S$150,Data!$N$3:$N$150,T$1,Data!$K$3:$K$150,'Reporting 2022'!$B17)</f>
        <v>0</v>
      </c>
      <c r="U72" s="427">
        <f>SUMIFS(Data!$S$3:$S$150,Data!$N$3:$N$150,U$1,Data!$K$3:$K$150,'Reporting 2022'!$B17)</f>
        <v>0</v>
      </c>
      <c r="V72" s="427">
        <f>SUMIFS(Data!$S$3:$S$150,Data!$N$3:$N$150,V$1,Data!$K$3:$K$150,'Reporting 2022'!$B17)</f>
        <v>0</v>
      </c>
      <c r="W72" s="427">
        <f>SUMIFS(Data!$S$3:$S$150,Data!$N$3:$N$150,W$1,Data!$K$3:$K$150,'Reporting 2022'!$B17)</f>
        <v>0</v>
      </c>
      <c r="X72" s="427">
        <f>SUMIFS(Data!$S$3:$S$150,Data!$N$3:$N$150,X$1,Data!$K$3:$K$150,'Reporting 2022'!$B17)</f>
        <v>0</v>
      </c>
      <c r="Y72" s="427">
        <f>SUMIFS(Data!$S$3:$S$150,Data!$N$3:$N$150,Y$1,Data!$K$3:$K$150,'Reporting 2022'!$B17)</f>
        <v>0</v>
      </c>
      <c r="Z72" s="427">
        <f>SUMIFS(Data!$S$3:$S$150,Data!$N$3:$N$150,Z$1,Data!$K$3:$K$150,'Reporting 2022'!$B17)</f>
        <v>0</v>
      </c>
      <c r="AA72" s="427">
        <f>SUMIFS(Data!$S$3:$S$150,Data!$N$3:$N$150,AA$1,Data!$K$3:$K$150,'Reporting 2022'!$B17)</f>
        <v>0</v>
      </c>
      <c r="AB72" s="427">
        <f>SUMIFS(Data!$S$3:$S$150,Data!$N$3:$N$150,AB$1,Data!$K$3:$K$150,'Reporting 2022'!$B17)</f>
        <v>0</v>
      </c>
      <c r="AC72" s="427">
        <f>SUMIFS(Data!$S$3:$S$150,Data!$N$3:$N$150,AC$1,Data!$K$3:$K$150,'Reporting 2022'!$B17)</f>
        <v>0</v>
      </c>
      <c r="AD72" s="427">
        <f>SUMIFS(Data!$S$3:$S$150,Data!$N$3:$N$150,AD$1,Data!$K$3:$K$150,'Reporting 2022'!$B17)</f>
        <v>0</v>
      </c>
      <c r="AE72" s="427">
        <f>SUMIFS(Data!$S$3:$S$150,Data!$N$3:$N$150,AE$1,Data!$K$3:$K$150,'Reporting 2022'!$B17)</f>
        <v>0</v>
      </c>
      <c r="AF72" s="427">
        <f>SUMIFS(Data!$S$3:$S$150,Data!$N$3:$N$150,AF$1,Data!$K$3:$K$150,'Reporting 2022'!$B17)</f>
        <v>0</v>
      </c>
      <c r="AG72" s="427">
        <f>SUMIFS(Data!$S$3:$S$150,Data!$N$3:$N$150,AG$1,Data!$K$3:$K$150,'Reporting 2022'!$B17)</f>
        <v>0</v>
      </c>
      <c r="AH72" s="427">
        <f>SUMIFS(Data!$S$3:$S$150,Data!$N$3:$N$150,AH$1,Data!$K$3:$K$150,'Reporting 2022'!$B17)</f>
        <v>0</v>
      </c>
      <c r="AI72" s="427">
        <f>SUMIFS(Data!$S$3:$S$150,Data!$N$3:$N$150,AI$1,Data!$K$3:$K$150,'Reporting 2022'!$B17)</f>
        <v>0</v>
      </c>
      <c r="AJ72" s="427">
        <f>SUMIFS(Data!$S$3:$S$150,Data!$N$3:$N$150,AJ$1,Data!$K$3:$K$150,'Reporting 2022'!$B17)</f>
        <v>0</v>
      </c>
      <c r="AK72" s="427">
        <f>SUMIFS(Data!$S$3:$S$150,Data!$N$3:$N$150,AK$1,Data!$K$3:$K$150,'Reporting 2022'!$B17)</f>
        <v>0</v>
      </c>
      <c r="AL72" s="427">
        <f>SUMIFS(Data!$S$3:$S$150,Data!$N$3:$N$150,AL$1,Data!$K$3:$K$150,'Reporting 2022'!$B17)</f>
        <v>0</v>
      </c>
      <c r="AM72" s="427">
        <f>SUMIFS(Data!$S$3:$S$150,Data!$N$3:$N$150,AM$1,Data!$K$3:$K$150,'Reporting 2022'!$B17)</f>
        <v>0</v>
      </c>
      <c r="AN72" s="427">
        <f>SUMIFS(Data!$S$3:$S$150,Data!$N$3:$N$150,AN$1,Data!$K$3:$K$150,'Reporting 2022'!$B17)</f>
        <v>0</v>
      </c>
      <c r="AO72" s="427">
        <f>SUMIFS(Data!$S$3:$S$150,Data!$N$3:$N$150,AO$1,Data!$K$3:$K$150,'Reporting 2022'!$B17)</f>
        <v>0</v>
      </c>
      <c r="AP72" s="427">
        <f>SUMIFS(Data!$S$3:$S$150,Data!$N$3:$N$150,AP$1,Data!$K$3:$K$150,'Reporting 2022'!$B17)</f>
        <v>0</v>
      </c>
      <c r="AQ72" s="427">
        <f>SUMIFS(Data!$S$3:$S$150,Data!$N$3:$N$150,AQ$1,Data!$K$3:$K$150,'Reporting 2022'!$B17)</f>
        <v>0</v>
      </c>
      <c r="AR72" s="427">
        <f>SUMIFS(Data!$S$3:$S$150,Data!$N$3:$N$150,AR$1,Data!$K$3:$K$150,'Reporting 2022'!$B17)</f>
        <v>0</v>
      </c>
      <c r="AS72" s="427">
        <f>SUMIFS(Data!$S$3:$S$150,Data!$N$3:$N$150,AS$1,Data!$K$3:$K$150,'Reporting 2022'!$B17)</f>
        <v>0</v>
      </c>
      <c r="AT72" s="427">
        <f>SUMIFS(Data!$S$3:$S$150,Data!$N$3:$N$150,AT$1,Data!$K$3:$K$150,'Reporting 2022'!$B17)</f>
        <v>0</v>
      </c>
      <c r="AU72" s="427">
        <f>SUMIFS(Data!$S$3:$S$150,Data!$N$3:$N$150,AU$1,Data!$K$3:$K$150,'Reporting 2022'!$B17)</f>
        <v>0</v>
      </c>
      <c r="AV72" s="427">
        <f>SUMIFS(Data!$S$3:$S$150,Data!$N$3:$N$150,AV$1,Data!$K$3:$K$150,'Reporting 2022'!$B17)</f>
        <v>0</v>
      </c>
      <c r="AW72" s="427">
        <f>SUMIFS(Data!$S$3:$S$150,Data!$N$3:$N$150,AW$1,Data!$K$3:$K$150,'Reporting 2022'!$B17)</f>
        <v>0</v>
      </c>
      <c r="AX72" s="427">
        <f>SUMIFS(Data!$S$3:$S$150,Data!$N$3:$N$150,AX$1,Data!$K$3:$K$150,'Reporting 2022'!$B17)</f>
        <v>0</v>
      </c>
      <c r="AY72" s="427">
        <f>SUMIFS(Data!$S$3:$S$150,Data!$N$3:$N$150,AY$1,Data!$K$3:$K$150,'Reporting 2022'!$B17)</f>
        <v>0</v>
      </c>
      <c r="AZ72" s="427">
        <f>SUMIFS(Data!$S$3:$S$150,Data!$N$3:$N$150,AZ$1,Data!$K$3:$K$150,'Reporting 2022'!$B17)</f>
        <v>0</v>
      </c>
      <c r="BA72" s="427">
        <f>SUMIFS(Data!$S$3:$S$150,Data!$N$3:$N$150,BA$1,Data!$K$3:$K$150,'Reporting 2022'!$B17)</f>
        <v>0</v>
      </c>
      <c r="BB72" s="427">
        <f>SUMIFS(Data!$S$3:$S$150,Data!$N$3:$N$150,BB$1,Data!$K$3:$K$150,'Reporting 2022'!$B17)</f>
        <v>0</v>
      </c>
      <c r="BC72" s="3"/>
      <c r="BD72" s="3"/>
      <c r="BE72" s="3"/>
    </row>
    <row r="73" spans="1:57" ht="19.5" customHeight="1" x14ac:dyDescent="0.3">
      <c r="A73" s="3"/>
      <c r="B73" s="191" t="s">
        <v>493</v>
      </c>
      <c r="C73" s="427">
        <f>SUMIFS(Data!$S$3:$S$150,Data!$N$3:$N$150,C$1,Data!$K$3:$K$150,'Reporting 2022'!$B18)</f>
        <v>0</v>
      </c>
      <c r="D73" s="427">
        <f>SUMIFS(Data!$S$3:$S$150,Data!$N$3:$N$150,D$1,Data!$K$3:$K$150,'Reporting 2022'!$B18)</f>
        <v>0</v>
      </c>
      <c r="E73" s="427">
        <f>SUMIFS(Data!$S$3:$S$150,Data!$N$3:$N$150,E$1,Data!$K$3:$K$150,'Reporting 2022'!$B18)</f>
        <v>0</v>
      </c>
      <c r="F73" s="427">
        <f>SUMIFS(Data!$S$3:$S$150,Data!$N$3:$N$150,F$1,Data!$K$3:$K$150,'Reporting 2022'!$B18)</f>
        <v>0</v>
      </c>
      <c r="G73" s="427">
        <f>SUMIFS(Data!$S$3:$S$150,Data!$N$3:$N$150,G$1,Data!$K$3:$K$150,'Reporting 2022'!$B18)</f>
        <v>0</v>
      </c>
      <c r="H73" s="427">
        <f>SUMIFS(Data!$S$3:$S$150,Data!$N$3:$N$150,H$1,Data!$K$3:$K$150,'Reporting 2022'!$B18)</f>
        <v>0</v>
      </c>
      <c r="I73" s="427">
        <f>SUMIFS(Data!$S$3:$S$150,Data!$N$3:$N$150,I$1,Data!$K$3:$K$150,'Reporting 2022'!$B18)</f>
        <v>0</v>
      </c>
      <c r="J73" s="427">
        <f>SUMIFS(Data!$S$3:$S$150,Data!$N$3:$N$150,J$1,Data!$K$3:$K$150,'Reporting 2022'!$B18)</f>
        <v>0</v>
      </c>
      <c r="K73" s="427">
        <f>SUMIFS(Data!$S$3:$S$150,Data!$N$3:$N$150,K$1,Data!$K$3:$K$150,'Reporting 2022'!$B18)</f>
        <v>0</v>
      </c>
      <c r="L73" s="427">
        <f>SUMIFS(Data!$S$3:$S$150,Data!$N$3:$N$150,L$1,Data!$K$3:$K$150,'Reporting 2022'!$B18)</f>
        <v>0</v>
      </c>
      <c r="M73" s="427">
        <f>SUMIFS(Data!$S$3:$S$150,Data!$N$3:$N$150,M$1,Data!$K$3:$K$150,'Reporting 2022'!$B18)</f>
        <v>0</v>
      </c>
      <c r="N73" s="427">
        <f>SUMIFS(Data!$S$3:$S$150,Data!$N$3:$N$150,N$1,Data!$K$3:$K$150,'Reporting 2022'!$B18)</f>
        <v>0</v>
      </c>
      <c r="O73" s="427">
        <f>SUMIFS(Data!$S$3:$S$150,Data!$N$3:$N$150,O$1,Data!$K$3:$K$150,'Reporting 2022'!$B18)</f>
        <v>0</v>
      </c>
      <c r="P73" s="427">
        <f>SUMIFS(Data!$S$3:$S$150,Data!$N$3:$N$150,P$1,Data!$K$3:$K$150,'Reporting 2022'!$B18)</f>
        <v>0</v>
      </c>
      <c r="Q73" s="427">
        <f>SUMIFS(Data!$S$3:$S$150,Data!$N$3:$N$150,Q$1,Data!$K$3:$K$150,'Reporting 2022'!$B18)</f>
        <v>0</v>
      </c>
      <c r="R73" s="427">
        <f>SUMIFS(Data!$S$3:$S$150,Data!$N$3:$N$150,R$1,Data!$K$3:$K$150,'Reporting 2022'!$B18)</f>
        <v>0</v>
      </c>
      <c r="S73" s="427">
        <f>SUMIFS(Data!$S$3:$S$150,Data!$N$3:$N$150,S$1,Data!$K$3:$K$150,'Reporting 2022'!$B18)</f>
        <v>0</v>
      </c>
      <c r="T73" s="427">
        <f>SUMIFS(Data!$S$3:$S$150,Data!$N$3:$N$150,T$1,Data!$K$3:$K$150,'Reporting 2022'!$B18)</f>
        <v>0</v>
      </c>
      <c r="U73" s="427">
        <f>SUMIFS(Data!$S$3:$S$150,Data!$N$3:$N$150,U$1,Data!$K$3:$K$150,'Reporting 2022'!$B18)</f>
        <v>0</v>
      </c>
      <c r="V73" s="427">
        <f>SUMIFS(Data!$S$3:$S$150,Data!$N$3:$N$150,V$1,Data!$K$3:$K$150,'Reporting 2022'!$B18)</f>
        <v>0</v>
      </c>
      <c r="W73" s="427">
        <f>SUMIFS(Data!$S$3:$S$150,Data!$N$3:$N$150,W$1,Data!$K$3:$K$150,'Reporting 2022'!$B18)</f>
        <v>0</v>
      </c>
      <c r="X73" s="427">
        <f>SUMIFS(Data!$S$3:$S$150,Data!$N$3:$N$150,X$1,Data!$K$3:$K$150,'Reporting 2022'!$B18)</f>
        <v>0</v>
      </c>
      <c r="Y73" s="427">
        <f>SUMIFS(Data!$S$3:$S$150,Data!$N$3:$N$150,Y$1,Data!$K$3:$K$150,'Reporting 2022'!$B18)</f>
        <v>0</v>
      </c>
      <c r="Z73" s="427">
        <f>SUMIFS(Data!$S$3:$S$150,Data!$N$3:$N$150,Z$1,Data!$K$3:$K$150,'Reporting 2022'!$B18)</f>
        <v>0</v>
      </c>
      <c r="AA73" s="427">
        <f>SUMIFS(Data!$S$3:$S$150,Data!$N$3:$N$150,AA$1,Data!$K$3:$K$150,'Reporting 2022'!$B18)</f>
        <v>0</v>
      </c>
      <c r="AB73" s="427">
        <f>SUMIFS(Data!$S$3:$S$150,Data!$N$3:$N$150,AB$1,Data!$K$3:$K$150,'Reporting 2022'!$B18)</f>
        <v>0</v>
      </c>
      <c r="AC73" s="427">
        <f>SUMIFS(Data!$S$3:$S$150,Data!$N$3:$N$150,AC$1,Data!$K$3:$K$150,'Reporting 2022'!$B18)</f>
        <v>0</v>
      </c>
      <c r="AD73" s="427">
        <f>SUMIFS(Data!$S$3:$S$150,Data!$N$3:$N$150,AD$1,Data!$K$3:$K$150,'Reporting 2022'!$B18)</f>
        <v>0</v>
      </c>
      <c r="AE73" s="427">
        <f>SUMIFS(Data!$S$3:$S$150,Data!$N$3:$N$150,AE$1,Data!$K$3:$K$150,'Reporting 2022'!$B18)</f>
        <v>0</v>
      </c>
      <c r="AF73" s="427">
        <f>SUMIFS(Data!$S$3:$S$150,Data!$N$3:$N$150,AF$1,Data!$K$3:$K$150,'Reporting 2022'!$B18)</f>
        <v>0</v>
      </c>
      <c r="AG73" s="427">
        <f>SUMIFS(Data!$S$3:$S$150,Data!$N$3:$N$150,AG$1,Data!$K$3:$K$150,'Reporting 2022'!$B18)</f>
        <v>0</v>
      </c>
      <c r="AH73" s="427">
        <f>SUMIFS(Data!$S$3:$S$150,Data!$N$3:$N$150,AH$1,Data!$K$3:$K$150,'Reporting 2022'!$B18)</f>
        <v>0</v>
      </c>
      <c r="AI73" s="427">
        <f>SUMIFS(Data!$S$3:$S$150,Data!$N$3:$N$150,AI$1,Data!$K$3:$K$150,'Reporting 2022'!$B18)</f>
        <v>0</v>
      </c>
      <c r="AJ73" s="427">
        <f>SUMIFS(Data!$S$3:$S$150,Data!$N$3:$N$150,AJ$1,Data!$K$3:$K$150,'Reporting 2022'!$B18)</f>
        <v>0</v>
      </c>
      <c r="AK73" s="427">
        <f>SUMIFS(Data!$S$3:$S$150,Data!$N$3:$N$150,AK$1,Data!$K$3:$K$150,'Reporting 2022'!$B18)</f>
        <v>0</v>
      </c>
      <c r="AL73" s="427">
        <f>SUMIFS(Data!$S$3:$S$150,Data!$N$3:$N$150,AL$1,Data!$K$3:$K$150,'Reporting 2022'!$B18)</f>
        <v>0</v>
      </c>
      <c r="AM73" s="427">
        <f>SUMIFS(Data!$S$3:$S$150,Data!$N$3:$N$150,AM$1,Data!$K$3:$K$150,'Reporting 2022'!$B18)</f>
        <v>0</v>
      </c>
      <c r="AN73" s="427">
        <f>SUMIFS(Data!$S$3:$S$150,Data!$N$3:$N$150,AN$1,Data!$K$3:$K$150,'Reporting 2022'!$B18)</f>
        <v>0</v>
      </c>
      <c r="AO73" s="427">
        <f>SUMIFS(Data!$S$3:$S$150,Data!$N$3:$N$150,AO$1,Data!$K$3:$K$150,'Reporting 2022'!$B18)</f>
        <v>0</v>
      </c>
      <c r="AP73" s="427">
        <f>SUMIFS(Data!$S$3:$S$150,Data!$N$3:$N$150,AP$1,Data!$K$3:$K$150,'Reporting 2022'!$B18)</f>
        <v>0</v>
      </c>
      <c r="AQ73" s="427">
        <f>SUMIFS(Data!$S$3:$S$150,Data!$N$3:$N$150,AQ$1,Data!$K$3:$K$150,'Reporting 2022'!$B18)</f>
        <v>0</v>
      </c>
      <c r="AR73" s="427">
        <f>SUMIFS(Data!$S$3:$S$150,Data!$N$3:$N$150,AR$1,Data!$K$3:$K$150,'Reporting 2022'!$B18)</f>
        <v>0</v>
      </c>
      <c r="AS73" s="427">
        <f>SUMIFS(Data!$S$3:$S$150,Data!$N$3:$N$150,AS$1,Data!$K$3:$K$150,'Reporting 2022'!$B18)</f>
        <v>0</v>
      </c>
      <c r="AT73" s="427">
        <f>SUMIFS(Data!$S$3:$S$150,Data!$N$3:$N$150,AT$1,Data!$K$3:$K$150,'Reporting 2022'!$B18)</f>
        <v>0</v>
      </c>
      <c r="AU73" s="427">
        <f>SUMIFS(Data!$S$3:$S$150,Data!$N$3:$N$150,AU$1,Data!$K$3:$K$150,'Reporting 2022'!$B18)</f>
        <v>0</v>
      </c>
      <c r="AV73" s="427">
        <f>SUMIFS(Data!$S$3:$S$150,Data!$N$3:$N$150,AV$1,Data!$K$3:$K$150,'Reporting 2022'!$B18)</f>
        <v>0</v>
      </c>
      <c r="AW73" s="427">
        <f>SUMIFS(Data!$S$3:$S$150,Data!$N$3:$N$150,AW$1,Data!$K$3:$K$150,'Reporting 2022'!$B18)</f>
        <v>0</v>
      </c>
      <c r="AX73" s="427">
        <f>SUMIFS(Data!$S$3:$S$150,Data!$N$3:$N$150,AX$1,Data!$K$3:$K$150,'Reporting 2022'!$B18)</f>
        <v>0</v>
      </c>
      <c r="AY73" s="427">
        <f>SUMIFS(Data!$S$3:$S$150,Data!$N$3:$N$150,AY$1,Data!$K$3:$K$150,'Reporting 2022'!$B18)</f>
        <v>0</v>
      </c>
      <c r="AZ73" s="427">
        <f>SUMIFS(Data!$S$3:$S$150,Data!$N$3:$N$150,AZ$1,Data!$K$3:$K$150,'Reporting 2022'!$B18)</f>
        <v>0</v>
      </c>
      <c r="BA73" s="427">
        <f>SUMIFS(Data!$S$3:$S$150,Data!$N$3:$N$150,BA$1,Data!$K$3:$K$150,'Reporting 2022'!$B18)</f>
        <v>0</v>
      </c>
      <c r="BB73" s="427">
        <f>SUMIFS(Data!$S$3:$S$150,Data!$N$3:$N$150,BB$1,Data!$K$3:$K$150,'Reporting 2022'!$B18)</f>
        <v>0</v>
      </c>
      <c r="BC73" s="3"/>
      <c r="BD73" s="3"/>
      <c r="BE73" s="3"/>
    </row>
    <row r="74" spans="1:57" ht="19.5" customHeight="1" x14ac:dyDescent="0.3">
      <c r="A74" s="3"/>
      <c r="B74" s="191" t="s">
        <v>494</v>
      </c>
      <c r="C74" s="427">
        <f>SUMIFS(Data!$S$3:$S$150,Data!$N$3:$N$150,C$1,Data!$K$3:$K$150,'Reporting 2022'!$B19)</f>
        <v>0</v>
      </c>
      <c r="D74" s="427">
        <f>SUMIFS(Data!$S$3:$S$150,Data!$N$3:$N$150,D$1,Data!$K$3:$K$150,'Reporting 2022'!$B19)</f>
        <v>0</v>
      </c>
      <c r="E74" s="427">
        <f>SUMIFS(Data!$S$3:$S$150,Data!$N$3:$N$150,E$1,Data!$K$3:$K$150,'Reporting 2022'!$B19)</f>
        <v>0</v>
      </c>
      <c r="F74" s="427">
        <f>SUMIFS(Data!$S$3:$S$150,Data!$N$3:$N$150,F$1,Data!$K$3:$K$150,'Reporting 2022'!$B19)</f>
        <v>0</v>
      </c>
      <c r="G74" s="427">
        <f>SUMIFS(Data!$S$3:$S$150,Data!$N$3:$N$150,G$1,Data!$K$3:$K$150,'Reporting 2022'!$B19)</f>
        <v>0</v>
      </c>
      <c r="H74" s="427">
        <f>SUMIFS(Data!$S$3:$S$150,Data!$N$3:$N$150,H$1,Data!$K$3:$K$150,'Reporting 2022'!$B19)</f>
        <v>0</v>
      </c>
      <c r="I74" s="427">
        <f>SUMIFS(Data!$S$3:$S$150,Data!$N$3:$N$150,I$1,Data!$K$3:$K$150,'Reporting 2022'!$B19)</f>
        <v>0</v>
      </c>
      <c r="J74" s="427">
        <f>SUMIFS(Data!$S$3:$S$150,Data!$N$3:$N$150,J$1,Data!$K$3:$K$150,'Reporting 2022'!$B19)</f>
        <v>0</v>
      </c>
      <c r="K74" s="427">
        <f>SUMIFS(Data!$S$3:$S$150,Data!$N$3:$N$150,K$1,Data!$K$3:$K$150,'Reporting 2022'!$B19)</f>
        <v>0</v>
      </c>
      <c r="L74" s="427">
        <f>SUMIFS(Data!$S$3:$S$150,Data!$N$3:$N$150,L$1,Data!$K$3:$K$150,'Reporting 2022'!$B19)</f>
        <v>0</v>
      </c>
      <c r="M74" s="427">
        <f>SUMIFS(Data!$S$3:$S$150,Data!$N$3:$N$150,M$1,Data!$K$3:$K$150,'Reporting 2022'!$B19)</f>
        <v>0</v>
      </c>
      <c r="N74" s="427">
        <f>SUMIFS(Data!$S$3:$S$150,Data!$N$3:$N$150,N$1,Data!$K$3:$K$150,'Reporting 2022'!$B19)</f>
        <v>0</v>
      </c>
      <c r="O74" s="427">
        <f>SUMIFS(Data!$S$3:$S$150,Data!$N$3:$N$150,O$1,Data!$K$3:$K$150,'Reporting 2022'!$B19)</f>
        <v>0</v>
      </c>
      <c r="P74" s="427">
        <f>SUMIFS(Data!$S$3:$S$150,Data!$N$3:$N$150,P$1,Data!$K$3:$K$150,'Reporting 2022'!$B19)</f>
        <v>0</v>
      </c>
      <c r="Q74" s="427">
        <f>SUMIFS(Data!$S$3:$S$150,Data!$N$3:$N$150,Q$1,Data!$K$3:$K$150,'Reporting 2022'!$B19)</f>
        <v>0</v>
      </c>
      <c r="R74" s="427">
        <f>SUMIFS(Data!$S$3:$S$150,Data!$N$3:$N$150,R$1,Data!$K$3:$K$150,'Reporting 2022'!$B19)</f>
        <v>0</v>
      </c>
      <c r="S74" s="427">
        <f>SUMIFS(Data!$S$3:$S$150,Data!$N$3:$N$150,S$1,Data!$K$3:$K$150,'Reporting 2022'!$B19)</f>
        <v>0</v>
      </c>
      <c r="T74" s="427">
        <f>SUMIFS(Data!$S$3:$S$150,Data!$N$3:$N$150,T$1,Data!$K$3:$K$150,'Reporting 2022'!$B19)</f>
        <v>0</v>
      </c>
      <c r="U74" s="427">
        <f>SUMIFS(Data!$S$3:$S$150,Data!$N$3:$N$150,U$1,Data!$K$3:$K$150,'Reporting 2022'!$B19)</f>
        <v>0</v>
      </c>
      <c r="V74" s="427">
        <f>SUMIFS(Data!$S$3:$S$150,Data!$N$3:$N$150,V$1,Data!$K$3:$K$150,'Reporting 2022'!$B19)</f>
        <v>0</v>
      </c>
      <c r="W74" s="427">
        <f>SUMIFS(Data!$S$3:$S$150,Data!$N$3:$N$150,W$1,Data!$K$3:$K$150,'Reporting 2022'!$B19)</f>
        <v>0</v>
      </c>
      <c r="X74" s="427">
        <f>SUMIFS(Data!$S$3:$S$150,Data!$N$3:$N$150,X$1,Data!$K$3:$K$150,'Reporting 2022'!$B19)</f>
        <v>0</v>
      </c>
      <c r="Y74" s="427">
        <f>SUMIFS(Data!$S$3:$S$150,Data!$N$3:$N$150,Y$1,Data!$K$3:$K$150,'Reporting 2022'!$B19)</f>
        <v>0</v>
      </c>
      <c r="Z74" s="427">
        <f>SUMIFS(Data!$S$3:$S$150,Data!$N$3:$N$150,Z$1,Data!$K$3:$K$150,'Reporting 2022'!$B19)</f>
        <v>0</v>
      </c>
      <c r="AA74" s="427">
        <f>SUMIFS(Data!$S$3:$S$150,Data!$N$3:$N$150,AA$1,Data!$K$3:$K$150,'Reporting 2022'!$B19)</f>
        <v>0</v>
      </c>
      <c r="AB74" s="427">
        <f>SUMIFS(Data!$S$3:$S$150,Data!$N$3:$N$150,AB$1,Data!$K$3:$K$150,'Reporting 2022'!$B19)</f>
        <v>0</v>
      </c>
      <c r="AC74" s="427">
        <f>SUMIFS(Data!$S$3:$S$150,Data!$N$3:$N$150,AC$1,Data!$K$3:$K$150,'Reporting 2022'!$B19)</f>
        <v>0</v>
      </c>
      <c r="AD74" s="427">
        <f>SUMIFS(Data!$S$3:$S$150,Data!$N$3:$N$150,AD$1,Data!$K$3:$K$150,'Reporting 2022'!$B19)</f>
        <v>0</v>
      </c>
      <c r="AE74" s="427">
        <f>SUMIFS(Data!$S$3:$S$150,Data!$N$3:$N$150,AE$1,Data!$K$3:$K$150,'Reporting 2022'!$B19)</f>
        <v>0</v>
      </c>
      <c r="AF74" s="427">
        <f>SUMIFS(Data!$S$3:$S$150,Data!$N$3:$N$150,AF$1,Data!$K$3:$K$150,'Reporting 2022'!$B19)</f>
        <v>0</v>
      </c>
      <c r="AG74" s="427">
        <f>SUMIFS(Data!$S$3:$S$150,Data!$N$3:$N$150,AG$1,Data!$K$3:$K$150,'Reporting 2022'!$B19)</f>
        <v>0</v>
      </c>
      <c r="AH74" s="427">
        <f>SUMIFS(Data!$S$3:$S$150,Data!$N$3:$N$150,AH$1,Data!$K$3:$K$150,'Reporting 2022'!$B19)</f>
        <v>0</v>
      </c>
      <c r="AI74" s="427">
        <f>SUMIFS(Data!$S$3:$S$150,Data!$N$3:$N$150,AI$1,Data!$K$3:$K$150,'Reporting 2022'!$B19)</f>
        <v>0</v>
      </c>
      <c r="AJ74" s="427">
        <f>SUMIFS(Data!$S$3:$S$150,Data!$N$3:$N$150,AJ$1,Data!$K$3:$K$150,'Reporting 2022'!$B19)</f>
        <v>0</v>
      </c>
      <c r="AK74" s="427">
        <f>SUMIFS(Data!$S$3:$S$150,Data!$N$3:$N$150,AK$1,Data!$K$3:$K$150,'Reporting 2022'!$B19)</f>
        <v>0</v>
      </c>
      <c r="AL74" s="427">
        <f>SUMIFS(Data!$S$3:$S$150,Data!$N$3:$N$150,AL$1,Data!$K$3:$K$150,'Reporting 2022'!$B19)</f>
        <v>0</v>
      </c>
      <c r="AM74" s="427">
        <f>SUMIFS(Data!$S$3:$S$150,Data!$N$3:$N$150,AM$1,Data!$K$3:$K$150,'Reporting 2022'!$B19)</f>
        <v>0</v>
      </c>
      <c r="AN74" s="427">
        <f>SUMIFS(Data!$S$3:$S$150,Data!$N$3:$N$150,AN$1,Data!$K$3:$K$150,'Reporting 2022'!$B19)</f>
        <v>0</v>
      </c>
      <c r="AO74" s="427">
        <f>SUMIFS(Data!$S$3:$S$150,Data!$N$3:$N$150,AO$1,Data!$K$3:$K$150,'Reporting 2022'!$B19)</f>
        <v>0</v>
      </c>
      <c r="AP74" s="427">
        <f>SUMIFS(Data!$S$3:$S$150,Data!$N$3:$N$150,AP$1,Data!$K$3:$K$150,'Reporting 2022'!$B19)</f>
        <v>0</v>
      </c>
      <c r="AQ74" s="427">
        <f>SUMIFS(Data!$S$3:$S$150,Data!$N$3:$N$150,AQ$1,Data!$K$3:$K$150,'Reporting 2022'!$B19)</f>
        <v>0</v>
      </c>
      <c r="AR74" s="427">
        <f>SUMIFS(Data!$S$3:$S$150,Data!$N$3:$N$150,AR$1,Data!$K$3:$K$150,'Reporting 2022'!$B19)</f>
        <v>0</v>
      </c>
      <c r="AS74" s="427">
        <f>SUMIFS(Data!$S$3:$S$150,Data!$N$3:$N$150,AS$1,Data!$K$3:$K$150,'Reporting 2022'!$B19)</f>
        <v>0</v>
      </c>
      <c r="AT74" s="427">
        <f>SUMIFS(Data!$S$3:$S$150,Data!$N$3:$N$150,AT$1,Data!$K$3:$K$150,'Reporting 2022'!$B19)</f>
        <v>0</v>
      </c>
      <c r="AU74" s="427">
        <f>SUMIFS(Data!$S$3:$S$150,Data!$N$3:$N$150,AU$1,Data!$K$3:$K$150,'Reporting 2022'!$B19)</f>
        <v>0</v>
      </c>
      <c r="AV74" s="427">
        <f>SUMIFS(Data!$S$3:$S$150,Data!$N$3:$N$150,AV$1,Data!$K$3:$K$150,'Reporting 2022'!$B19)</f>
        <v>0</v>
      </c>
      <c r="AW74" s="427">
        <f>SUMIFS(Data!$S$3:$S$150,Data!$N$3:$N$150,AW$1,Data!$K$3:$K$150,'Reporting 2022'!$B19)</f>
        <v>0</v>
      </c>
      <c r="AX74" s="427">
        <f>SUMIFS(Data!$S$3:$S$150,Data!$N$3:$N$150,AX$1,Data!$K$3:$K$150,'Reporting 2022'!$B19)</f>
        <v>0</v>
      </c>
      <c r="AY74" s="427">
        <f>SUMIFS(Data!$S$3:$S$150,Data!$N$3:$N$150,AY$1,Data!$K$3:$K$150,'Reporting 2022'!$B19)</f>
        <v>0</v>
      </c>
      <c r="AZ74" s="427">
        <f>SUMIFS(Data!$S$3:$S$150,Data!$N$3:$N$150,AZ$1,Data!$K$3:$K$150,'Reporting 2022'!$B19)</f>
        <v>0</v>
      </c>
      <c r="BA74" s="427">
        <f>SUMIFS(Data!$S$3:$S$150,Data!$N$3:$N$150,BA$1,Data!$K$3:$K$150,'Reporting 2022'!$B19)</f>
        <v>0</v>
      </c>
      <c r="BB74" s="427">
        <f>SUMIFS(Data!$S$3:$S$150,Data!$N$3:$N$150,BB$1,Data!$K$3:$K$150,'Reporting 2022'!$B19)</f>
        <v>0</v>
      </c>
      <c r="BC74" s="3"/>
      <c r="BD74" s="3"/>
      <c r="BE74" s="3"/>
    </row>
    <row r="75" spans="1:57" ht="19.5" customHeight="1" x14ac:dyDescent="0.3">
      <c r="A75" s="3"/>
      <c r="B75" s="191" t="s">
        <v>495</v>
      </c>
      <c r="C75" s="427">
        <f>SUMIFS(Data!$S$3:$S$150,Data!$N$3:$N$150,C$1,Data!$K$3:$K$150,'Reporting 2022'!$B20)</f>
        <v>43640</v>
      </c>
      <c r="D75" s="427">
        <f>SUMIFS(Data!$S$3:$S$150,Data!$N$3:$N$150,D$1,Data!$K$3:$K$150,'Reporting 2022'!$B20)</f>
        <v>0</v>
      </c>
      <c r="E75" s="427">
        <f>SUMIFS(Data!$S$3:$S$150,Data!$N$3:$N$150,E$1,Data!$K$3:$K$150,'Reporting 2022'!$B20)</f>
        <v>0</v>
      </c>
      <c r="F75" s="427">
        <f>SUMIFS(Data!$S$3:$S$150,Data!$N$3:$N$150,F$1,Data!$K$3:$K$150,'Reporting 2022'!$B20)</f>
        <v>0</v>
      </c>
      <c r="G75" s="427">
        <f>SUMIFS(Data!$S$3:$S$150,Data!$N$3:$N$150,G$1,Data!$K$3:$K$150,'Reporting 2022'!$B20)</f>
        <v>0</v>
      </c>
      <c r="H75" s="427">
        <f>SUMIFS(Data!$S$3:$S$150,Data!$N$3:$N$150,H$1,Data!$K$3:$K$150,'Reporting 2022'!$B20)</f>
        <v>0</v>
      </c>
      <c r="I75" s="427">
        <f>SUMIFS(Data!$S$3:$S$150,Data!$N$3:$N$150,I$1,Data!$K$3:$K$150,'Reporting 2022'!$B20)</f>
        <v>0</v>
      </c>
      <c r="J75" s="427">
        <f>SUMIFS(Data!$S$3:$S$150,Data!$N$3:$N$150,J$1,Data!$K$3:$K$150,'Reporting 2022'!$B20)</f>
        <v>0</v>
      </c>
      <c r="K75" s="427">
        <f>SUMIFS(Data!$S$3:$S$150,Data!$N$3:$N$150,K$1,Data!$K$3:$K$150,'Reporting 2022'!$B20)</f>
        <v>0</v>
      </c>
      <c r="L75" s="427">
        <f>SUMIFS(Data!$S$3:$S$150,Data!$N$3:$N$150,L$1,Data!$K$3:$K$150,'Reporting 2022'!$B20)</f>
        <v>0</v>
      </c>
      <c r="M75" s="427">
        <f>SUMIFS(Data!$S$3:$S$150,Data!$N$3:$N$150,M$1,Data!$K$3:$K$150,'Reporting 2022'!$B20)</f>
        <v>0</v>
      </c>
      <c r="N75" s="427">
        <f>SUMIFS(Data!$S$3:$S$150,Data!$N$3:$N$150,N$1,Data!$K$3:$K$150,'Reporting 2022'!$B20)</f>
        <v>0</v>
      </c>
      <c r="O75" s="427">
        <f>SUMIFS(Data!$S$3:$S$150,Data!$N$3:$N$150,O$1,Data!$K$3:$K$150,'Reporting 2022'!$B20)</f>
        <v>0</v>
      </c>
      <c r="P75" s="427">
        <f>SUMIFS(Data!$S$3:$S$150,Data!$N$3:$N$150,P$1,Data!$K$3:$K$150,'Reporting 2022'!$B20)</f>
        <v>0</v>
      </c>
      <c r="Q75" s="427">
        <f>SUMIFS(Data!$S$3:$S$150,Data!$N$3:$N$150,Q$1,Data!$K$3:$K$150,'Reporting 2022'!$B20)</f>
        <v>0</v>
      </c>
      <c r="R75" s="427">
        <f>SUMIFS(Data!$S$3:$S$150,Data!$N$3:$N$150,R$1,Data!$K$3:$K$150,'Reporting 2022'!$B20)</f>
        <v>0</v>
      </c>
      <c r="S75" s="427">
        <f>SUMIFS(Data!$S$3:$S$150,Data!$N$3:$N$150,S$1,Data!$K$3:$K$150,'Reporting 2022'!$B20)</f>
        <v>0</v>
      </c>
      <c r="T75" s="427">
        <f>SUMIFS(Data!$S$3:$S$150,Data!$N$3:$N$150,T$1,Data!$K$3:$K$150,'Reporting 2022'!$B20)</f>
        <v>0</v>
      </c>
      <c r="U75" s="427">
        <f>SUMIFS(Data!$S$3:$S$150,Data!$N$3:$N$150,U$1,Data!$K$3:$K$150,'Reporting 2022'!$B20)</f>
        <v>0</v>
      </c>
      <c r="V75" s="427">
        <f>SUMIFS(Data!$S$3:$S$150,Data!$N$3:$N$150,V$1,Data!$K$3:$K$150,'Reporting 2022'!$B20)</f>
        <v>0</v>
      </c>
      <c r="W75" s="427">
        <f>SUMIFS(Data!$S$3:$S$150,Data!$N$3:$N$150,W$1,Data!$K$3:$K$150,'Reporting 2022'!$B20)</f>
        <v>0</v>
      </c>
      <c r="X75" s="427">
        <f>SUMIFS(Data!$S$3:$S$150,Data!$N$3:$N$150,X$1,Data!$K$3:$K$150,'Reporting 2022'!$B20)</f>
        <v>0</v>
      </c>
      <c r="Y75" s="427">
        <f>SUMIFS(Data!$S$3:$S$150,Data!$N$3:$N$150,Y$1,Data!$K$3:$K$150,'Reporting 2022'!$B20)</f>
        <v>0</v>
      </c>
      <c r="Z75" s="427">
        <f>SUMIFS(Data!$S$3:$S$150,Data!$N$3:$N$150,Z$1,Data!$K$3:$K$150,'Reporting 2022'!$B20)</f>
        <v>0</v>
      </c>
      <c r="AA75" s="427">
        <f>SUMIFS(Data!$S$3:$S$150,Data!$N$3:$N$150,AA$1,Data!$K$3:$K$150,'Reporting 2022'!$B20)</f>
        <v>0</v>
      </c>
      <c r="AB75" s="427">
        <f>SUMIFS(Data!$S$3:$S$150,Data!$N$3:$N$150,AB$1,Data!$K$3:$K$150,'Reporting 2022'!$B20)</f>
        <v>0</v>
      </c>
      <c r="AC75" s="427">
        <f>SUMIFS(Data!$S$3:$S$150,Data!$N$3:$N$150,AC$1,Data!$K$3:$K$150,'Reporting 2022'!$B20)</f>
        <v>0</v>
      </c>
      <c r="AD75" s="427">
        <f>SUMIFS(Data!$S$3:$S$150,Data!$N$3:$N$150,AD$1,Data!$K$3:$K$150,'Reporting 2022'!$B20)</f>
        <v>0</v>
      </c>
      <c r="AE75" s="427">
        <f>SUMIFS(Data!$S$3:$S$150,Data!$N$3:$N$150,AE$1,Data!$K$3:$K$150,'Reporting 2022'!$B20)</f>
        <v>0</v>
      </c>
      <c r="AF75" s="427">
        <f>SUMIFS(Data!$S$3:$S$150,Data!$N$3:$N$150,AF$1,Data!$K$3:$K$150,'Reporting 2022'!$B20)</f>
        <v>0</v>
      </c>
      <c r="AG75" s="427">
        <f>SUMIFS(Data!$S$3:$S$150,Data!$N$3:$N$150,AG$1,Data!$K$3:$K$150,'Reporting 2022'!$B20)</f>
        <v>0</v>
      </c>
      <c r="AH75" s="427">
        <f>SUMIFS(Data!$S$3:$S$150,Data!$N$3:$N$150,AH$1,Data!$K$3:$K$150,'Reporting 2022'!$B20)</f>
        <v>0</v>
      </c>
      <c r="AI75" s="427">
        <f>SUMIFS(Data!$S$3:$S$150,Data!$N$3:$N$150,AI$1,Data!$K$3:$K$150,'Reporting 2022'!$B20)</f>
        <v>0</v>
      </c>
      <c r="AJ75" s="427">
        <f>SUMIFS(Data!$S$3:$S$150,Data!$N$3:$N$150,AJ$1,Data!$K$3:$K$150,'Reporting 2022'!$B20)</f>
        <v>0</v>
      </c>
      <c r="AK75" s="427">
        <f>SUMIFS(Data!$S$3:$S$150,Data!$N$3:$N$150,AK$1,Data!$K$3:$K$150,'Reporting 2022'!$B20)</f>
        <v>0</v>
      </c>
      <c r="AL75" s="427">
        <f>SUMIFS(Data!$S$3:$S$150,Data!$N$3:$N$150,AL$1,Data!$K$3:$K$150,'Reporting 2022'!$B20)</f>
        <v>0</v>
      </c>
      <c r="AM75" s="427">
        <f>SUMIFS(Data!$S$3:$S$150,Data!$N$3:$N$150,AM$1,Data!$K$3:$K$150,'Reporting 2022'!$B20)</f>
        <v>0</v>
      </c>
      <c r="AN75" s="427">
        <f>SUMIFS(Data!$S$3:$S$150,Data!$N$3:$N$150,AN$1,Data!$K$3:$K$150,'Reporting 2022'!$B20)</f>
        <v>0</v>
      </c>
      <c r="AO75" s="427">
        <f>SUMIFS(Data!$S$3:$S$150,Data!$N$3:$N$150,AO$1,Data!$K$3:$K$150,'Reporting 2022'!$B20)</f>
        <v>0</v>
      </c>
      <c r="AP75" s="427">
        <f>SUMIFS(Data!$S$3:$S$150,Data!$N$3:$N$150,AP$1,Data!$K$3:$K$150,'Reporting 2022'!$B20)</f>
        <v>0</v>
      </c>
      <c r="AQ75" s="427">
        <f>SUMIFS(Data!$S$3:$S$150,Data!$N$3:$N$150,AQ$1,Data!$K$3:$K$150,'Reporting 2022'!$B20)</f>
        <v>0</v>
      </c>
      <c r="AR75" s="427">
        <f>SUMIFS(Data!$S$3:$S$150,Data!$N$3:$N$150,AR$1,Data!$K$3:$K$150,'Reporting 2022'!$B20)</f>
        <v>0</v>
      </c>
      <c r="AS75" s="427">
        <f>SUMIFS(Data!$S$3:$S$150,Data!$N$3:$N$150,AS$1,Data!$K$3:$K$150,'Reporting 2022'!$B20)</f>
        <v>0</v>
      </c>
      <c r="AT75" s="427">
        <f>SUMIFS(Data!$S$3:$S$150,Data!$N$3:$N$150,AT$1,Data!$K$3:$K$150,'Reporting 2022'!$B20)</f>
        <v>0</v>
      </c>
      <c r="AU75" s="427">
        <f>SUMIFS(Data!$S$3:$S$150,Data!$N$3:$N$150,AU$1,Data!$K$3:$K$150,'Reporting 2022'!$B20)</f>
        <v>0</v>
      </c>
      <c r="AV75" s="427">
        <f>SUMIFS(Data!$S$3:$S$150,Data!$N$3:$N$150,AV$1,Data!$K$3:$K$150,'Reporting 2022'!$B20)</f>
        <v>0</v>
      </c>
      <c r="AW75" s="427">
        <f>SUMIFS(Data!$S$3:$S$150,Data!$N$3:$N$150,AW$1,Data!$K$3:$K$150,'Reporting 2022'!$B20)</f>
        <v>0</v>
      </c>
      <c r="AX75" s="427">
        <f>SUMIFS(Data!$S$3:$S$150,Data!$N$3:$N$150,AX$1,Data!$K$3:$K$150,'Reporting 2022'!$B20)</f>
        <v>0</v>
      </c>
      <c r="AY75" s="427">
        <f>SUMIFS(Data!$S$3:$S$150,Data!$N$3:$N$150,AY$1,Data!$K$3:$K$150,'Reporting 2022'!$B20)</f>
        <v>0</v>
      </c>
      <c r="AZ75" s="427">
        <f>SUMIFS(Data!$S$3:$S$150,Data!$N$3:$N$150,AZ$1,Data!$K$3:$K$150,'Reporting 2022'!$B20)</f>
        <v>0</v>
      </c>
      <c r="BA75" s="427">
        <f>SUMIFS(Data!$S$3:$S$150,Data!$N$3:$N$150,BA$1,Data!$K$3:$K$150,'Reporting 2022'!$B20)</f>
        <v>0</v>
      </c>
      <c r="BB75" s="427">
        <f>SUMIFS(Data!$S$3:$S$150,Data!$N$3:$N$150,BB$1,Data!$K$3:$K$150,'Reporting 2022'!$B20)</f>
        <v>0</v>
      </c>
      <c r="BC75" s="3"/>
      <c r="BD75" s="3"/>
      <c r="BE75" s="3"/>
    </row>
    <row r="76" spans="1:57" ht="19.5" customHeight="1" x14ac:dyDescent="0.3">
      <c r="A76" s="3"/>
      <c r="B76" s="191" t="s">
        <v>496</v>
      </c>
      <c r="C76" s="427">
        <f>SUMIFS(Data!$S$3:$S$150,Data!$N$3:$N$150,C$1,Data!$K$3:$K$150,'Reporting 2022'!$B21)</f>
        <v>0</v>
      </c>
      <c r="D76" s="427">
        <f>SUMIFS(Data!$S$3:$S$150,Data!$N$3:$N$150,D$1,Data!$K$3:$K$150,'Reporting 2022'!$B21)</f>
        <v>0</v>
      </c>
      <c r="E76" s="427">
        <f>SUMIFS(Data!$S$3:$S$150,Data!$N$3:$N$150,E$1,Data!$K$3:$K$150,'Reporting 2022'!$B21)</f>
        <v>0</v>
      </c>
      <c r="F76" s="427">
        <f>SUMIFS(Data!$S$3:$S$150,Data!$N$3:$N$150,F$1,Data!$K$3:$K$150,'Reporting 2022'!$B21)</f>
        <v>0</v>
      </c>
      <c r="G76" s="427">
        <f>SUMIFS(Data!$S$3:$S$150,Data!$N$3:$N$150,G$1,Data!$K$3:$K$150,'Reporting 2022'!$B21)</f>
        <v>0</v>
      </c>
      <c r="H76" s="427">
        <f>SUMIFS(Data!$S$3:$S$150,Data!$N$3:$N$150,H$1,Data!$K$3:$K$150,'Reporting 2022'!$B21)</f>
        <v>0</v>
      </c>
      <c r="I76" s="427">
        <f>SUMIFS(Data!$S$3:$S$150,Data!$N$3:$N$150,I$1,Data!$K$3:$K$150,'Reporting 2022'!$B21)</f>
        <v>0</v>
      </c>
      <c r="J76" s="427">
        <f>SUMIFS(Data!$S$3:$S$150,Data!$N$3:$N$150,J$1,Data!$K$3:$K$150,'Reporting 2022'!$B21)</f>
        <v>0</v>
      </c>
      <c r="K76" s="427">
        <f>SUMIFS(Data!$S$3:$S$150,Data!$N$3:$N$150,K$1,Data!$K$3:$K$150,'Reporting 2022'!$B21)</f>
        <v>0</v>
      </c>
      <c r="L76" s="427">
        <f>SUMIFS(Data!$S$3:$S$150,Data!$N$3:$N$150,L$1,Data!$K$3:$K$150,'Reporting 2022'!$B21)</f>
        <v>0</v>
      </c>
      <c r="M76" s="427">
        <f>SUMIFS(Data!$S$3:$S$150,Data!$N$3:$N$150,M$1,Data!$K$3:$K$150,'Reporting 2022'!$B21)</f>
        <v>0</v>
      </c>
      <c r="N76" s="427">
        <f>SUMIFS(Data!$S$3:$S$150,Data!$N$3:$N$150,N$1,Data!$K$3:$K$150,'Reporting 2022'!$B21)</f>
        <v>0</v>
      </c>
      <c r="O76" s="427">
        <f>SUMIFS(Data!$S$3:$S$150,Data!$N$3:$N$150,O$1,Data!$K$3:$K$150,'Reporting 2022'!$B21)</f>
        <v>0</v>
      </c>
      <c r="P76" s="427">
        <f>SUMIFS(Data!$S$3:$S$150,Data!$N$3:$N$150,P$1,Data!$K$3:$K$150,'Reporting 2022'!$B21)</f>
        <v>0</v>
      </c>
      <c r="Q76" s="427">
        <f>SUMIFS(Data!$S$3:$S$150,Data!$N$3:$N$150,Q$1,Data!$K$3:$K$150,'Reporting 2022'!$B21)</f>
        <v>0</v>
      </c>
      <c r="R76" s="427">
        <f>SUMIFS(Data!$S$3:$S$150,Data!$N$3:$N$150,R$1,Data!$K$3:$K$150,'Reporting 2022'!$B21)</f>
        <v>0</v>
      </c>
      <c r="S76" s="427">
        <f>SUMIFS(Data!$S$3:$S$150,Data!$N$3:$N$150,S$1,Data!$K$3:$K$150,'Reporting 2022'!$B21)</f>
        <v>0</v>
      </c>
      <c r="T76" s="427">
        <f>SUMIFS(Data!$S$3:$S$150,Data!$N$3:$N$150,T$1,Data!$K$3:$K$150,'Reporting 2022'!$B21)</f>
        <v>0</v>
      </c>
      <c r="U76" s="427">
        <f>SUMIFS(Data!$S$3:$S$150,Data!$N$3:$N$150,U$1,Data!$K$3:$K$150,'Reporting 2022'!$B21)</f>
        <v>0</v>
      </c>
      <c r="V76" s="427">
        <f>SUMIFS(Data!$S$3:$S$150,Data!$N$3:$N$150,V$1,Data!$K$3:$K$150,'Reporting 2022'!$B21)</f>
        <v>0</v>
      </c>
      <c r="W76" s="427">
        <f>SUMIFS(Data!$S$3:$S$150,Data!$N$3:$N$150,W$1,Data!$K$3:$K$150,'Reporting 2022'!$B21)</f>
        <v>0</v>
      </c>
      <c r="X76" s="427">
        <f>SUMIFS(Data!$S$3:$S$150,Data!$N$3:$N$150,X$1,Data!$K$3:$K$150,'Reporting 2022'!$B21)</f>
        <v>0</v>
      </c>
      <c r="Y76" s="427">
        <f>SUMIFS(Data!$S$3:$S$150,Data!$N$3:$N$150,Y$1,Data!$K$3:$K$150,'Reporting 2022'!$B21)</f>
        <v>0</v>
      </c>
      <c r="Z76" s="427">
        <f>SUMIFS(Data!$S$3:$S$150,Data!$N$3:$N$150,Z$1,Data!$K$3:$K$150,'Reporting 2022'!$B21)</f>
        <v>0</v>
      </c>
      <c r="AA76" s="427">
        <f>SUMIFS(Data!$S$3:$S$150,Data!$N$3:$N$150,AA$1,Data!$K$3:$K$150,'Reporting 2022'!$B21)</f>
        <v>0</v>
      </c>
      <c r="AB76" s="427">
        <f>SUMIFS(Data!$S$3:$S$150,Data!$N$3:$N$150,AB$1,Data!$K$3:$K$150,'Reporting 2022'!$B21)</f>
        <v>0</v>
      </c>
      <c r="AC76" s="427">
        <f>SUMIFS(Data!$S$3:$S$150,Data!$N$3:$N$150,AC$1,Data!$K$3:$K$150,'Reporting 2022'!$B21)</f>
        <v>0</v>
      </c>
      <c r="AD76" s="427">
        <f>SUMIFS(Data!$S$3:$S$150,Data!$N$3:$N$150,AD$1,Data!$K$3:$K$150,'Reporting 2022'!$B21)</f>
        <v>0</v>
      </c>
      <c r="AE76" s="427">
        <f>SUMIFS(Data!$S$3:$S$150,Data!$N$3:$N$150,AE$1,Data!$K$3:$K$150,'Reporting 2022'!$B21)</f>
        <v>0</v>
      </c>
      <c r="AF76" s="427">
        <f>SUMIFS(Data!$S$3:$S$150,Data!$N$3:$N$150,AF$1,Data!$K$3:$K$150,'Reporting 2022'!$B21)</f>
        <v>0</v>
      </c>
      <c r="AG76" s="427">
        <f>SUMIFS(Data!$S$3:$S$150,Data!$N$3:$N$150,AG$1,Data!$K$3:$K$150,'Reporting 2022'!$B21)</f>
        <v>0</v>
      </c>
      <c r="AH76" s="427">
        <f>SUMIFS(Data!$S$3:$S$150,Data!$N$3:$N$150,AH$1,Data!$K$3:$K$150,'Reporting 2022'!$B21)</f>
        <v>0</v>
      </c>
      <c r="AI76" s="427">
        <f>SUMIFS(Data!$S$3:$S$150,Data!$N$3:$N$150,AI$1,Data!$K$3:$K$150,'Reporting 2022'!$B21)</f>
        <v>0</v>
      </c>
      <c r="AJ76" s="427">
        <f>SUMIFS(Data!$S$3:$S$150,Data!$N$3:$N$150,AJ$1,Data!$K$3:$K$150,'Reporting 2022'!$B21)</f>
        <v>0</v>
      </c>
      <c r="AK76" s="427">
        <f>SUMIFS(Data!$S$3:$S$150,Data!$N$3:$N$150,AK$1,Data!$K$3:$K$150,'Reporting 2022'!$B21)</f>
        <v>0</v>
      </c>
      <c r="AL76" s="427">
        <f>SUMIFS(Data!$S$3:$S$150,Data!$N$3:$N$150,AL$1,Data!$K$3:$K$150,'Reporting 2022'!$B21)</f>
        <v>0</v>
      </c>
      <c r="AM76" s="427">
        <f>SUMIFS(Data!$S$3:$S$150,Data!$N$3:$N$150,AM$1,Data!$K$3:$K$150,'Reporting 2022'!$B21)</f>
        <v>0</v>
      </c>
      <c r="AN76" s="427">
        <f>SUMIFS(Data!$S$3:$S$150,Data!$N$3:$N$150,AN$1,Data!$K$3:$K$150,'Reporting 2022'!$B21)</f>
        <v>0</v>
      </c>
      <c r="AO76" s="427">
        <f>SUMIFS(Data!$S$3:$S$150,Data!$N$3:$N$150,AO$1,Data!$K$3:$K$150,'Reporting 2022'!$B21)</f>
        <v>0</v>
      </c>
      <c r="AP76" s="427">
        <f>SUMIFS(Data!$S$3:$S$150,Data!$N$3:$N$150,AP$1,Data!$K$3:$K$150,'Reporting 2022'!$B21)</f>
        <v>0</v>
      </c>
      <c r="AQ76" s="427">
        <f>SUMIFS(Data!$S$3:$S$150,Data!$N$3:$N$150,AQ$1,Data!$K$3:$K$150,'Reporting 2022'!$B21)</f>
        <v>0</v>
      </c>
      <c r="AR76" s="427">
        <f>SUMIFS(Data!$S$3:$S$150,Data!$N$3:$N$150,AR$1,Data!$K$3:$K$150,'Reporting 2022'!$B21)</f>
        <v>0</v>
      </c>
      <c r="AS76" s="427">
        <f>SUMIFS(Data!$S$3:$S$150,Data!$N$3:$N$150,AS$1,Data!$K$3:$K$150,'Reporting 2022'!$B21)</f>
        <v>0</v>
      </c>
      <c r="AT76" s="427">
        <f>SUMIFS(Data!$S$3:$S$150,Data!$N$3:$N$150,AT$1,Data!$K$3:$K$150,'Reporting 2022'!$B21)</f>
        <v>0</v>
      </c>
      <c r="AU76" s="427">
        <f>SUMIFS(Data!$S$3:$S$150,Data!$N$3:$N$150,AU$1,Data!$K$3:$K$150,'Reporting 2022'!$B21)</f>
        <v>0</v>
      </c>
      <c r="AV76" s="427">
        <f>SUMIFS(Data!$S$3:$S$150,Data!$N$3:$N$150,AV$1,Data!$K$3:$K$150,'Reporting 2022'!$B21)</f>
        <v>0</v>
      </c>
      <c r="AW76" s="427">
        <f>SUMIFS(Data!$S$3:$S$150,Data!$N$3:$N$150,AW$1,Data!$K$3:$K$150,'Reporting 2022'!$B21)</f>
        <v>0</v>
      </c>
      <c r="AX76" s="427">
        <f>SUMIFS(Data!$S$3:$S$150,Data!$N$3:$N$150,AX$1,Data!$K$3:$K$150,'Reporting 2022'!$B21)</f>
        <v>0</v>
      </c>
      <c r="AY76" s="427">
        <f>SUMIFS(Data!$S$3:$S$150,Data!$N$3:$N$150,AY$1,Data!$K$3:$K$150,'Reporting 2022'!$B21)</f>
        <v>0</v>
      </c>
      <c r="AZ76" s="427">
        <f>SUMIFS(Data!$S$3:$S$150,Data!$N$3:$N$150,AZ$1,Data!$K$3:$K$150,'Reporting 2022'!$B21)</f>
        <v>0</v>
      </c>
      <c r="BA76" s="427">
        <f>SUMIFS(Data!$S$3:$S$150,Data!$N$3:$N$150,BA$1,Data!$K$3:$K$150,'Reporting 2022'!$B21)</f>
        <v>0</v>
      </c>
      <c r="BB76" s="427">
        <f>SUMIFS(Data!$S$3:$S$150,Data!$N$3:$N$150,BB$1,Data!$K$3:$K$150,'Reporting 2022'!$B21)</f>
        <v>0</v>
      </c>
      <c r="BC76" s="3"/>
      <c r="BD76" s="3"/>
      <c r="BE76" s="3"/>
    </row>
    <row r="77" spans="1:57" ht="19.5" customHeight="1" x14ac:dyDescent="0.3">
      <c r="A77" s="3"/>
      <c r="B77" s="191" t="s">
        <v>497</v>
      </c>
      <c r="C77" s="427">
        <f>SUMIFS(Data!$S$3:$S$150,Data!$N$3:$N$150,C$1,Data!$K$3:$K$150,'Reporting 2022'!$B22)</f>
        <v>135294.5</v>
      </c>
      <c r="D77" s="427">
        <f>SUMIFS(Data!$S$3:$S$150,Data!$N$3:$N$150,D$1,Data!$K$3:$K$150,'Reporting 2022'!$B22)</f>
        <v>0</v>
      </c>
      <c r="E77" s="427">
        <f>SUMIFS(Data!$S$3:$S$150,Data!$N$3:$N$150,E$1,Data!$K$3:$K$150,'Reporting 2022'!$B22)</f>
        <v>0</v>
      </c>
      <c r="F77" s="427">
        <f>SUMIFS(Data!$S$3:$S$150,Data!$N$3:$N$150,F$1,Data!$K$3:$K$150,'Reporting 2022'!$B22)</f>
        <v>0</v>
      </c>
      <c r="G77" s="427">
        <f>SUMIFS(Data!$S$3:$S$150,Data!$N$3:$N$150,G$1,Data!$K$3:$K$150,'Reporting 2022'!$B22)</f>
        <v>0</v>
      </c>
      <c r="H77" s="427">
        <f>SUMIFS(Data!$S$3:$S$150,Data!$N$3:$N$150,H$1,Data!$K$3:$K$150,'Reporting 2022'!$B22)</f>
        <v>0</v>
      </c>
      <c r="I77" s="427">
        <f>SUMIFS(Data!$S$3:$S$150,Data!$N$3:$N$150,I$1,Data!$K$3:$K$150,'Reporting 2022'!$B22)</f>
        <v>0</v>
      </c>
      <c r="J77" s="427">
        <f>SUMIFS(Data!$S$3:$S$150,Data!$N$3:$N$150,J$1,Data!$K$3:$K$150,'Reporting 2022'!$B22)</f>
        <v>0</v>
      </c>
      <c r="K77" s="427">
        <f>SUMIFS(Data!$S$3:$S$150,Data!$N$3:$N$150,K$1,Data!$K$3:$K$150,'Reporting 2022'!$B22)</f>
        <v>0</v>
      </c>
      <c r="L77" s="427">
        <f>SUMIFS(Data!$S$3:$S$150,Data!$N$3:$N$150,L$1,Data!$K$3:$K$150,'Reporting 2022'!$B22)</f>
        <v>0</v>
      </c>
      <c r="M77" s="427">
        <f>SUMIFS(Data!$S$3:$S$150,Data!$N$3:$N$150,M$1,Data!$K$3:$K$150,'Reporting 2022'!$B22)</f>
        <v>0</v>
      </c>
      <c r="N77" s="427">
        <f>SUMIFS(Data!$S$3:$S$150,Data!$N$3:$N$150,N$1,Data!$K$3:$K$150,'Reporting 2022'!$B22)</f>
        <v>0</v>
      </c>
      <c r="O77" s="427">
        <f>SUMIFS(Data!$S$3:$S$150,Data!$N$3:$N$150,O$1,Data!$K$3:$K$150,'Reporting 2022'!$B22)</f>
        <v>0</v>
      </c>
      <c r="P77" s="427">
        <f>SUMIFS(Data!$S$3:$S$150,Data!$N$3:$N$150,P$1,Data!$K$3:$K$150,'Reporting 2022'!$B22)</f>
        <v>0</v>
      </c>
      <c r="Q77" s="427">
        <f>SUMIFS(Data!$S$3:$S$150,Data!$N$3:$N$150,Q$1,Data!$K$3:$K$150,'Reporting 2022'!$B22)</f>
        <v>0</v>
      </c>
      <c r="R77" s="427">
        <f>SUMIFS(Data!$S$3:$S$150,Data!$N$3:$N$150,R$1,Data!$K$3:$K$150,'Reporting 2022'!$B22)</f>
        <v>0</v>
      </c>
      <c r="S77" s="427">
        <f>SUMIFS(Data!$S$3:$S$150,Data!$N$3:$N$150,S$1,Data!$K$3:$K$150,'Reporting 2022'!$B22)</f>
        <v>0</v>
      </c>
      <c r="T77" s="427">
        <f>SUMIFS(Data!$S$3:$S$150,Data!$N$3:$N$150,T$1,Data!$K$3:$K$150,'Reporting 2022'!$B22)</f>
        <v>0</v>
      </c>
      <c r="U77" s="427">
        <f>SUMIFS(Data!$S$3:$S$150,Data!$N$3:$N$150,U$1,Data!$K$3:$K$150,'Reporting 2022'!$B22)</f>
        <v>0</v>
      </c>
      <c r="V77" s="427">
        <f>SUMIFS(Data!$S$3:$S$150,Data!$N$3:$N$150,V$1,Data!$K$3:$K$150,'Reporting 2022'!$B22)</f>
        <v>0</v>
      </c>
      <c r="W77" s="427">
        <f>SUMIFS(Data!$S$3:$S$150,Data!$N$3:$N$150,W$1,Data!$K$3:$K$150,'Reporting 2022'!$B22)</f>
        <v>0</v>
      </c>
      <c r="X77" s="427">
        <f>SUMIFS(Data!$S$3:$S$150,Data!$N$3:$N$150,X$1,Data!$K$3:$K$150,'Reporting 2022'!$B22)</f>
        <v>0</v>
      </c>
      <c r="Y77" s="427">
        <f>SUMIFS(Data!$S$3:$S$150,Data!$N$3:$N$150,Y$1,Data!$K$3:$K$150,'Reporting 2022'!$B22)</f>
        <v>0</v>
      </c>
      <c r="Z77" s="427">
        <f>SUMIFS(Data!$S$3:$S$150,Data!$N$3:$N$150,Z$1,Data!$K$3:$K$150,'Reporting 2022'!$B22)</f>
        <v>0</v>
      </c>
      <c r="AA77" s="427">
        <f>SUMIFS(Data!$S$3:$S$150,Data!$N$3:$N$150,AA$1,Data!$K$3:$K$150,'Reporting 2022'!$B22)</f>
        <v>0</v>
      </c>
      <c r="AB77" s="427">
        <f>SUMIFS(Data!$S$3:$S$150,Data!$N$3:$N$150,AB$1,Data!$K$3:$K$150,'Reporting 2022'!$B22)</f>
        <v>0</v>
      </c>
      <c r="AC77" s="427">
        <f>SUMIFS(Data!$S$3:$S$150,Data!$N$3:$N$150,AC$1,Data!$K$3:$K$150,'Reporting 2022'!$B22)</f>
        <v>0</v>
      </c>
      <c r="AD77" s="427">
        <f>SUMIFS(Data!$S$3:$S$150,Data!$N$3:$N$150,AD$1,Data!$K$3:$K$150,'Reporting 2022'!$B22)</f>
        <v>0</v>
      </c>
      <c r="AE77" s="427">
        <f>SUMIFS(Data!$S$3:$S$150,Data!$N$3:$N$150,AE$1,Data!$K$3:$K$150,'Reporting 2022'!$B22)</f>
        <v>0</v>
      </c>
      <c r="AF77" s="427">
        <f>SUMIFS(Data!$S$3:$S$150,Data!$N$3:$N$150,AF$1,Data!$K$3:$K$150,'Reporting 2022'!$B22)</f>
        <v>0</v>
      </c>
      <c r="AG77" s="427">
        <f>SUMIFS(Data!$S$3:$S$150,Data!$N$3:$N$150,AG$1,Data!$K$3:$K$150,'Reporting 2022'!$B22)</f>
        <v>0</v>
      </c>
      <c r="AH77" s="427">
        <f>SUMIFS(Data!$S$3:$S$150,Data!$N$3:$N$150,AH$1,Data!$K$3:$K$150,'Reporting 2022'!$B22)</f>
        <v>0</v>
      </c>
      <c r="AI77" s="427">
        <f>SUMIFS(Data!$S$3:$S$150,Data!$N$3:$N$150,AI$1,Data!$K$3:$K$150,'Reporting 2022'!$B22)</f>
        <v>0</v>
      </c>
      <c r="AJ77" s="427">
        <f>SUMIFS(Data!$S$3:$S$150,Data!$N$3:$N$150,AJ$1,Data!$K$3:$K$150,'Reporting 2022'!$B22)</f>
        <v>0</v>
      </c>
      <c r="AK77" s="427">
        <f>SUMIFS(Data!$S$3:$S$150,Data!$N$3:$N$150,AK$1,Data!$K$3:$K$150,'Reporting 2022'!$B22)</f>
        <v>0</v>
      </c>
      <c r="AL77" s="427">
        <f>SUMIFS(Data!$S$3:$S$150,Data!$N$3:$N$150,AL$1,Data!$K$3:$K$150,'Reporting 2022'!$B22)</f>
        <v>0</v>
      </c>
      <c r="AM77" s="427">
        <f>SUMIFS(Data!$S$3:$S$150,Data!$N$3:$N$150,AM$1,Data!$K$3:$K$150,'Reporting 2022'!$B22)</f>
        <v>0</v>
      </c>
      <c r="AN77" s="427">
        <f>SUMIFS(Data!$S$3:$S$150,Data!$N$3:$N$150,AN$1,Data!$K$3:$K$150,'Reporting 2022'!$B22)</f>
        <v>0</v>
      </c>
      <c r="AO77" s="427">
        <f>SUMIFS(Data!$S$3:$S$150,Data!$N$3:$N$150,AO$1,Data!$K$3:$K$150,'Reporting 2022'!$B22)</f>
        <v>0</v>
      </c>
      <c r="AP77" s="427">
        <f>SUMIFS(Data!$S$3:$S$150,Data!$N$3:$N$150,AP$1,Data!$K$3:$K$150,'Reporting 2022'!$B22)</f>
        <v>0</v>
      </c>
      <c r="AQ77" s="427">
        <f>SUMIFS(Data!$S$3:$S$150,Data!$N$3:$N$150,AQ$1,Data!$K$3:$K$150,'Reporting 2022'!$B22)</f>
        <v>0</v>
      </c>
      <c r="AR77" s="427">
        <f>SUMIFS(Data!$S$3:$S$150,Data!$N$3:$N$150,AR$1,Data!$K$3:$K$150,'Reporting 2022'!$B22)</f>
        <v>0</v>
      </c>
      <c r="AS77" s="427">
        <f>SUMIFS(Data!$S$3:$S$150,Data!$N$3:$N$150,AS$1,Data!$K$3:$K$150,'Reporting 2022'!$B22)</f>
        <v>0</v>
      </c>
      <c r="AT77" s="427">
        <f>SUMIFS(Data!$S$3:$S$150,Data!$N$3:$N$150,AT$1,Data!$K$3:$K$150,'Reporting 2022'!$B22)</f>
        <v>0</v>
      </c>
      <c r="AU77" s="427">
        <f>SUMIFS(Data!$S$3:$S$150,Data!$N$3:$N$150,AU$1,Data!$K$3:$K$150,'Reporting 2022'!$B22)</f>
        <v>0</v>
      </c>
      <c r="AV77" s="427">
        <f>SUMIFS(Data!$S$3:$S$150,Data!$N$3:$N$150,AV$1,Data!$K$3:$K$150,'Reporting 2022'!$B22)</f>
        <v>0</v>
      </c>
      <c r="AW77" s="427">
        <f>SUMIFS(Data!$S$3:$S$150,Data!$N$3:$N$150,AW$1,Data!$K$3:$K$150,'Reporting 2022'!$B22)</f>
        <v>0</v>
      </c>
      <c r="AX77" s="427">
        <f>SUMIFS(Data!$S$3:$S$150,Data!$N$3:$N$150,AX$1,Data!$K$3:$K$150,'Reporting 2022'!$B22)</f>
        <v>0</v>
      </c>
      <c r="AY77" s="427">
        <f>SUMIFS(Data!$S$3:$S$150,Data!$N$3:$N$150,AY$1,Data!$K$3:$K$150,'Reporting 2022'!$B22)</f>
        <v>0</v>
      </c>
      <c r="AZ77" s="427">
        <f>SUMIFS(Data!$S$3:$S$150,Data!$N$3:$N$150,AZ$1,Data!$K$3:$K$150,'Reporting 2022'!$B22)</f>
        <v>0</v>
      </c>
      <c r="BA77" s="427">
        <f>SUMIFS(Data!$S$3:$S$150,Data!$N$3:$N$150,BA$1,Data!$K$3:$K$150,'Reporting 2022'!$B22)</f>
        <v>0</v>
      </c>
      <c r="BB77" s="427">
        <f>SUMIFS(Data!$S$3:$S$150,Data!$N$3:$N$150,BB$1,Data!$K$3:$K$150,'Reporting 2022'!$B22)</f>
        <v>0</v>
      </c>
      <c r="BC77" s="3"/>
      <c r="BD77" s="3"/>
      <c r="BE77" s="3"/>
    </row>
    <row r="78" spans="1:57" ht="19.5" customHeight="1" x14ac:dyDescent="0.3">
      <c r="A78" s="3"/>
      <c r="B78" s="191" t="s">
        <v>498</v>
      </c>
      <c r="C78" s="427">
        <f>SUMIFS(Data!$S$3:$S$150,Data!$N$3:$N$150,C$1,Data!$K$3:$K$150,'Reporting 2022'!$B23)</f>
        <v>0</v>
      </c>
      <c r="D78" s="427">
        <f>SUMIFS(Data!$S$3:$S$150,Data!$N$3:$N$150,D$1,Data!$K$3:$K$150,'Reporting 2022'!$B23)</f>
        <v>0</v>
      </c>
      <c r="E78" s="427">
        <f>SUMIFS(Data!$S$3:$S$150,Data!$N$3:$N$150,E$1,Data!$K$3:$K$150,'Reporting 2022'!$B23)</f>
        <v>0</v>
      </c>
      <c r="F78" s="427">
        <f>SUMIFS(Data!$S$3:$S$150,Data!$N$3:$N$150,F$1,Data!$K$3:$K$150,'Reporting 2022'!$B23)</f>
        <v>0</v>
      </c>
      <c r="G78" s="427">
        <f>SUMIFS(Data!$S$3:$S$150,Data!$N$3:$N$150,G$1,Data!$K$3:$K$150,'Reporting 2022'!$B23)</f>
        <v>0</v>
      </c>
      <c r="H78" s="427">
        <f>SUMIFS(Data!$S$3:$S$150,Data!$N$3:$N$150,H$1,Data!$K$3:$K$150,'Reporting 2022'!$B23)</f>
        <v>0</v>
      </c>
      <c r="I78" s="427">
        <f>SUMIFS(Data!$S$3:$S$150,Data!$N$3:$N$150,I$1,Data!$K$3:$K$150,'Reporting 2022'!$B23)</f>
        <v>0</v>
      </c>
      <c r="J78" s="427">
        <f>SUMIFS(Data!$S$3:$S$150,Data!$N$3:$N$150,J$1,Data!$K$3:$K$150,'Reporting 2022'!$B23)</f>
        <v>0</v>
      </c>
      <c r="K78" s="427">
        <f>SUMIFS(Data!$S$3:$S$150,Data!$N$3:$N$150,K$1,Data!$K$3:$K$150,'Reporting 2022'!$B23)</f>
        <v>0</v>
      </c>
      <c r="L78" s="427">
        <f>SUMIFS(Data!$S$3:$S$150,Data!$N$3:$N$150,L$1,Data!$K$3:$K$150,'Reporting 2022'!$B23)</f>
        <v>0</v>
      </c>
      <c r="M78" s="427">
        <f>SUMIFS(Data!$S$3:$S$150,Data!$N$3:$N$150,M$1,Data!$K$3:$K$150,'Reporting 2022'!$B23)</f>
        <v>0</v>
      </c>
      <c r="N78" s="427">
        <f>SUMIFS(Data!$S$3:$S$150,Data!$N$3:$N$150,N$1,Data!$K$3:$K$150,'Reporting 2022'!$B23)</f>
        <v>0</v>
      </c>
      <c r="O78" s="427">
        <f>SUMIFS(Data!$S$3:$S$150,Data!$N$3:$N$150,O$1,Data!$K$3:$K$150,'Reporting 2022'!$B23)</f>
        <v>0</v>
      </c>
      <c r="P78" s="427">
        <f>SUMIFS(Data!$S$3:$S$150,Data!$N$3:$N$150,P$1,Data!$K$3:$K$150,'Reporting 2022'!$B23)</f>
        <v>0</v>
      </c>
      <c r="Q78" s="427">
        <f>SUMIFS(Data!$S$3:$S$150,Data!$N$3:$N$150,Q$1,Data!$K$3:$K$150,'Reporting 2022'!$B23)</f>
        <v>0</v>
      </c>
      <c r="R78" s="427">
        <f>SUMIFS(Data!$S$3:$S$150,Data!$N$3:$N$150,R$1,Data!$K$3:$K$150,'Reporting 2022'!$B23)</f>
        <v>0</v>
      </c>
      <c r="S78" s="427">
        <f>SUMIFS(Data!$S$3:$S$150,Data!$N$3:$N$150,S$1,Data!$K$3:$K$150,'Reporting 2022'!$B23)</f>
        <v>0</v>
      </c>
      <c r="T78" s="427">
        <f>SUMIFS(Data!$S$3:$S$150,Data!$N$3:$N$150,T$1,Data!$K$3:$K$150,'Reporting 2022'!$B23)</f>
        <v>0</v>
      </c>
      <c r="U78" s="427">
        <f>SUMIFS(Data!$S$3:$S$150,Data!$N$3:$N$150,U$1,Data!$K$3:$K$150,'Reporting 2022'!$B23)</f>
        <v>0</v>
      </c>
      <c r="V78" s="427">
        <f>SUMIFS(Data!$S$3:$S$150,Data!$N$3:$N$150,V$1,Data!$K$3:$K$150,'Reporting 2022'!$B23)</f>
        <v>0</v>
      </c>
      <c r="W78" s="427">
        <f>SUMIFS(Data!$S$3:$S$150,Data!$N$3:$N$150,W$1,Data!$K$3:$K$150,'Reporting 2022'!$B23)</f>
        <v>0</v>
      </c>
      <c r="X78" s="427">
        <f>SUMIFS(Data!$S$3:$S$150,Data!$N$3:$N$150,X$1,Data!$K$3:$K$150,'Reporting 2022'!$B23)</f>
        <v>0</v>
      </c>
      <c r="Y78" s="427">
        <f>SUMIFS(Data!$S$3:$S$150,Data!$N$3:$N$150,Y$1,Data!$K$3:$K$150,'Reporting 2022'!$B23)</f>
        <v>0</v>
      </c>
      <c r="Z78" s="427">
        <f>SUMIFS(Data!$S$3:$S$150,Data!$N$3:$N$150,Z$1,Data!$K$3:$K$150,'Reporting 2022'!$B23)</f>
        <v>0</v>
      </c>
      <c r="AA78" s="427">
        <f>SUMIFS(Data!$S$3:$S$150,Data!$N$3:$N$150,AA$1,Data!$K$3:$K$150,'Reporting 2022'!$B23)</f>
        <v>0</v>
      </c>
      <c r="AB78" s="427">
        <f>SUMIFS(Data!$S$3:$S$150,Data!$N$3:$N$150,AB$1,Data!$K$3:$K$150,'Reporting 2022'!$B23)</f>
        <v>0</v>
      </c>
      <c r="AC78" s="427">
        <f>SUMIFS(Data!$S$3:$S$150,Data!$N$3:$N$150,AC$1,Data!$K$3:$K$150,'Reporting 2022'!$B23)</f>
        <v>0</v>
      </c>
      <c r="AD78" s="427">
        <f>SUMIFS(Data!$S$3:$S$150,Data!$N$3:$N$150,AD$1,Data!$K$3:$K$150,'Reporting 2022'!$B23)</f>
        <v>0</v>
      </c>
      <c r="AE78" s="427">
        <f>SUMIFS(Data!$S$3:$S$150,Data!$N$3:$N$150,AE$1,Data!$K$3:$K$150,'Reporting 2022'!$B23)</f>
        <v>0</v>
      </c>
      <c r="AF78" s="427">
        <f>SUMIFS(Data!$S$3:$S$150,Data!$N$3:$N$150,AF$1,Data!$K$3:$K$150,'Reporting 2022'!$B23)</f>
        <v>0</v>
      </c>
      <c r="AG78" s="427">
        <f>SUMIFS(Data!$S$3:$S$150,Data!$N$3:$N$150,AG$1,Data!$K$3:$K$150,'Reporting 2022'!$B23)</f>
        <v>0</v>
      </c>
      <c r="AH78" s="427">
        <f>SUMIFS(Data!$S$3:$S$150,Data!$N$3:$N$150,AH$1,Data!$K$3:$K$150,'Reporting 2022'!$B23)</f>
        <v>0</v>
      </c>
      <c r="AI78" s="427">
        <f>SUMIFS(Data!$S$3:$S$150,Data!$N$3:$N$150,AI$1,Data!$K$3:$K$150,'Reporting 2022'!$B23)</f>
        <v>0</v>
      </c>
      <c r="AJ78" s="427">
        <f>SUMIFS(Data!$S$3:$S$150,Data!$N$3:$N$150,AJ$1,Data!$K$3:$K$150,'Reporting 2022'!$B23)</f>
        <v>0</v>
      </c>
      <c r="AK78" s="427">
        <f>SUMIFS(Data!$S$3:$S$150,Data!$N$3:$N$150,AK$1,Data!$K$3:$K$150,'Reporting 2022'!$B23)</f>
        <v>0</v>
      </c>
      <c r="AL78" s="427">
        <f>SUMIFS(Data!$S$3:$S$150,Data!$N$3:$N$150,AL$1,Data!$K$3:$K$150,'Reporting 2022'!$B23)</f>
        <v>0</v>
      </c>
      <c r="AM78" s="427">
        <f>SUMIFS(Data!$S$3:$S$150,Data!$N$3:$N$150,AM$1,Data!$K$3:$K$150,'Reporting 2022'!$B23)</f>
        <v>0</v>
      </c>
      <c r="AN78" s="427">
        <f>SUMIFS(Data!$S$3:$S$150,Data!$N$3:$N$150,AN$1,Data!$K$3:$K$150,'Reporting 2022'!$B23)</f>
        <v>0</v>
      </c>
      <c r="AO78" s="427">
        <f>SUMIFS(Data!$S$3:$S$150,Data!$N$3:$N$150,AO$1,Data!$K$3:$K$150,'Reporting 2022'!$B23)</f>
        <v>0</v>
      </c>
      <c r="AP78" s="427">
        <f>SUMIFS(Data!$S$3:$S$150,Data!$N$3:$N$150,AP$1,Data!$K$3:$K$150,'Reporting 2022'!$B23)</f>
        <v>0</v>
      </c>
      <c r="AQ78" s="427">
        <f>SUMIFS(Data!$S$3:$S$150,Data!$N$3:$N$150,AQ$1,Data!$K$3:$K$150,'Reporting 2022'!$B23)</f>
        <v>0</v>
      </c>
      <c r="AR78" s="427">
        <f>SUMIFS(Data!$S$3:$S$150,Data!$N$3:$N$150,AR$1,Data!$K$3:$K$150,'Reporting 2022'!$B23)</f>
        <v>0</v>
      </c>
      <c r="AS78" s="427">
        <f>SUMIFS(Data!$S$3:$S$150,Data!$N$3:$N$150,AS$1,Data!$K$3:$K$150,'Reporting 2022'!$B23)</f>
        <v>0</v>
      </c>
      <c r="AT78" s="427">
        <f>SUMIFS(Data!$S$3:$S$150,Data!$N$3:$N$150,AT$1,Data!$K$3:$K$150,'Reporting 2022'!$B23)</f>
        <v>0</v>
      </c>
      <c r="AU78" s="427">
        <f>SUMIFS(Data!$S$3:$S$150,Data!$N$3:$N$150,AU$1,Data!$K$3:$K$150,'Reporting 2022'!$B23)</f>
        <v>0</v>
      </c>
      <c r="AV78" s="427">
        <f>SUMIFS(Data!$S$3:$S$150,Data!$N$3:$N$150,AV$1,Data!$K$3:$K$150,'Reporting 2022'!$B23)</f>
        <v>0</v>
      </c>
      <c r="AW78" s="427">
        <f>SUMIFS(Data!$S$3:$S$150,Data!$N$3:$N$150,AW$1,Data!$K$3:$K$150,'Reporting 2022'!$B23)</f>
        <v>0</v>
      </c>
      <c r="AX78" s="427">
        <f>SUMIFS(Data!$S$3:$S$150,Data!$N$3:$N$150,AX$1,Data!$K$3:$K$150,'Reporting 2022'!$B23)</f>
        <v>0</v>
      </c>
      <c r="AY78" s="427">
        <f>SUMIFS(Data!$S$3:$S$150,Data!$N$3:$N$150,AY$1,Data!$K$3:$K$150,'Reporting 2022'!$B23)</f>
        <v>0</v>
      </c>
      <c r="AZ78" s="427">
        <f>SUMIFS(Data!$S$3:$S$150,Data!$N$3:$N$150,AZ$1,Data!$K$3:$K$150,'Reporting 2022'!$B23)</f>
        <v>0</v>
      </c>
      <c r="BA78" s="427">
        <f>SUMIFS(Data!$S$3:$S$150,Data!$N$3:$N$150,BA$1,Data!$K$3:$K$150,'Reporting 2022'!$B23)</f>
        <v>0</v>
      </c>
      <c r="BB78" s="427">
        <f>SUMIFS(Data!$S$3:$S$150,Data!$N$3:$N$150,BB$1,Data!$K$3:$K$150,'Reporting 2022'!$B23)</f>
        <v>0</v>
      </c>
      <c r="BC78" s="3"/>
      <c r="BD78" s="3"/>
      <c r="BE78" s="3"/>
    </row>
    <row r="79" spans="1:57" ht="15" customHeight="1" x14ac:dyDescent="0.3">
      <c r="A79" s="3"/>
      <c r="B79" s="512" t="s">
        <v>499</v>
      </c>
      <c r="C79" s="430">
        <f>SUMIFS(Data!$S$3:$S$150,Data!$N$3:$N$150,C$1,Data!$K$3:$K$150,'Reporting 2022'!$B24)</f>
        <v>0</v>
      </c>
      <c r="D79" s="430">
        <f>SUMIFS(Data!$S$3:$S$150,Data!$N$3:$N$150,D$1,Data!$K$3:$K$150,'Reporting 2022'!$B24)</f>
        <v>0</v>
      </c>
      <c r="E79" s="430">
        <f>SUMIFS(Data!$S$3:$S$150,Data!$N$3:$N$150,E$1,Data!$K$3:$K$150,'Reporting 2022'!$B24)</f>
        <v>0</v>
      </c>
      <c r="F79" s="430">
        <f>SUMIFS(Data!$S$3:$S$150,Data!$N$3:$N$150,F$1,Data!$K$3:$K$150,'Reporting 2022'!$B24)</f>
        <v>0</v>
      </c>
      <c r="G79" s="430">
        <f>SUMIFS(Data!$S$3:$S$150,Data!$N$3:$N$150,G$1,Data!$K$3:$K$150,'Reporting 2022'!$B24)</f>
        <v>0</v>
      </c>
      <c r="H79" s="430">
        <f>SUMIFS(Data!$S$3:$S$150,Data!$N$3:$N$150,H$1,Data!$K$3:$K$150,'Reporting 2022'!$B24)</f>
        <v>0</v>
      </c>
      <c r="I79" s="430">
        <f>SUMIFS(Data!$S$3:$S$150,Data!$N$3:$N$150,I$1,Data!$K$3:$K$150,'Reporting 2022'!$B24)</f>
        <v>0</v>
      </c>
      <c r="J79" s="430">
        <f>SUMIFS(Data!$S$3:$S$150,Data!$N$3:$N$150,J$1,Data!$K$3:$K$150,'Reporting 2022'!$B24)</f>
        <v>0</v>
      </c>
      <c r="K79" s="430">
        <f>SUMIFS(Data!$S$3:$S$150,Data!$N$3:$N$150,K$1,Data!$K$3:$K$150,'Reporting 2022'!$B24)</f>
        <v>0</v>
      </c>
      <c r="L79" s="430">
        <f>SUMIFS(Data!$S$3:$S$150,Data!$N$3:$N$150,L$1,Data!$K$3:$K$150,'Reporting 2022'!$B24)</f>
        <v>0</v>
      </c>
      <c r="M79" s="430">
        <f>SUMIFS(Data!$S$3:$S$150,Data!$N$3:$N$150,M$1,Data!$K$3:$K$150,'Reporting 2022'!$B24)</f>
        <v>0</v>
      </c>
      <c r="N79" s="430">
        <f>SUMIFS(Data!$S$3:$S$150,Data!$N$3:$N$150,N$1,Data!$K$3:$K$150,'Reporting 2022'!$B24)</f>
        <v>0</v>
      </c>
      <c r="O79" s="430">
        <f>SUMIFS(Data!$S$3:$S$150,Data!$N$3:$N$150,O$1,Data!$K$3:$K$150,'Reporting 2022'!$B24)</f>
        <v>0</v>
      </c>
      <c r="P79" s="430">
        <f>SUMIFS(Data!$S$3:$S$150,Data!$N$3:$N$150,P$1,Data!$K$3:$K$150,'Reporting 2022'!$B24)</f>
        <v>0</v>
      </c>
      <c r="Q79" s="430">
        <f>SUMIFS(Data!$S$3:$S$150,Data!$N$3:$N$150,Q$1,Data!$K$3:$K$150,'Reporting 2022'!$B24)</f>
        <v>0</v>
      </c>
      <c r="R79" s="430">
        <f>SUMIFS(Data!$S$3:$S$150,Data!$N$3:$N$150,R$1,Data!$K$3:$K$150,'Reporting 2022'!$B24)</f>
        <v>0</v>
      </c>
      <c r="S79" s="430">
        <f>SUMIFS(Data!$S$3:$S$150,Data!$N$3:$N$150,S$1,Data!$K$3:$K$150,'Reporting 2022'!$B24)</f>
        <v>0</v>
      </c>
      <c r="T79" s="430">
        <f>SUMIFS(Data!$S$3:$S$150,Data!$N$3:$N$150,T$1,Data!$K$3:$K$150,'Reporting 2022'!$B24)</f>
        <v>0</v>
      </c>
      <c r="U79" s="430">
        <f>SUMIFS(Data!$S$3:$S$150,Data!$N$3:$N$150,U$1,Data!$K$3:$K$150,'Reporting 2022'!$B24)</f>
        <v>0</v>
      </c>
      <c r="V79" s="430">
        <f>SUMIFS(Data!$S$3:$S$150,Data!$N$3:$N$150,V$1,Data!$K$3:$K$150,'Reporting 2022'!$B24)</f>
        <v>0</v>
      </c>
      <c r="W79" s="430">
        <f>SUMIFS(Data!$S$3:$S$150,Data!$N$3:$N$150,W$1,Data!$K$3:$K$150,'Reporting 2022'!$B24)</f>
        <v>0</v>
      </c>
      <c r="X79" s="430">
        <f>SUMIFS(Data!$S$3:$S$150,Data!$N$3:$N$150,X$1,Data!$K$3:$K$150,'Reporting 2022'!$B24)</f>
        <v>0</v>
      </c>
      <c r="Y79" s="430">
        <f>SUMIFS(Data!$S$3:$S$150,Data!$N$3:$N$150,Y$1,Data!$K$3:$K$150,'Reporting 2022'!$B24)</f>
        <v>0</v>
      </c>
      <c r="Z79" s="430">
        <f>SUMIFS(Data!$S$3:$S$150,Data!$N$3:$N$150,Z$1,Data!$K$3:$K$150,'Reporting 2022'!$B24)</f>
        <v>0</v>
      </c>
      <c r="AA79" s="430">
        <f>SUMIFS(Data!$S$3:$S$150,Data!$N$3:$N$150,AA$1,Data!$K$3:$K$150,'Reporting 2022'!$B24)</f>
        <v>0</v>
      </c>
      <c r="AB79" s="430">
        <f>SUMIFS(Data!$S$3:$S$150,Data!$N$3:$N$150,AB$1,Data!$K$3:$K$150,'Reporting 2022'!$B24)</f>
        <v>0</v>
      </c>
      <c r="AC79" s="430">
        <f>SUMIFS(Data!$S$3:$S$150,Data!$N$3:$N$150,AC$1,Data!$K$3:$K$150,'Reporting 2022'!$B24)</f>
        <v>0</v>
      </c>
      <c r="AD79" s="430">
        <f>SUMIFS(Data!$S$3:$S$150,Data!$N$3:$N$150,AD$1,Data!$K$3:$K$150,'Reporting 2022'!$B24)</f>
        <v>0</v>
      </c>
      <c r="AE79" s="430">
        <f>SUMIFS(Data!$S$3:$S$150,Data!$N$3:$N$150,AE$1,Data!$K$3:$K$150,'Reporting 2022'!$B24)</f>
        <v>0</v>
      </c>
      <c r="AF79" s="430">
        <f>SUMIFS(Data!$S$3:$S$150,Data!$N$3:$N$150,AF$1,Data!$K$3:$K$150,'Reporting 2022'!$B24)</f>
        <v>0</v>
      </c>
      <c r="AG79" s="430">
        <f>SUMIFS(Data!$S$3:$S$150,Data!$N$3:$N$150,AG$1,Data!$K$3:$K$150,'Reporting 2022'!$B24)</f>
        <v>0</v>
      </c>
      <c r="AH79" s="430">
        <f>SUMIFS(Data!$S$3:$S$150,Data!$N$3:$N$150,AH$1,Data!$K$3:$K$150,'Reporting 2022'!$B24)</f>
        <v>0</v>
      </c>
      <c r="AI79" s="430">
        <f>SUMIFS(Data!$S$3:$S$150,Data!$N$3:$N$150,AI$1,Data!$K$3:$K$150,'Reporting 2022'!$B24)</f>
        <v>0</v>
      </c>
      <c r="AJ79" s="430">
        <f>SUMIFS(Data!$S$3:$S$150,Data!$N$3:$N$150,AJ$1,Data!$K$3:$K$150,'Reporting 2022'!$B24)</f>
        <v>0</v>
      </c>
      <c r="AK79" s="430">
        <f>SUMIFS(Data!$S$3:$S$150,Data!$N$3:$N$150,AK$1,Data!$K$3:$K$150,'Reporting 2022'!$B24)</f>
        <v>0</v>
      </c>
      <c r="AL79" s="430">
        <f>SUMIFS(Data!$S$3:$S$150,Data!$N$3:$N$150,AL$1,Data!$K$3:$K$150,'Reporting 2022'!$B24)</f>
        <v>0</v>
      </c>
      <c r="AM79" s="430">
        <f>SUMIFS(Data!$S$3:$S$150,Data!$N$3:$N$150,AM$1,Data!$K$3:$K$150,'Reporting 2022'!$B24)</f>
        <v>0</v>
      </c>
      <c r="AN79" s="430">
        <f>SUMIFS(Data!$S$3:$S$150,Data!$N$3:$N$150,AN$1,Data!$K$3:$K$150,'Reporting 2022'!$B24)</f>
        <v>0</v>
      </c>
      <c r="AO79" s="430">
        <f>SUMIFS(Data!$S$3:$S$150,Data!$N$3:$N$150,AO$1,Data!$K$3:$K$150,'Reporting 2022'!$B24)</f>
        <v>0</v>
      </c>
      <c r="AP79" s="430">
        <f>SUMIFS(Data!$S$3:$S$150,Data!$N$3:$N$150,AP$1,Data!$K$3:$K$150,'Reporting 2022'!$B24)</f>
        <v>0</v>
      </c>
      <c r="AQ79" s="430">
        <f>SUMIFS(Data!$S$3:$S$150,Data!$N$3:$N$150,AQ$1,Data!$K$3:$K$150,'Reporting 2022'!$B24)</f>
        <v>0</v>
      </c>
      <c r="AR79" s="430">
        <f>SUMIFS(Data!$S$3:$S$150,Data!$N$3:$N$150,AR$1,Data!$K$3:$K$150,'Reporting 2022'!$B24)</f>
        <v>0</v>
      </c>
      <c r="AS79" s="430">
        <f>SUMIFS(Data!$S$3:$S$150,Data!$N$3:$N$150,AS$1,Data!$K$3:$K$150,'Reporting 2022'!$B24)</f>
        <v>0</v>
      </c>
      <c r="AT79" s="430">
        <f>SUMIFS(Data!$S$3:$S$150,Data!$N$3:$N$150,AT$1,Data!$K$3:$K$150,'Reporting 2022'!$B24)</f>
        <v>0</v>
      </c>
      <c r="AU79" s="430">
        <f>SUMIFS(Data!$S$3:$S$150,Data!$N$3:$N$150,AU$1,Data!$K$3:$K$150,'Reporting 2022'!$B24)</f>
        <v>0</v>
      </c>
      <c r="AV79" s="430">
        <f>SUMIFS(Data!$S$3:$S$150,Data!$N$3:$N$150,AV$1,Data!$K$3:$K$150,'Reporting 2022'!$B24)</f>
        <v>0</v>
      </c>
      <c r="AW79" s="430">
        <f>SUMIFS(Data!$S$3:$S$150,Data!$N$3:$N$150,AW$1,Data!$K$3:$K$150,'Reporting 2022'!$B24)</f>
        <v>0</v>
      </c>
      <c r="AX79" s="430">
        <f>SUMIFS(Data!$S$3:$S$150,Data!$N$3:$N$150,AX$1,Data!$K$3:$K$150,'Reporting 2022'!$B24)</f>
        <v>0</v>
      </c>
      <c r="AY79" s="430">
        <f>SUMIFS(Data!$S$3:$S$150,Data!$N$3:$N$150,AY$1,Data!$K$3:$K$150,'Reporting 2022'!$B24)</f>
        <v>0</v>
      </c>
      <c r="AZ79" s="430">
        <f>SUMIFS(Data!$S$3:$S$150,Data!$N$3:$N$150,AZ$1,Data!$K$3:$K$150,'Reporting 2022'!$B24)</f>
        <v>0</v>
      </c>
      <c r="BA79" s="430">
        <f>SUMIFS(Data!$S$3:$S$150,Data!$N$3:$N$150,BA$1,Data!$K$3:$K$150,'Reporting 2022'!$B24)</f>
        <v>0</v>
      </c>
      <c r="BB79" s="430">
        <f>SUMIFS(Data!$S$3:$S$150,Data!$N$3:$N$150,BB$1,Data!$K$3:$K$150,'Reporting 2022'!$B24)</f>
        <v>0</v>
      </c>
      <c r="BC79" s="3"/>
      <c r="BD79" s="3"/>
      <c r="BE79" s="3"/>
    </row>
    <row r="80" spans="1:57" ht="15" customHeight="1" x14ac:dyDescent="0.3">
      <c r="A80" s="3"/>
      <c r="B80" s="191" t="s">
        <v>500</v>
      </c>
      <c r="C80" s="431">
        <f t="shared" ref="C80:C89" si="59">+C70</f>
        <v>8579</v>
      </c>
      <c r="D80" s="431">
        <f t="shared" ref="D80:AI80" si="60">C80+D70</f>
        <v>8579</v>
      </c>
      <c r="E80" s="431">
        <f t="shared" si="60"/>
        <v>8579</v>
      </c>
      <c r="F80" s="431">
        <f t="shared" si="60"/>
        <v>8579</v>
      </c>
      <c r="G80" s="431">
        <f t="shared" si="60"/>
        <v>8579</v>
      </c>
      <c r="H80" s="431">
        <f t="shared" si="60"/>
        <v>8579</v>
      </c>
      <c r="I80" s="431">
        <f t="shared" si="60"/>
        <v>8579</v>
      </c>
      <c r="J80" s="431">
        <f t="shared" si="60"/>
        <v>8579</v>
      </c>
      <c r="K80" s="431">
        <f t="shared" si="60"/>
        <v>8579</v>
      </c>
      <c r="L80" s="431">
        <f t="shared" si="60"/>
        <v>8579</v>
      </c>
      <c r="M80" s="431">
        <f t="shared" si="60"/>
        <v>8579</v>
      </c>
      <c r="N80" s="431">
        <f t="shared" si="60"/>
        <v>8579</v>
      </c>
      <c r="O80" s="431">
        <f t="shared" si="60"/>
        <v>8579</v>
      </c>
      <c r="P80" s="431">
        <f t="shared" si="60"/>
        <v>8579</v>
      </c>
      <c r="Q80" s="431">
        <f t="shared" si="60"/>
        <v>8579</v>
      </c>
      <c r="R80" s="431">
        <f t="shared" si="60"/>
        <v>8579</v>
      </c>
      <c r="S80" s="431">
        <f t="shared" si="60"/>
        <v>8579</v>
      </c>
      <c r="T80" s="431">
        <f t="shared" si="60"/>
        <v>8579</v>
      </c>
      <c r="U80" s="431">
        <f t="shared" si="60"/>
        <v>8579</v>
      </c>
      <c r="V80" s="431">
        <f t="shared" si="60"/>
        <v>8579</v>
      </c>
      <c r="W80" s="431">
        <f t="shared" si="60"/>
        <v>8579</v>
      </c>
      <c r="X80" s="431">
        <f t="shared" si="60"/>
        <v>8579</v>
      </c>
      <c r="Y80" s="431">
        <f t="shared" si="60"/>
        <v>8579</v>
      </c>
      <c r="Z80" s="431">
        <f t="shared" si="60"/>
        <v>8579</v>
      </c>
      <c r="AA80" s="431">
        <f t="shared" si="60"/>
        <v>8579</v>
      </c>
      <c r="AB80" s="431">
        <f t="shared" si="60"/>
        <v>8579</v>
      </c>
      <c r="AC80" s="431">
        <f t="shared" si="60"/>
        <v>8579</v>
      </c>
      <c r="AD80" s="431">
        <f t="shared" si="60"/>
        <v>8579</v>
      </c>
      <c r="AE80" s="431">
        <f t="shared" si="60"/>
        <v>8579</v>
      </c>
      <c r="AF80" s="431">
        <f t="shared" si="60"/>
        <v>8579</v>
      </c>
      <c r="AG80" s="431">
        <f t="shared" si="60"/>
        <v>8579</v>
      </c>
      <c r="AH80" s="431">
        <f t="shared" si="60"/>
        <v>8579</v>
      </c>
      <c r="AI80" s="431">
        <f t="shared" si="60"/>
        <v>8579</v>
      </c>
      <c r="AJ80" s="431">
        <f t="shared" ref="AJ80:BB80" si="61">AI80+AJ70</f>
        <v>8579</v>
      </c>
      <c r="AK80" s="431">
        <f t="shared" si="61"/>
        <v>8579</v>
      </c>
      <c r="AL80" s="431">
        <f t="shared" si="61"/>
        <v>8579</v>
      </c>
      <c r="AM80" s="431">
        <f t="shared" si="61"/>
        <v>8579</v>
      </c>
      <c r="AN80" s="431">
        <f t="shared" si="61"/>
        <v>8579</v>
      </c>
      <c r="AO80" s="431">
        <f t="shared" si="61"/>
        <v>8579</v>
      </c>
      <c r="AP80" s="431">
        <f t="shared" si="61"/>
        <v>8579</v>
      </c>
      <c r="AQ80" s="431">
        <f t="shared" si="61"/>
        <v>8579</v>
      </c>
      <c r="AR80" s="431">
        <f t="shared" si="61"/>
        <v>8579</v>
      </c>
      <c r="AS80" s="431">
        <f t="shared" si="61"/>
        <v>8579</v>
      </c>
      <c r="AT80" s="431">
        <f t="shared" si="61"/>
        <v>8579</v>
      </c>
      <c r="AU80" s="431">
        <f t="shared" si="61"/>
        <v>8579</v>
      </c>
      <c r="AV80" s="431">
        <f t="shared" si="61"/>
        <v>8579</v>
      </c>
      <c r="AW80" s="431">
        <f t="shared" si="61"/>
        <v>8579</v>
      </c>
      <c r="AX80" s="431">
        <f t="shared" si="61"/>
        <v>8579</v>
      </c>
      <c r="AY80" s="431">
        <f t="shared" si="61"/>
        <v>8579</v>
      </c>
      <c r="AZ80" s="431">
        <f t="shared" si="61"/>
        <v>8579</v>
      </c>
      <c r="BA80" s="431">
        <f t="shared" si="61"/>
        <v>8579</v>
      </c>
      <c r="BB80" s="431">
        <f t="shared" si="61"/>
        <v>8579</v>
      </c>
      <c r="BC80" s="3"/>
      <c r="BD80" s="3"/>
      <c r="BE80" s="3"/>
    </row>
    <row r="81" spans="1:57" ht="19.5" customHeight="1" x14ac:dyDescent="0.3">
      <c r="A81" s="3"/>
      <c r="B81" s="191" t="s">
        <v>501</v>
      </c>
      <c r="C81" s="431">
        <f t="shared" si="59"/>
        <v>0</v>
      </c>
      <c r="D81" s="431">
        <f t="shared" ref="D81:AI81" si="62">C81+D71</f>
        <v>0</v>
      </c>
      <c r="E81" s="431">
        <f t="shared" si="62"/>
        <v>0</v>
      </c>
      <c r="F81" s="431">
        <f t="shared" si="62"/>
        <v>0</v>
      </c>
      <c r="G81" s="431">
        <f t="shared" si="62"/>
        <v>0</v>
      </c>
      <c r="H81" s="431">
        <f t="shared" si="62"/>
        <v>0</v>
      </c>
      <c r="I81" s="431">
        <f t="shared" si="62"/>
        <v>0</v>
      </c>
      <c r="J81" s="431">
        <f t="shared" si="62"/>
        <v>0</v>
      </c>
      <c r="K81" s="431">
        <f t="shared" si="62"/>
        <v>0</v>
      </c>
      <c r="L81" s="431">
        <f t="shared" si="62"/>
        <v>0</v>
      </c>
      <c r="M81" s="431">
        <f t="shared" si="62"/>
        <v>0</v>
      </c>
      <c r="N81" s="431">
        <f t="shared" si="62"/>
        <v>0</v>
      </c>
      <c r="O81" s="431">
        <f t="shared" si="62"/>
        <v>0</v>
      </c>
      <c r="P81" s="431">
        <f t="shared" si="62"/>
        <v>0</v>
      </c>
      <c r="Q81" s="431">
        <f t="shared" si="62"/>
        <v>0</v>
      </c>
      <c r="R81" s="431">
        <f t="shared" si="62"/>
        <v>0</v>
      </c>
      <c r="S81" s="431">
        <f t="shared" si="62"/>
        <v>0</v>
      </c>
      <c r="T81" s="431">
        <f t="shared" si="62"/>
        <v>0</v>
      </c>
      <c r="U81" s="431">
        <f t="shared" si="62"/>
        <v>0</v>
      </c>
      <c r="V81" s="431">
        <f t="shared" si="62"/>
        <v>0</v>
      </c>
      <c r="W81" s="431">
        <f t="shared" si="62"/>
        <v>0</v>
      </c>
      <c r="X81" s="431">
        <f t="shared" si="62"/>
        <v>0</v>
      </c>
      <c r="Y81" s="431">
        <f t="shared" si="62"/>
        <v>0</v>
      </c>
      <c r="Z81" s="431">
        <f t="shared" si="62"/>
        <v>0</v>
      </c>
      <c r="AA81" s="431">
        <f t="shared" si="62"/>
        <v>0</v>
      </c>
      <c r="AB81" s="431">
        <f t="shared" si="62"/>
        <v>0</v>
      </c>
      <c r="AC81" s="431">
        <f t="shared" si="62"/>
        <v>0</v>
      </c>
      <c r="AD81" s="431">
        <f t="shared" si="62"/>
        <v>0</v>
      </c>
      <c r="AE81" s="431">
        <f t="shared" si="62"/>
        <v>0</v>
      </c>
      <c r="AF81" s="431">
        <f t="shared" si="62"/>
        <v>0</v>
      </c>
      <c r="AG81" s="431">
        <f t="shared" si="62"/>
        <v>0</v>
      </c>
      <c r="AH81" s="431">
        <f t="shared" si="62"/>
        <v>0</v>
      </c>
      <c r="AI81" s="431">
        <f t="shared" si="62"/>
        <v>0</v>
      </c>
      <c r="AJ81" s="431">
        <f t="shared" ref="AJ81:BB81" si="63">AI81+AJ71</f>
        <v>0</v>
      </c>
      <c r="AK81" s="431">
        <f t="shared" si="63"/>
        <v>0</v>
      </c>
      <c r="AL81" s="431">
        <f t="shared" si="63"/>
        <v>0</v>
      </c>
      <c r="AM81" s="431">
        <f t="shared" si="63"/>
        <v>0</v>
      </c>
      <c r="AN81" s="431">
        <f t="shared" si="63"/>
        <v>0</v>
      </c>
      <c r="AO81" s="431">
        <f t="shared" si="63"/>
        <v>0</v>
      </c>
      <c r="AP81" s="431">
        <f t="shared" si="63"/>
        <v>0</v>
      </c>
      <c r="AQ81" s="431">
        <f t="shared" si="63"/>
        <v>0</v>
      </c>
      <c r="AR81" s="431">
        <f t="shared" si="63"/>
        <v>0</v>
      </c>
      <c r="AS81" s="431">
        <f t="shared" si="63"/>
        <v>0</v>
      </c>
      <c r="AT81" s="431">
        <f t="shared" si="63"/>
        <v>0</v>
      </c>
      <c r="AU81" s="431">
        <f t="shared" si="63"/>
        <v>0</v>
      </c>
      <c r="AV81" s="431">
        <f t="shared" si="63"/>
        <v>0</v>
      </c>
      <c r="AW81" s="431">
        <f t="shared" si="63"/>
        <v>0</v>
      </c>
      <c r="AX81" s="431">
        <f t="shared" si="63"/>
        <v>0</v>
      </c>
      <c r="AY81" s="431">
        <f t="shared" si="63"/>
        <v>0</v>
      </c>
      <c r="AZ81" s="431">
        <f t="shared" si="63"/>
        <v>0</v>
      </c>
      <c r="BA81" s="431">
        <f t="shared" si="63"/>
        <v>0</v>
      </c>
      <c r="BB81" s="431">
        <f t="shared" si="63"/>
        <v>0</v>
      </c>
      <c r="BC81" s="3"/>
      <c r="BD81" s="3"/>
      <c r="BE81" s="3"/>
    </row>
    <row r="82" spans="1:57" ht="19.5" customHeight="1" x14ac:dyDescent="0.3">
      <c r="A82" s="3"/>
      <c r="B82" s="191" t="s">
        <v>502</v>
      </c>
      <c r="C82" s="431">
        <f t="shared" si="59"/>
        <v>9590</v>
      </c>
      <c r="D82" s="431">
        <f t="shared" ref="D82:AI82" si="64">C82+D72</f>
        <v>9590</v>
      </c>
      <c r="E82" s="431">
        <f t="shared" si="64"/>
        <v>9590</v>
      </c>
      <c r="F82" s="431">
        <f t="shared" si="64"/>
        <v>9590</v>
      </c>
      <c r="G82" s="431">
        <f t="shared" si="64"/>
        <v>9590</v>
      </c>
      <c r="H82" s="431">
        <f t="shared" si="64"/>
        <v>9590</v>
      </c>
      <c r="I82" s="431">
        <f t="shared" si="64"/>
        <v>9590</v>
      </c>
      <c r="J82" s="431">
        <f t="shared" si="64"/>
        <v>9590</v>
      </c>
      <c r="K82" s="431">
        <f t="shared" si="64"/>
        <v>9590</v>
      </c>
      <c r="L82" s="431">
        <f t="shared" si="64"/>
        <v>9590</v>
      </c>
      <c r="M82" s="431">
        <f t="shared" si="64"/>
        <v>9590</v>
      </c>
      <c r="N82" s="431">
        <f t="shared" si="64"/>
        <v>9590</v>
      </c>
      <c r="O82" s="431">
        <f t="shared" si="64"/>
        <v>9590</v>
      </c>
      <c r="P82" s="431">
        <f t="shared" si="64"/>
        <v>9590</v>
      </c>
      <c r="Q82" s="431">
        <f t="shared" si="64"/>
        <v>9590</v>
      </c>
      <c r="R82" s="431">
        <f t="shared" si="64"/>
        <v>9590</v>
      </c>
      <c r="S82" s="431">
        <f t="shared" si="64"/>
        <v>9590</v>
      </c>
      <c r="T82" s="431">
        <f t="shared" si="64"/>
        <v>9590</v>
      </c>
      <c r="U82" s="431">
        <f t="shared" si="64"/>
        <v>9590</v>
      </c>
      <c r="V82" s="431">
        <f t="shared" si="64"/>
        <v>9590</v>
      </c>
      <c r="W82" s="431">
        <f t="shared" si="64"/>
        <v>9590</v>
      </c>
      <c r="X82" s="431">
        <f t="shared" si="64"/>
        <v>9590</v>
      </c>
      <c r="Y82" s="431">
        <f t="shared" si="64"/>
        <v>9590</v>
      </c>
      <c r="Z82" s="431">
        <f t="shared" si="64"/>
        <v>9590</v>
      </c>
      <c r="AA82" s="431">
        <f t="shared" si="64"/>
        <v>9590</v>
      </c>
      <c r="AB82" s="431">
        <f t="shared" si="64"/>
        <v>9590</v>
      </c>
      <c r="AC82" s="431">
        <f t="shared" si="64"/>
        <v>9590</v>
      </c>
      <c r="AD82" s="431">
        <f t="shared" si="64"/>
        <v>9590</v>
      </c>
      <c r="AE82" s="431">
        <f t="shared" si="64"/>
        <v>9590</v>
      </c>
      <c r="AF82" s="431">
        <f t="shared" si="64"/>
        <v>9590</v>
      </c>
      <c r="AG82" s="431">
        <f t="shared" si="64"/>
        <v>9590</v>
      </c>
      <c r="AH82" s="431">
        <f t="shared" si="64"/>
        <v>9590</v>
      </c>
      <c r="AI82" s="431">
        <f t="shared" si="64"/>
        <v>9590</v>
      </c>
      <c r="AJ82" s="431">
        <f t="shared" ref="AJ82:BB82" si="65">AI82+AJ72</f>
        <v>9590</v>
      </c>
      <c r="AK82" s="431">
        <f t="shared" si="65"/>
        <v>9590</v>
      </c>
      <c r="AL82" s="431">
        <f t="shared" si="65"/>
        <v>9590</v>
      </c>
      <c r="AM82" s="431">
        <f t="shared" si="65"/>
        <v>9590</v>
      </c>
      <c r="AN82" s="431">
        <f t="shared" si="65"/>
        <v>9590</v>
      </c>
      <c r="AO82" s="431">
        <f t="shared" si="65"/>
        <v>9590</v>
      </c>
      <c r="AP82" s="431">
        <f t="shared" si="65"/>
        <v>9590</v>
      </c>
      <c r="AQ82" s="431">
        <f t="shared" si="65"/>
        <v>9590</v>
      </c>
      <c r="AR82" s="431">
        <f t="shared" si="65"/>
        <v>9590</v>
      </c>
      <c r="AS82" s="431">
        <f t="shared" si="65"/>
        <v>9590</v>
      </c>
      <c r="AT82" s="431">
        <f t="shared" si="65"/>
        <v>9590</v>
      </c>
      <c r="AU82" s="431">
        <f t="shared" si="65"/>
        <v>9590</v>
      </c>
      <c r="AV82" s="431">
        <f t="shared" si="65"/>
        <v>9590</v>
      </c>
      <c r="AW82" s="431">
        <f t="shared" si="65"/>
        <v>9590</v>
      </c>
      <c r="AX82" s="431">
        <f t="shared" si="65"/>
        <v>9590</v>
      </c>
      <c r="AY82" s="431">
        <f t="shared" si="65"/>
        <v>9590</v>
      </c>
      <c r="AZ82" s="431">
        <f t="shared" si="65"/>
        <v>9590</v>
      </c>
      <c r="BA82" s="431">
        <f t="shared" si="65"/>
        <v>9590</v>
      </c>
      <c r="BB82" s="431">
        <f t="shared" si="65"/>
        <v>9590</v>
      </c>
      <c r="BC82" s="3"/>
      <c r="BD82" s="3"/>
      <c r="BE82" s="3"/>
    </row>
    <row r="83" spans="1:57" ht="19.5" customHeight="1" x14ac:dyDescent="0.3">
      <c r="A83" s="3"/>
      <c r="B83" s="191" t="s">
        <v>503</v>
      </c>
      <c r="C83" s="431">
        <f t="shared" si="59"/>
        <v>0</v>
      </c>
      <c r="D83" s="431">
        <f t="shared" ref="D83:AI83" si="66">C83+D73</f>
        <v>0</v>
      </c>
      <c r="E83" s="431">
        <f t="shared" si="66"/>
        <v>0</v>
      </c>
      <c r="F83" s="431">
        <f t="shared" si="66"/>
        <v>0</v>
      </c>
      <c r="G83" s="431">
        <f t="shared" si="66"/>
        <v>0</v>
      </c>
      <c r="H83" s="431">
        <f t="shared" si="66"/>
        <v>0</v>
      </c>
      <c r="I83" s="431">
        <f t="shared" si="66"/>
        <v>0</v>
      </c>
      <c r="J83" s="431">
        <f t="shared" si="66"/>
        <v>0</v>
      </c>
      <c r="K83" s="431">
        <f t="shared" si="66"/>
        <v>0</v>
      </c>
      <c r="L83" s="431">
        <f t="shared" si="66"/>
        <v>0</v>
      </c>
      <c r="M83" s="431">
        <f t="shared" si="66"/>
        <v>0</v>
      </c>
      <c r="N83" s="431">
        <f t="shared" si="66"/>
        <v>0</v>
      </c>
      <c r="O83" s="431">
        <f t="shared" si="66"/>
        <v>0</v>
      </c>
      <c r="P83" s="431">
        <f t="shared" si="66"/>
        <v>0</v>
      </c>
      <c r="Q83" s="431">
        <f t="shared" si="66"/>
        <v>0</v>
      </c>
      <c r="R83" s="431">
        <f t="shared" si="66"/>
        <v>0</v>
      </c>
      <c r="S83" s="431">
        <f t="shared" si="66"/>
        <v>0</v>
      </c>
      <c r="T83" s="431">
        <f t="shared" si="66"/>
        <v>0</v>
      </c>
      <c r="U83" s="431">
        <f t="shared" si="66"/>
        <v>0</v>
      </c>
      <c r="V83" s="431">
        <f t="shared" si="66"/>
        <v>0</v>
      </c>
      <c r="W83" s="431">
        <f t="shared" si="66"/>
        <v>0</v>
      </c>
      <c r="X83" s="431">
        <f t="shared" si="66"/>
        <v>0</v>
      </c>
      <c r="Y83" s="431">
        <f t="shared" si="66"/>
        <v>0</v>
      </c>
      <c r="Z83" s="431">
        <f t="shared" si="66"/>
        <v>0</v>
      </c>
      <c r="AA83" s="431">
        <f t="shared" si="66"/>
        <v>0</v>
      </c>
      <c r="AB83" s="431">
        <f t="shared" si="66"/>
        <v>0</v>
      </c>
      <c r="AC83" s="431">
        <f t="shared" si="66"/>
        <v>0</v>
      </c>
      <c r="AD83" s="431">
        <f t="shared" si="66"/>
        <v>0</v>
      </c>
      <c r="AE83" s="431">
        <f t="shared" si="66"/>
        <v>0</v>
      </c>
      <c r="AF83" s="431">
        <f t="shared" si="66"/>
        <v>0</v>
      </c>
      <c r="AG83" s="431">
        <f t="shared" si="66"/>
        <v>0</v>
      </c>
      <c r="AH83" s="431">
        <f t="shared" si="66"/>
        <v>0</v>
      </c>
      <c r="AI83" s="431">
        <f t="shared" si="66"/>
        <v>0</v>
      </c>
      <c r="AJ83" s="431">
        <f t="shared" ref="AJ83:BB83" si="67">AI83+AJ73</f>
        <v>0</v>
      </c>
      <c r="AK83" s="431">
        <f t="shared" si="67"/>
        <v>0</v>
      </c>
      <c r="AL83" s="431">
        <f t="shared" si="67"/>
        <v>0</v>
      </c>
      <c r="AM83" s="431">
        <f t="shared" si="67"/>
        <v>0</v>
      </c>
      <c r="AN83" s="431">
        <f t="shared" si="67"/>
        <v>0</v>
      </c>
      <c r="AO83" s="431">
        <f t="shared" si="67"/>
        <v>0</v>
      </c>
      <c r="AP83" s="431">
        <f t="shared" si="67"/>
        <v>0</v>
      </c>
      <c r="AQ83" s="431">
        <f t="shared" si="67"/>
        <v>0</v>
      </c>
      <c r="AR83" s="431">
        <f t="shared" si="67"/>
        <v>0</v>
      </c>
      <c r="AS83" s="431">
        <f t="shared" si="67"/>
        <v>0</v>
      </c>
      <c r="AT83" s="431">
        <f t="shared" si="67"/>
        <v>0</v>
      </c>
      <c r="AU83" s="431">
        <f t="shared" si="67"/>
        <v>0</v>
      </c>
      <c r="AV83" s="431">
        <f t="shared" si="67"/>
        <v>0</v>
      </c>
      <c r="AW83" s="431">
        <f t="shared" si="67"/>
        <v>0</v>
      </c>
      <c r="AX83" s="431">
        <f t="shared" si="67"/>
        <v>0</v>
      </c>
      <c r="AY83" s="431">
        <f t="shared" si="67"/>
        <v>0</v>
      </c>
      <c r="AZ83" s="431">
        <f t="shared" si="67"/>
        <v>0</v>
      </c>
      <c r="BA83" s="431">
        <f t="shared" si="67"/>
        <v>0</v>
      </c>
      <c r="BB83" s="431">
        <f t="shared" si="67"/>
        <v>0</v>
      </c>
      <c r="BC83" s="3"/>
      <c r="BD83" s="3"/>
      <c r="BE83" s="3"/>
    </row>
    <row r="84" spans="1:57" ht="19.5" customHeight="1" x14ac:dyDescent="0.3">
      <c r="A84" s="3"/>
      <c r="B84" s="191" t="s">
        <v>504</v>
      </c>
      <c r="C84" s="431">
        <f t="shared" si="59"/>
        <v>0</v>
      </c>
      <c r="D84" s="431">
        <f t="shared" ref="D84:AI84" si="68">C84+D74</f>
        <v>0</v>
      </c>
      <c r="E84" s="431">
        <f t="shared" si="68"/>
        <v>0</v>
      </c>
      <c r="F84" s="431">
        <f t="shared" si="68"/>
        <v>0</v>
      </c>
      <c r="G84" s="431">
        <f t="shared" si="68"/>
        <v>0</v>
      </c>
      <c r="H84" s="431">
        <f t="shared" si="68"/>
        <v>0</v>
      </c>
      <c r="I84" s="431">
        <f t="shared" si="68"/>
        <v>0</v>
      </c>
      <c r="J84" s="431">
        <f t="shared" si="68"/>
        <v>0</v>
      </c>
      <c r="K84" s="431">
        <f t="shared" si="68"/>
        <v>0</v>
      </c>
      <c r="L84" s="431">
        <f t="shared" si="68"/>
        <v>0</v>
      </c>
      <c r="M84" s="431">
        <f t="shared" si="68"/>
        <v>0</v>
      </c>
      <c r="N84" s="431">
        <f t="shared" si="68"/>
        <v>0</v>
      </c>
      <c r="O84" s="431">
        <f t="shared" si="68"/>
        <v>0</v>
      </c>
      <c r="P84" s="431">
        <f t="shared" si="68"/>
        <v>0</v>
      </c>
      <c r="Q84" s="431">
        <f t="shared" si="68"/>
        <v>0</v>
      </c>
      <c r="R84" s="431">
        <f t="shared" si="68"/>
        <v>0</v>
      </c>
      <c r="S84" s="431">
        <f t="shared" si="68"/>
        <v>0</v>
      </c>
      <c r="T84" s="431">
        <f t="shared" si="68"/>
        <v>0</v>
      </c>
      <c r="U84" s="431">
        <f t="shared" si="68"/>
        <v>0</v>
      </c>
      <c r="V84" s="431">
        <f t="shared" si="68"/>
        <v>0</v>
      </c>
      <c r="W84" s="431">
        <f t="shared" si="68"/>
        <v>0</v>
      </c>
      <c r="X84" s="431">
        <f t="shared" si="68"/>
        <v>0</v>
      </c>
      <c r="Y84" s="431">
        <f t="shared" si="68"/>
        <v>0</v>
      </c>
      <c r="Z84" s="431">
        <f t="shared" si="68"/>
        <v>0</v>
      </c>
      <c r="AA84" s="431">
        <f t="shared" si="68"/>
        <v>0</v>
      </c>
      <c r="AB84" s="431">
        <f t="shared" si="68"/>
        <v>0</v>
      </c>
      <c r="AC84" s="431">
        <f t="shared" si="68"/>
        <v>0</v>
      </c>
      <c r="AD84" s="431">
        <f t="shared" si="68"/>
        <v>0</v>
      </c>
      <c r="AE84" s="431">
        <f t="shared" si="68"/>
        <v>0</v>
      </c>
      <c r="AF84" s="431">
        <f t="shared" si="68"/>
        <v>0</v>
      </c>
      <c r="AG84" s="431">
        <f t="shared" si="68"/>
        <v>0</v>
      </c>
      <c r="AH84" s="431">
        <f t="shared" si="68"/>
        <v>0</v>
      </c>
      <c r="AI84" s="431">
        <f t="shared" si="68"/>
        <v>0</v>
      </c>
      <c r="AJ84" s="431">
        <f t="shared" ref="AJ84:BB84" si="69">AI84+AJ74</f>
        <v>0</v>
      </c>
      <c r="AK84" s="431">
        <f t="shared" si="69"/>
        <v>0</v>
      </c>
      <c r="AL84" s="431">
        <f t="shared" si="69"/>
        <v>0</v>
      </c>
      <c r="AM84" s="431">
        <f t="shared" si="69"/>
        <v>0</v>
      </c>
      <c r="AN84" s="431">
        <f t="shared" si="69"/>
        <v>0</v>
      </c>
      <c r="AO84" s="431">
        <f t="shared" si="69"/>
        <v>0</v>
      </c>
      <c r="AP84" s="431">
        <f t="shared" si="69"/>
        <v>0</v>
      </c>
      <c r="AQ84" s="431">
        <f t="shared" si="69"/>
        <v>0</v>
      </c>
      <c r="AR84" s="431">
        <f t="shared" si="69"/>
        <v>0</v>
      </c>
      <c r="AS84" s="431">
        <f t="shared" si="69"/>
        <v>0</v>
      </c>
      <c r="AT84" s="431">
        <f t="shared" si="69"/>
        <v>0</v>
      </c>
      <c r="AU84" s="431">
        <f t="shared" si="69"/>
        <v>0</v>
      </c>
      <c r="AV84" s="431">
        <f t="shared" si="69"/>
        <v>0</v>
      </c>
      <c r="AW84" s="431">
        <f t="shared" si="69"/>
        <v>0</v>
      </c>
      <c r="AX84" s="431">
        <f t="shared" si="69"/>
        <v>0</v>
      </c>
      <c r="AY84" s="431">
        <f t="shared" si="69"/>
        <v>0</v>
      </c>
      <c r="AZ84" s="431">
        <f t="shared" si="69"/>
        <v>0</v>
      </c>
      <c r="BA84" s="431">
        <f t="shared" si="69"/>
        <v>0</v>
      </c>
      <c r="BB84" s="431">
        <f t="shared" si="69"/>
        <v>0</v>
      </c>
      <c r="BC84" s="3"/>
      <c r="BD84" s="3"/>
      <c r="BE84" s="3"/>
    </row>
    <row r="85" spans="1:57" ht="19.5" customHeight="1" x14ac:dyDescent="0.3">
      <c r="A85" s="3"/>
      <c r="B85" s="191" t="s">
        <v>505</v>
      </c>
      <c r="C85" s="431">
        <f t="shared" si="59"/>
        <v>43640</v>
      </c>
      <c r="D85" s="431">
        <f t="shared" ref="D85:AI85" si="70">C85+D75</f>
        <v>43640</v>
      </c>
      <c r="E85" s="431">
        <f t="shared" si="70"/>
        <v>43640</v>
      </c>
      <c r="F85" s="431">
        <f t="shared" si="70"/>
        <v>43640</v>
      </c>
      <c r="G85" s="431">
        <f t="shared" si="70"/>
        <v>43640</v>
      </c>
      <c r="H85" s="431">
        <f t="shared" si="70"/>
        <v>43640</v>
      </c>
      <c r="I85" s="431">
        <f t="shared" si="70"/>
        <v>43640</v>
      </c>
      <c r="J85" s="431">
        <f t="shared" si="70"/>
        <v>43640</v>
      </c>
      <c r="K85" s="431">
        <f t="shared" si="70"/>
        <v>43640</v>
      </c>
      <c r="L85" s="431">
        <f t="shared" si="70"/>
        <v>43640</v>
      </c>
      <c r="M85" s="431">
        <f t="shared" si="70"/>
        <v>43640</v>
      </c>
      <c r="N85" s="431">
        <f t="shared" si="70"/>
        <v>43640</v>
      </c>
      <c r="O85" s="431">
        <f t="shared" si="70"/>
        <v>43640</v>
      </c>
      <c r="P85" s="431">
        <f t="shared" si="70"/>
        <v>43640</v>
      </c>
      <c r="Q85" s="431">
        <f t="shared" si="70"/>
        <v>43640</v>
      </c>
      <c r="R85" s="431">
        <f t="shared" si="70"/>
        <v>43640</v>
      </c>
      <c r="S85" s="431">
        <f t="shared" si="70"/>
        <v>43640</v>
      </c>
      <c r="T85" s="431">
        <f t="shared" si="70"/>
        <v>43640</v>
      </c>
      <c r="U85" s="431">
        <f t="shared" si="70"/>
        <v>43640</v>
      </c>
      <c r="V85" s="431">
        <f t="shared" si="70"/>
        <v>43640</v>
      </c>
      <c r="W85" s="431">
        <f t="shared" si="70"/>
        <v>43640</v>
      </c>
      <c r="X85" s="431">
        <f t="shared" si="70"/>
        <v>43640</v>
      </c>
      <c r="Y85" s="431">
        <f t="shared" si="70"/>
        <v>43640</v>
      </c>
      <c r="Z85" s="431">
        <f t="shared" si="70"/>
        <v>43640</v>
      </c>
      <c r="AA85" s="431">
        <f t="shared" si="70"/>
        <v>43640</v>
      </c>
      <c r="AB85" s="431">
        <f t="shared" si="70"/>
        <v>43640</v>
      </c>
      <c r="AC85" s="431">
        <f t="shared" si="70"/>
        <v>43640</v>
      </c>
      <c r="AD85" s="431">
        <f t="shared" si="70"/>
        <v>43640</v>
      </c>
      <c r="AE85" s="431">
        <f t="shared" si="70"/>
        <v>43640</v>
      </c>
      <c r="AF85" s="431">
        <f t="shared" si="70"/>
        <v>43640</v>
      </c>
      <c r="AG85" s="431">
        <f t="shared" si="70"/>
        <v>43640</v>
      </c>
      <c r="AH85" s="431">
        <f t="shared" si="70"/>
        <v>43640</v>
      </c>
      <c r="AI85" s="431">
        <f t="shared" si="70"/>
        <v>43640</v>
      </c>
      <c r="AJ85" s="431">
        <f t="shared" ref="AJ85:BB85" si="71">AI85+AJ75</f>
        <v>43640</v>
      </c>
      <c r="AK85" s="431">
        <f t="shared" si="71"/>
        <v>43640</v>
      </c>
      <c r="AL85" s="431">
        <f t="shared" si="71"/>
        <v>43640</v>
      </c>
      <c r="AM85" s="431">
        <f t="shared" si="71"/>
        <v>43640</v>
      </c>
      <c r="AN85" s="431">
        <f t="shared" si="71"/>
        <v>43640</v>
      </c>
      <c r="AO85" s="431">
        <f t="shared" si="71"/>
        <v>43640</v>
      </c>
      <c r="AP85" s="431">
        <f t="shared" si="71"/>
        <v>43640</v>
      </c>
      <c r="AQ85" s="431">
        <f t="shared" si="71"/>
        <v>43640</v>
      </c>
      <c r="AR85" s="431">
        <f t="shared" si="71"/>
        <v>43640</v>
      </c>
      <c r="AS85" s="431">
        <f t="shared" si="71"/>
        <v>43640</v>
      </c>
      <c r="AT85" s="431">
        <f t="shared" si="71"/>
        <v>43640</v>
      </c>
      <c r="AU85" s="431">
        <f t="shared" si="71"/>
        <v>43640</v>
      </c>
      <c r="AV85" s="431">
        <f t="shared" si="71"/>
        <v>43640</v>
      </c>
      <c r="AW85" s="431">
        <f t="shared" si="71"/>
        <v>43640</v>
      </c>
      <c r="AX85" s="431">
        <f t="shared" si="71"/>
        <v>43640</v>
      </c>
      <c r="AY85" s="431">
        <f t="shared" si="71"/>
        <v>43640</v>
      </c>
      <c r="AZ85" s="431">
        <f t="shared" si="71"/>
        <v>43640</v>
      </c>
      <c r="BA85" s="431">
        <f t="shared" si="71"/>
        <v>43640</v>
      </c>
      <c r="BB85" s="431">
        <f t="shared" si="71"/>
        <v>43640</v>
      </c>
      <c r="BC85" s="3"/>
      <c r="BD85" s="3"/>
      <c r="BE85" s="3"/>
    </row>
    <row r="86" spans="1:57" ht="19.5" customHeight="1" x14ac:dyDescent="0.3">
      <c r="A86" s="3"/>
      <c r="B86" s="191" t="s">
        <v>506</v>
      </c>
      <c r="C86" s="431">
        <f t="shared" si="59"/>
        <v>0</v>
      </c>
      <c r="D86" s="431">
        <f t="shared" ref="D86:AI86" si="72">C86+D76</f>
        <v>0</v>
      </c>
      <c r="E86" s="431">
        <f t="shared" si="72"/>
        <v>0</v>
      </c>
      <c r="F86" s="431">
        <f t="shared" si="72"/>
        <v>0</v>
      </c>
      <c r="G86" s="431">
        <f t="shared" si="72"/>
        <v>0</v>
      </c>
      <c r="H86" s="431">
        <f t="shared" si="72"/>
        <v>0</v>
      </c>
      <c r="I86" s="431">
        <f t="shared" si="72"/>
        <v>0</v>
      </c>
      <c r="J86" s="431">
        <f t="shared" si="72"/>
        <v>0</v>
      </c>
      <c r="K86" s="431">
        <f t="shared" si="72"/>
        <v>0</v>
      </c>
      <c r="L86" s="431">
        <f t="shared" si="72"/>
        <v>0</v>
      </c>
      <c r="M86" s="431">
        <f t="shared" si="72"/>
        <v>0</v>
      </c>
      <c r="N86" s="431">
        <f t="shared" si="72"/>
        <v>0</v>
      </c>
      <c r="O86" s="431">
        <f t="shared" si="72"/>
        <v>0</v>
      </c>
      <c r="P86" s="431">
        <f t="shared" si="72"/>
        <v>0</v>
      </c>
      <c r="Q86" s="431">
        <f t="shared" si="72"/>
        <v>0</v>
      </c>
      <c r="R86" s="431">
        <f t="shared" si="72"/>
        <v>0</v>
      </c>
      <c r="S86" s="431">
        <f t="shared" si="72"/>
        <v>0</v>
      </c>
      <c r="T86" s="431">
        <f t="shared" si="72"/>
        <v>0</v>
      </c>
      <c r="U86" s="431">
        <f t="shared" si="72"/>
        <v>0</v>
      </c>
      <c r="V86" s="431">
        <f t="shared" si="72"/>
        <v>0</v>
      </c>
      <c r="W86" s="431">
        <f t="shared" si="72"/>
        <v>0</v>
      </c>
      <c r="X86" s="431">
        <f t="shared" si="72"/>
        <v>0</v>
      </c>
      <c r="Y86" s="431">
        <f t="shared" si="72"/>
        <v>0</v>
      </c>
      <c r="Z86" s="431">
        <f t="shared" si="72"/>
        <v>0</v>
      </c>
      <c r="AA86" s="431">
        <f t="shared" si="72"/>
        <v>0</v>
      </c>
      <c r="AB86" s="431">
        <f t="shared" si="72"/>
        <v>0</v>
      </c>
      <c r="AC86" s="431">
        <f t="shared" si="72"/>
        <v>0</v>
      </c>
      <c r="AD86" s="431">
        <f t="shared" si="72"/>
        <v>0</v>
      </c>
      <c r="AE86" s="431">
        <f t="shared" si="72"/>
        <v>0</v>
      </c>
      <c r="AF86" s="431">
        <f t="shared" si="72"/>
        <v>0</v>
      </c>
      <c r="AG86" s="431">
        <f t="shared" si="72"/>
        <v>0</v>
      </c>
      <c r="AH86" s="431">
        <f t="shared" si="72"/>
        <v>0</v>
      </c>
      <c r="AI86" s="431">
        <f t="shared" si="72"/>
        <v>0</v>
      </c>
      <c r="AJ86" s="431">
        <f t="shared" ref="AJ86:BB86" si="73">AI86+AJ76</f>
        <v>0</v>
      </c>
      <c r="AK86" s="431">
        <f t="shared" si="73"/>
        <v>0</v>
      </c>
      <c r="AL86" s="431">
        <f t="shared" si="73"/>
        <v>0</v>
      </c>
      <c r="AM86" s="431">
        <f t="shared" si="73"/>
        <v>0</v>
      </c>
      <c r="AN86" s="431">
        <f t="shared" si="73"/>
        <v>0</v>
      </c>
      <c r="AO86" s="431">
        <f t="shared" si="73"/>
        <v>0</v>
      </c>
      <c r="AP86" s="431">
        <f t="shared" si="73"/>
        <v>0</v>
      </c>
      <c r="AQ86" s="431">
        <f t="shared" si="73"/>
        <v>0</v>
      </c>
      <c r="AR86" s="431">
        <f t="shared" si="73"/>
        <v>0</v>
      </c>
      <c r="AS86" s="431">
        <f t="shared" si="73"/>
        <v>0</v>
      </c>
      <c r="AT86" s="431">
        <f t="shared" si="73"/>
        <v>0</v>
      </c>
      <c r="AU86" s="431">
        <f t="shared" si="73"/>
        <v>0</v>
      </c>
      <c r="AV86" s="431">
        <f t="shared" si="73"/>
        <v>0</v>
      </c>
      <c r="AW86" s="431">
        <f t="shared" si="73"/>
        <v>0</v>
      </c>
      <c r="AX86" s="431">
        <f t="shared" si="73"/>
        <v>0</v>
      </c>
      <c r="AY86" s="431">
        <f t="shared" si="73"/>
        <v>0</v>
      </c>
      <c r="AZ86" s="431">
        <f t="shared" si="73"/>
        <v>0</v>
      </c>
      <c r="BA86" s="431">
        <f t="shared" si="73"/>
        <v>0</v>
      </c>
      <c r="BB86" s="431">
        <f t="shared" si="73"/>
        <v>0</v>
      </c>
      <c r="BC86" s="3"/>
      <c r="BD86" s="3"/>
      <c r="BE86" s="3"/>
    </row>
    <row r="87" spans="1:57" ht="19.5" customHeight="1" x14ac:dyDescent="0.3">
      <c r="A87" s="3"/>
      <c r="B87" s="191" t="s">
        <v>507</v>
      </c>
      <c r="C87" s="431">
        <f t="shared" si="59"/>
        <v>135294.5</v>
      </c>
      <c r="D87" s="431">
        <f t="shared" ref="D87:AI87" si="74">C87+D77</f>
        <v>135294.5</v>
      </c>
      <c r="E87" s="431">
        <f t="shared" si="74"/>
        <v>135294.5</v>
      </c>
      <c r="F87" s="431">
        <f t="shared" si="74"/>
        <v>135294.5</v>
      </c>
      <c r="G87" s="431">
        <f t="shared" si="74"/>
        <v>135294.5</v>
      </c>
      <c r="H87" s="431">
        <f t="shared" si="74"/>
        <v>135294.5</v>
      </c>
      <c r="I87" s="431">
        <f t="shared" si="74"/>
        <v>135294.5</v>
      </c>
      <c r="J87" s="431">
        <f t="shared" si="74"/>
        <v>135294.5</v>
      </c>
      <c r="K87" s="431">
        <f t="shared" si="74"/>
        <v>135294.5</v>
      </c>
      <c r="L87" s="431">
        <f t="shared" si="74"/>
        <v>135294.5</v>
      </c>
      <c r="M87" s="431">
        <f t="shared" si="74"/>
        <v>135294.5</v>
      </c>
      <c r="N87" s="431">
        <f t="shared" si="74"/>
        <v>135294.5</v>
      </c>
      <c r="O87" s="431">
        <f t="shared" si="74"/>
        <v>135294.5</v>
      </c>
      <c r="P87" s="431">
        <f t="shared" si="74"/>
        <v>135294.5</v>
      </c>
      <c r="Q87" s="431">
        <f t="shared" si="74"/>
        <v>135294.5</v>
      </c>
      <c r="R87" s="431">
        <f t="shared" si="74"/>
        <v>135294.5</v>
      </c>
      <c r="S87" s="431">
        <f t="shared" si="74"/>
        <v>135294.5</v>
      </c>
      <c r="T87" s="431">
        <f t="shared" si="74"/>
        <v>135294.5</v>
      </c>
      <c r="U87" s="431">
        <f t="shared" si="74"/>
        <v>135294.5</v>
      </c>
      <c r="V87" s="431">
        <f t="shared" si="74"/>
        <v>135294.5</v>
      </c>
      <c r="W87" s="431">
        <f t="shared" si="74"/>
        <v>135294.5</v>
      </c>
      <c r="X87" s="431">
        <f t="shared" si="74"/>
        <v>135294.5</v>
      </c>
      <c r="Y87" s="431">
        <f t="shared" si="74"/>
        <v>135294.5</v>
      </c>
      <c r="Z87" s="431">
        <f t="shared" si="74"/>
        <v>135294.5</v>
      </c>
      <c r="AA87" s="431">
        <f t="shared" si="74"/>
        <v>135294.5</v>
      </c>
      <c r="AB87" s="431">
        <f t="shared" si="74"/>
        <v>135294.5</v>
      </c>
      <c r="AC87" s="431">
        <f t="shared" si="74"/>
        <v>135294.5</v>
      </c>
      <c r="AD87" s="431">
        <f t="shared" si="74"/>
        <v>135294.5</v>
      </c>
      <c r="AE87" s="431">
        <f t="shared" si="74"/>
        <v>135294.5</v>
      </c>
      <c r="AF87" s="431">
        <f t="shared" si="74"/>
        <v>135294.5</v>
      </c>
      <c r="AG87" s="431">
        <f t="shared" si="74"/>
        <v>135294.5</v>
      </c>
      <c r="AH87" s="431">
        <f t="shared" si="74"/>
        <v>135294.5</v>
      </c>
      <c r="AI87" s="431">
        <f t="shared" si="74"/>
        <v>135294.5</v>
      </c>
      <c r="AJ87" s="431">
        <f t="shared" ref="AJ87:BB87" si="75">AI87+AJ77</f>
        <v>135294.5</v>
      </c>
      <c r="AK87" s="431">
        <f t="shared" si="75"/>
        <v>135294.5</v>
      </c>
      <c r="AL87" s="431">
        <f t="shared" si="75"/>
        <v>135294.5</v>
      </c>
      <c r="AM87" s="431">
        <f t="shared" si="75"/>
        <v>135294.5</v>
      </c>
      <c r="AN87" s="431">
        <f t="shared" si="75"/>
        <v>135294.5</v>
      </c>
      <c r="AO87" s="431">
        <f t="shared" si="75"/>
        <v>135294.5</v>
      </c>
      <c r="AP87" s="431">
        <f t="shared" si="75"/>
        <v>135294.5</v>
      </c>
      <c r="AQ87" s="431">
        <f t="shared" si="75"/>
        <v>135294.5</v>
      </c>
      <c r="AR87" s="431">
        <f t="shared" si="75"/>
        <v>135294.5</v>
      </c>
      <c r="AS87" s="431">
        <f t="shared" si="75"/>
        <v>135294.5</v>
      </c>
      <c r="AT87" s="431">
        <f t="shared" si="75"/>
        <v>135294.5</v>
      </c>
      <c r="AU87" s="431">
        <f t="shared" si="75"/>
        <v>135294.5</v>
      </c>
      <c r="AV87" s="431">
        <f t="shared" si="75"/>
        <v>135294.5</v>
      </c>
      <c r="AW87" s="431">
        <f t="shared" si="75"/>
        <v>135294.5</v>
      </c>
      <c r="AX87" s="431">
        <f t="shared" si="75"/>
        <v>135294.5</v>
      </c>
      <c r="AY87" s="431">
        <f t="shared" si="75"/>
        <v>135294.5</v>
      </c>
      <c r="AZ87" s="431">
        <f t="shared" si="75"/>
        <v>135294.5</v>
      </c>
      <c r="BA87" s="431">
        <f t="shared" si="75"/>
        <v>135294.5</v>
      </c>
      <c r="BB87" s="431">
        <f t="shared" si="75"/>
        <v>135294.5</v>
      </c>
      <c r="BC87" s="3"/>
      <c r="BD87" s="3"/>
      <c r="BE87" s="3"/>
    </row>
    <row r="88" spans="1:57" ht="19.5" customHeight="1" x14ac:dyDescent="0.3">
      <c r="A88" s="3"/>
      <c r="B88" s="191" t="s">
        <v>508</v>
      </c>
      <c r="C88" s="431">
        <f t="shared" si="59"/>
        <v>0</v>
      </c>
      <c r="D88" s="431">
        <f t="shared" ref="D88:AI88" si="76">C88+D78</f>
        <v>0</v>
      </c>
      <c r="E88" s="431">
        <f t="shared" si="76"/>
        <v>0</v>
      </c>
      <c r="F88" s="431">
        <f t="shared" si="76"/>
        <v>0</v>
      </c>
      <c r="G88" s="431">
        <f t="shared" si="76"/>
        <v>0</v>
      </c>
      <c r="H88" s="431">
        <f t="shared" si="76"/>
        <v>0</v>
      </c>
      <c r="I88" s="431">
        <f t="shared" si="76"/>
        <v>0</v>
      </c>
      <c r="J88" s="431">
        <f t="shared" si="76"/>
        <v>0</v>
      </c>
      <c r="K88" s="431">
        <f t="shared" si="76"/>
        <v>0</v>
      </c>
      <c r="L88" s="431">
        <f t="shared" si="76"/>
        <v>0</v>
      </c>
      <c r="M88" s="431">
        <f t="shared" si="76"/>
        <v>0</v>
      </c>
      <c r="N88" s="431">
        <f t="shared" si="76"/>
        <v>0</v>
      </c>
      <c r="O88" s="431">
        <f t="shared" si="76"/>
        <v>0</v>
      </c>
      <c r="P88" s="431">
        <f t="shared" si="76"/>
        <v>0</v>
      </c>
      <c r="Q88" s="431">
        <f t="shared" si="76"/>
        <v>0</v>
      </c>
      <c r="R88" s="431">
        <f t="shared" si="76"/>
        <v>0</v>
      </c>
      <c r="S88" s="431">
        <f t="shared" si="76"/>
        <v>0</v>
      </c>
      <c r="T88" s="431">
        <f t="shared" si="76"/>
        <v>0</v>
      </c>
      <c r="U88" s="431">
        <f t="shared" si="76"/>
        <v>0</v>
      </c>
      <c r="V88" s="431">
        <f t="shared" si="76"/>
        <v>0</v>
      </c>
      <c r="W88" s="431">
        <f t="shared" si="76"/>
        <v>0</v>
      </c>
      <c r="X88" s="431">
        <f t="shared" si="76"/>
        <v>0</v>
      </c>
      <c r="Y88" s="431">
        <f t="shared" si="76"/>
        <v>0</v>
      </c>
      <c r="Z88" s="431">
        <f t="shared" si="76"/>
        <v>0</v>
      </c>
      <c r="AA88" s="431">
        <f t="shared" si="76"/>
        <v>0</v>
      </c>
      <c r="AB88" s="431">
        <f t="shared" si="76"/>
        <v>0</v>
      </c>
      <c r="AC88" s="431">
        <f t="shared" si="76"/>
        <v>0</v>
      </c>
      <c r="AD88" s="431">
        <f t="shared" si="76"/>
        <v>0</v>
      </c>
      <c r="AE88" s="431">
        <f t="shared" si="76"/>
        <v>0</v>
      </c>
      <c r="AF88" s="431">
        <f t="shared" si="76"/>
        <v>0</v>
      </c>
      <c r="AG88" s="431">
        <f t="shared" si="76"/>
        <v>0</v>
      </c>
      <c r="AH88" s="431">
        <f t="shared" si="76"/>
        <v>0</v>
      </c>
      <c r="AI88" s="431">
        <f t="shared" si="76"/>
        <v>0</v>
      </c>
      <c r="AJ88" s="431">
        <f t="shared" ref="AJ88:BB88" si="77">AI88+AJ78</f>
        <v>0</v>
      </c>
      <c r="AK88" s="431">
        <f t="shared" si="77"/>
        <v>0</v>
      </c>
      <c r="AL88" s="431">
        <f t="shared" si="77"/>
        <v>0</v>
      </c>
      <c r="AM88" s="431">
        <f t="shared" si="77"/>
        <v>0</v>
      </c>
      <c r="AN88" s="431">
        <f t="shared" si="77"/>
        <v>0</v>
      </c>
      <c r="AO88" s="431">
        <f t="shared" si="77"/>
        <v>0</v>
      </c>
      <c r="AP88" s="431">
        <f t="shared" si="77"/>
        <v>0</v>
      </c>
      <c r="AQ88" s="431">
        <f t="shared" si="77"/>
        <v>0</v>
      </c>
      <c r="AR88" s="431">
        <f t="shared" si="77"/>
        <v>0</v>
      </c>
      <c r="AS88" s="431">
        <f t="shared" si="77"/>
        <v>0</v>
      </c>
      <c r="AT88" s="431">
        <f t="shared" si="77"/>
        <v>0</v>
      </c>
      <c r="AU88" s="431">
        <f t="shared" si="77"/>
        <v>0</v>
      </c>
      <c r="AV88" s="431">
        <f t="shared" si="77"/>
        <v>0</v>
      </c>
      <c r="AW88" s="431">
        <f t="shared" si="77"/>
        <v>0</v>
      </c>
      <c r="AX88" s="431">
        <f t="shared" si="77"/>
        <v>0</v>
      </c>
      <c r="AY88" s="431">
        <f t="shared" si="77"/>
        <v>0</v>
      </c>
      <c r="AZ88" s="431">
        <f t="shared" si="77"/>
        <v>0</v>
      </c>
      <c r="BA88" s="431">
        <f t="shared" si="77"/>
        <v>0</v>
      </c>
      <c r="BB88" s="431">
        <f t="shared" si="77"/>
        <v>0</v>
      </c>
      <c r="BC88" s="3"/>
      <c r="BD88" s="3"/>
      <c r="BE88" s="3"/>
    </row>
    <row r="89" spans="1:57" ht="19.5" customHeight="1" x14ac:dyDescent="0.3">
      <c r="A89" s="3"/>
      <c r="B89" s="191" t="s">
        <v>509</v>
      </c>
      <c r="C89" s="516">
        <f t="shared" si="59"/>
        <v>0</v>
      </c>
      <c r="D89" s="431">
        <f t="shared" ref="D89:AI89" si="78">C89+D79</f>
        <v>0</v>
      </c>
      <c r="E89" s="431">
        <f t="shared" si="78"/>
        <v>0</v>
      </c>
      <c r="F89" s="431">
        <f t="shared" si="78"/>
        <v>0</v>
      </c>
      <c r="G89" s="431">
        <f t="shared" si="78"/>
        <v>0</v>
      </c>
      <c r="H89" s="431">
        <f t="shared" si="78"/>
        <v>0</v>
      </c>
      <c r="I89" s="431">
        <f t="shared" si="78"/>
        <v>0</v>
      </c>
      <c r="J89" s="431">
        <f t="shared" si="78"/>
        <v>0</v>
      </c>
      <c r="K89" s="431">
        <f t="shared" si="78"/>
        <v>0</v>
      </c>
      <c r="L89" s="431">
        <f t="shared" si="78"/>
        <v>0</v>
      </c>
      <c r="M89" s="431">
        <f t="shared" si="78"/>
        <v>0</v>
      </c>
      <c r="N89" s="431">
        <f t="shared" si="78"/>
        <v>0</v>
      </c>
      <c r="O89" s="431">
        <f t="shared" si="78"/>
        <v>0</v>
      </c>
      <c r="P89" s="431">
        <f t="shared" si="78"/>
        <v>0</v>
      </c>
      <c r="Q89" s="431">
        <f t="shared" si="78"/>
        <v>0</v>
      </c>
      <c r="R89" s="431">
        <f t="shared" si="78"/>
        <v>0</v>
      </c>
      <c r="S89" s="431">
        <f t="shared" si="78"/>
        <v>0</v>
      </c>
      <c r="T89" s="431">
        <f t="shared" si="78"/>
        <v>0</v>
      </c>
      <c r="U89" s="431">
        <f t="shared" si="78"/>
        <v>0</v>
      </c>
      <c r="V89" s="431">
        <f t="shared" si="78"/>
        <v>0</v>
      </c>
      <c r="W89" s="431">
        <f t="shared" si="78"/>
        <v>0</v>
      </c>
      <c r="X89" s="431">
        <f t="shared" si="78"/>
        <v>0</v>
      </c>
      <c r="Y89" s="431">
        <f t="shared" si="78"/>
        <v>0</v>
      </c>
      <c r="Z89" s="431">
        <f t="shared" si="78"/>
        <v>0</v>
      </c>
      <c r="AA89" s="431">
        <f t="shared" si="78"/>
        <v>0</v>
      </c>
      <c r="AB89" s="431">
        <f t="shared" si="78"/>
        <v>0</v>
      </c>
      <c r="AC89" s="431">
        <f t="shared" si="78"/>
        <v>0</v>
      </c>
      <c r="AD89" s="431">
        <f t="shared" si="78"/>
        <v>0</v>
      </c>
      <c r="AE89" s="431">
        <f t="shared" si="78"/>
        <v>0</v>
      </c>
      <c r="AF89" s="431">
        <f t="shared" si="78"/>
        <v>0</v>
      </c>
      <c r="AG89" s="431">
        <f t="shared" si="78"/>
        <v>0</v>
      </c>
      <c r="AH89" s="431">
        <f t="shared" si="78"/>
        <v>0</v>
      </c>
      <c r="AI89" s="431">
        <f t="shared" si="78"/>
        <v>0</v>
      </c>
      <c r="AJ89" s="431">
        <f t="shared" ref="AJ89:BB89" si="79">AI89+AJ79</f>
        <v>0</v>
      </c>
      <c r="AK89" s="431">
        <f t="shared" si="79"/>
        <v>0</v>
      </c>
      <c r="AL89" s="431">
        <f t="shared" si="79"/>
        <v>0</v>
      </c>
      <c r="AM89" s="431">
        <f t="shared" si="79"/>
        <v>0</v>
      </c>
      <c r="AN89" s="431">
        <f t="shared" si="79"/>
        <v>0</v>
      </c>
      <c r="AO89" s="431">
        <f t="shared" si="79"/>
        <v>0</v>
      </c>
      <c r="AP89" s="431">
        <f t="shared" si="79"/>
        <v>0</v>
      </c>
      <c r="AQ89" s="431">
        <f t="shared" si="79"/>
        <v>0</v>
      </c>
      <c r="AR89" s="431">
        <f t="shared" si="79"/>
        <v>0</v>
      </c>
      <c r="AS89" s="431">
        <f t="shared" si="79"/>
        <v>0</v>
      </c>
      <c r="AT89" s="431">
        <f t="shared" si="79"/>
        <v>0</v>
      </c>
      <c r="AU89" s="431">
        <f t="shared" si="79"/>
        <v>0</v>
      </c>
      <c r="AV89" s="431">
        <f t="shared" si="79"/>
        <v>0</v>
      </c>
      <c r="AW89" s="431">
        <f t="shared" si="79"/>
        <v>0</v>
      </c>
      <c r="AX89" s="431">
        <f t="shared" si="79"/>
        <v>0</v>
      </c>
      <c r="AY89" s="431">
        <f t="shared" si="79"/>
        <v>0</v>
      </c>
      <c r="AZ89" s="431">
        <f t="shared" si="79"/>
        <v>0</v>
      </c>
      <c r="BA89" s="431">
        <f t="shared" si="79"/>
        <v>0</v>
      </c>
      <c r="BB89" s="431">
        <f t="shared" si="79"/>
        <v>0</v>
      </c>
      <c r="BC89" s="3"/>
      <c r="BD89" s="3"/>
      <c r="BE89" s="3"/>
    </row>
    <row r="90" spans="1:57" ht="19.5" customHeight="1" x14ac:dyDescent="0.3">
      <c r="A90" s="3"/>
      <c r="B90" s="3"/>
      <c r="C90" s="328"/>
      <c r="D90" s="8"/>
      <c r="E90" s="8"/>
      <c r="F90" s="8"/>
      <c r="G90" s="328"/>
      <c r="H90" s="328"/>
      <c r="I90" s="8"/>
      <c r="J90" s="8"/>
      <c r="K90" s="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8"/>
      <c r="W90" s="328"/>
      <c r="X90" s="328"/>
      <c r="Y90" s="328"/>
      <c r="Z90" s="328"/>
      <c r="AA90" s="328"/>
      <c r="AB90" s="328"/>
      <c r="AC90" s="328"/>
      <c r="AD90" s="328"/>
      <c r="AE90" s="328"/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  <c r="AT90" s="328"/>
      <c r="AU90" s="328"/>
      <c r="AV90" s="328"/>
      <c r="AW90" s="328"/>
      <c r="AX90" s="328"/>
      <c r="AY90" s="328"/>
      <c r="AZ90" s="328"/>
      <c r="BA90" s="328"/>
      <c r="BB90" s="328"/>
      <c r="BC90" s="3"/>
      <c r="BD90" s="3"/>
      <c r="BE90" s="3"/>
    </row>
    <row r="91" spans="1:57" ht="19.5" hidden="1" customHeight="1" x14ac:dyDescent="0.3">
      <c r="A91" s="3"/>
      <c r="B91" s="3"/>
      <c r="C91" s="328"/>
      <c r="D91" s="8"/>
      <c r="E91" s="8"/>
      <c r="F91" s="8"/>
      <c r="G91" s="328"/>
      <c r="H91" s="328"/>
      <c r="I91" s="8"/>
      <c r="J91" s="8"/>
      <c r="K91" s="8"/>
      <c r="L91" s="328"/>
      <c r="M91" s="328"/>
      <c r="N91" s="328"/>
      <c r="O91" s="328"/>
      <c r="P91" s="328"/>
      <c r="Q91" s="328"/>
      <c r="R91" s="328"/>
      <c r="S91" s="328"/>
      <c r="T91" s="328"/>
      <c r="U91" s="328"/>
      <c r="V91" s="328"/>
      <c r="W91" s="328"/>
      <c r="X91" s="328"/>
      <c r="Y91" s="328"/>
      <c r="Z91" s="328"/>
      <c r="AA91" s="328"/>
      <c r="AB91" s="328"/>
      <c r="AC91" s="328"/>
      <c r="AD91" s="328"/>
      <c r="AE91" s="328"/>
      <c r="AF91" s="328"/>
      <c r="AG91" s="328"/>
      <c r="AH91" s="328"/>
      <c r="AI91" s="328"/>
      <c r="AJ91" s="328"/>
      <c r="AK91" s="328"/>
      <c r="AL91" s="328"/>
      <c r="AM91" s="328"/>
      <c r="AN91" s="328"/>
      <c r="AO91" s="328"/>
      <c r="AP91" s="328"/>
      <c r="AQ91" s="328"/>
      <c r="AR91" s="328"/>
      <c r="AS91" s="328"/>
      <c r="AT91" s="328"/>
      <c r="AU91" s="328"/>
      <c r="AV91" s="328"/>
      <c r="AW91" s="328"/>
      <c r="AX91" s="328"/>
      <c r="AY91" s="328"/>
      <c r="AZ91" s="328"/>
      <c r="BA91" s="328"/>
      <c r="BB91" s="328"/>
      <c r="BC91" s="3"/>
      <c r="BD91" s="3"/>
      <c r="BE91" s="3"/>
    </row>
    <row r="92" spans="1:57" ht="19.5" hidden="1" customHeight="1" x14ac:dyDescent="0.3">
      <c r="A92" s="3"/>
      <c r="B92" s="3"/>
      <c r="C92" s="328"/>
      <c r="D92" s="8"/>
      <c r="E92" s="8"/>
      <c r="F92" s="8"/>
      <c r="G92" s="328"/>
      <c r="H92" s="328"/>
      <c r="I92" s="8"/>
      <c r="J92" s="8"/>
      <c r="K92" s="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28"/>
      <c r="AB92" s="328"/>
      <c r="AC92" s="328"/>
      <c r="AD92" s="328"/>
      <c r="AE92" s="328"/>
      <c r="AF92" s="328"/>
      <c r="AG92" s="328"/>
      <c r="AH92" s="328"/>
      <c r="AI92" s="328"/>
      <c r="AJ92" s="328"/>
      <c r="AK92" s="328"/>
      <c r="AL92" s="328"/>
      <c r="AM92" s="328"/>
      <c r="AN92" s="328"/>
      <c r="AO92" s="328"/>
      <c r="AP92" s="328"/>
      <c r="AQ92" s="328"/>
      <c r="AR92" s="328"/>
      <c r="AS92" s="328"/>
      <c r="AT92" s="328"/>
      <c r="AU92" s="328"/>
      <c r="AV92" s="328"/>
      <c r="AW92" s="328"/>
      <c r="AX92" s="328"/>
      <c r="AY92" s="328"/>
      <c r="AZ92" s="328"/>
      <c r="BA92" s="328"/>
      <c r="BB92" s="328"/>
      <c r="BC92" s="3"/>
      <c r="BD92" s="3"/>
      <c r="BE92" s="3"/>
    </row>
    <row r="93" spans="1:57" ht="19.5" hidden="1" customHeight="1" x14ac:dyDescent="0.3">
      <c r="A93" s="3"/>
      <c r="B93" s="3"/>
      <c r="C93" s="328"/>
      <c r="D93" s="8"/>
      <c r="E93" s="8"/>
      <c r="F93" s="8"/>
      <c r="G93" s="328"/>
      <c r="H93" s="328"/>
      <c r="I93" s="8"/>
      <c r="J93" s="8"/>
      <c r="K93" s="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28"/>
      <c r="AB93" s="328"/>
      <c r="AC93" s="328"/>
      <c r="AD93" s="328"/>
      <c r="AE93" s="328"/>
      <c r="AF93" s="328"/>
      <c r="AG93" s="328"/>
      <c r="AH93" s="328"/>
      <c r="AI93" s="328"/>
      <c r="AJ93" s="328"/>
      <c r="AK93" s="328"/>
      <c r="AL93" s="328"/>
      <c r="AM93" s="328"/>
      <c r="AN93" s="328"/>
      <c r="AO93" s="328"/>
      <c r="AP93" s="328"/>
      <c r="AQ93" s="328"/>
      <c r="AR93" s="328"/>
      <c r="AS93" s="328"/>
      <c r="AT93" s="328"/>
      <c r="AU93" s="328"/>
      <c r="AV93" s="328"/>
      <c r="AW93" s="328"/>
      <c r="AX93" s="328"/>
      <c r="AY93" s="328"/>
      <c r="AZ93" s="328"/>
      <c r="BA93" s="328"/>
      <c r="BB93" s="328"/>
      <c r="BC93" s="3"/>
      <c r="BD93" s="3"/>
      <c r="BE93" s="3"/>
    </row>
    <row r="94" spans="1:57" ht="19.5" hidden="1" customHeight="1" x14ac:dyDescent="0.3">
      <c r="A94" s="3"/>
      <c r="B94" s="3"/>
      <c r="C94" s="328"/>
      <c r="D94" s="8"/>
      <c r="E94" s="8"/>
      <c r="F94" s="8"/>
      <c r="G94" s="328"/>
      <c r="H94" s="328"/>
      <c r="I94" s="8"/>
      <c r="J94" s="8"/>
      <c r="K94" s="8"/>
      <c r="L94" s="328"/>
      <c r="M94" s="328"/>
      <c r="N94" s="328"/>
      <c r="O94" s="328"/>
      <c r="P94" s="328"/>
      <c r="Q94" s="328"/>
      <c r="R94" s="328"/>
      <c r="S94" s="328"/>
      <c r="T94" s="328"/>
      <c r="U94" s="328"/>
      <c r="V94" s="328"/>
      <c r="W94" s="328"/>
      <c r="X94" s="328"/>
      <c r="Y94" s="328"/>
      <c r="Z94" s="328"/>
      <c r="AA94" s="328"/>
      <c r="AB94" s="328"/>
      <c r="AC94" s="328"/>
      <c r="AD94" s="328"/>
      <c r="AE94" s="328"/>
      <c r="AF94" s="328"/>
      <c r="AG94" s="328"/>
      <c r="AH94" s="328"/>
      <c r="AI94" s="328"/>
      <c r="AJ94" s="328"/>
      <c r="AK94" s="328"/>
      <c r="AL94" s="328"/>
      <c r="AM94" s="328"/>
      <c r="AN94" s="328"/>
      <c r="AO94" s="328"/>
      <c r="AP94" s="328"/>
      <c r="AQ94" s="328"/>
      <c r="AR94" s="328"/>
      <c r="AS94" s="328"/>
      <c r="AT94" s="328"/>
      <c r="AU94" s="328"/>
      <c r="AV94" s="328"/>
      <c r="AW94" s="328"/>
      <c r="AX94" s="328"/>
      <c r="AY94" s="328"/>
      <c r="AZ94" s="328"/>
      <c r="BA94" s="328"/>
      <c r="BB94" s="328"/>
      <c r="BC94" s="3"/>
      <c r="BD94" s="3"/>
      <c r="BE94" s="3"/>
    </row>
    <row r="95" spans="1:57" ht="19.5" hidden="1" customHeight="1" x14ac:dyDescent="0.3">
      <c r="A95" s="3"/>
      <c r="B95" s="3"/>
      <c r="C95" s="328"/>
      <c r="D95" s="8"/>
      <c r="E95" s="8"/>
      <c r="F95" s="8"/>
      <c r="G95" s="328"/>
      <c r="H95" s="328"/>
      <c r="I95" s="8"/>
      <c r="J95" s="8"/>
      <c r="K95" s="8"/>
      <c r="L95" s="328"/>
      <c r="M95" s="328"/>
      <c r="N95" s="328"/>
      <c r="O95" s="328"/>
      <c r="P95" s="328"/>
      <c r="Q95" s="328"/>
      <c r="R95" s="328"/>
      <c r="S95" s="328"/>
      <c r="T95" s="328"/>
      <c r="U95" s="328"/>
      <c r="V95" s="328"/>
      <c r="W95" s="328"/>
      <c r="X95" s="328"/>
      <c r="Y95" s="328"/>
      <c r="Z95" s="328"/>
      <c r="AA95" s="328"/>
      <c r="AB95" s="328"/>
      <c r="AC95" s="328"/>
      <c r="AD95" s="328"/>
      <c r="AE95" s="328"/>
      <c r="AF95" s="328"/>
      <c r="AG95" s="328"/>
      <c r="AH95" s="328"/>
      <c r="AI95" s="328"/>
      <c r="AJ95" s="328"/>
      <c r="AK95" s="328"/>
      <c r="AL95" s="328"/>
      <c r="AM95" s="328"/>
      <c r="AN95" s="328"/>
      <c r="AO95" s="328"/>
      <c r="AP95" s="328"/>
      <c r="AQ95" s="328"/>
      <c r="AR95" s="328"/>
      <c r="AS95" s="328"/>
      <c r="AT95" s="328"/>
      <c r="AU95" s="328"/>
      <c r="AV95" s="328"/>
      <c r="AW95" s="328"/>
      <c r="AX95" s="328"/>
      <c r="AY95" s="328"/>
      <c r="AZ95" s="328"/>
      <c r="BA95" s="328"/>
      <c r="BB95" s="328"/>
      <c r="BC95" s="3"/>
      <c r="BD95" s="3"/>
      <c r="BE95" s="3"/>
    </row>
    <row r="96" spans="1:57" ht="19.5" hidden="1" customHeight="1" x14ac:dyDescent="0.3">
      <c r="A96" s="3"/>
      <c r="B96" s="3"/>
      <c r="C96" s="328"/>
      <c r="D96" s="8"/>
      <c r="E96" s="8"/>
      <c r="F96" s="8"/>
      <c r="G96" s="328"/>
      <c r="H96" s="328"/>
      <c r="I96" s="8"/>
      <c r="J96" s="8"/>
      <c r="K96" s="8"/>
      <c r="L96" s="328"/>
      <c r="M96" s="328"/>
      <c r="N96" s="328"/>
      <c r="O96" s="328"/>
      <c r="P96" s="328"/>
      <c r="Q96" s="328"/>
      <c r="R96" s="328"/>
      <c r="S96" s="328"/>
      <c r="T96" s="328"/>
      <c r="U96" s="328"/>
      <c r="V96" s="328"/>
      <c r="W96" s="328"/>
      <c r="X96" s="328"/>
      <c r="Y96" s="328"/>
      <c r="Z96" s="328"/>
      <c r="AA96" s="328"/>
      <c r="AB96" s="328"/>
      <c r="AC96" s="328"/>
      <c r="AD96" s="328"/>
      <c r="AE96" s="328"/>
      <c r="AF96" s="328"/>
      <c r="AG96" s="328"/>
      <c r="AH96" s="328"/>
      <c r="AI96" s="328"/>
      <c r="AJ96" s="328"/>
      <c r="AK96" s="328"/>
      <c r="AL96" s="328"/>
      <c r="AM96" s="328"/>
      <c r="AN96" s="328"/>
      <c r="AO96" s="328"/>
      <c r="AP96" s="328"/>
      <c r="AQ96" s="328"/>
      <c r="AR96" s="328"/>
      <c r="AS96" s="328"/>
      <c r="AT96" s="328"/>
      <c r="AU96" s="328"/>
      <c r="AV96" s="328"/>
      <c r="AW96" s="328"/>
      <c r="AX96" s="328"/>
      <c r="AY96" s="328"/>
      <c r="AZ96" s="328"/>
      <c r="BA96" s="328"/>
      <c r="BB96" s="328"/>
      <c r="BC96" s="3"/>
      <c r="BD96" s="3"/>
      <c r="BE96" s="3"/>
    </row>
    <row r="97" spans="1:57" ht="19.5" hidden="1" customHeight="1" x14ac:dyDescent="0.3">
      <c r="A97" s="3"/>
      <c r="B97" s="3"/>
      <c r="C97" s="328"/>
      <c r="D97" s="8"/>
      <c r="E97" s="8"/>
      <c r="F97" s="8"/>
      <c r="G97" s="328"/>
      <c r="H97" s="328"/>
      <c r="I97" s="8"/>
      <c r="J97" s="8"/>
      <c r="K97" s="8"/>
      <c r="L97" s="328"/>
      <c r="M97" s="328"/>
      <c r="N97" s="328"/>
      <c r="O97" s="328"/>
      <c r="P97" s="328"/>
      <c r="Q97" s="328"/>
      <c r="R97" s="328"/>
      <c r="S97" s="328"/>
      <c r="T97" s="328"/>
      <c r="U97" s="328"/>
      <c r="V97" s="328"/>
      <c r="W97" s="328"/>
      <c r="X97" s="328"/>
      <c r="Y97" s="328"/>
      <c r="Z97" s="328"/>
      <c r="AA97" s="328"/>
      <c r="AB97" s="328"/>
      <c r="AC97" s="328"/>
      <c r="AD97" s="328"/>
      <c r="AE97" s="328"/>
      <c r="AF97" s="328"/>
      <c r="AG97" s="328"/>
      <c r="AH97" s="328"/>
      <c r="AI97" s="328"/>
      <c r="AJ97" s="328"/>
      <c r="AK97" s="328"/>
      <c r="AL97" s="328"/>
      <c r="AM97" s="328"/>
      <c r="AN97" s="328"/>
      <c r="AO97" s="328"/>
      <c r="AP97" s="328"/>
      <c r="AQ97" s="328"/>
      <c r="AR97" s="328"/>
      <c r="AS97" s="328"/>
      <c r="AT97" s="328"/>
      <c r="AU97" s="328"/>
      <c r="AV97" s="328"/>
      <c r="AW97" s="328"/>
      <c r="AX97" s="328"/>
      <c r="AY97" s="328"/>
      <c r="AZ97" s="328"/>
      <c r="BA97" s="328"/>
      <c r="BB97" s="328"/>
      <c r="BC97" s="3"/>
      <c r="BD97" s="3"/>
      <c r="BE97" s="3"/>
    </row>
    <row r="98" spans="1:57" ht="19.5" hidden="1" customHeight="1" x14ac:dyDescent="0.3">
      <c r="A98" s="3"/>
      <c r="B98" s="3"/>
      <c r="C98" s="328"/>
      <c r="D98" s="8"/>
      <c r="E98" s="8"/>
      <c r="F98" s="8"/>
      <c r="G98" s="328"/>
      <c r="H98" s="328"/>
      <c r="I98" s="8"/>
      <c r="J98" s="8"/>
      <c r="K98" s="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8"/>
      <c r="W98" s="328"/>
      <c r="X98" s="328"/>
      <c r="Y98" s="328"/>
      <c r="Z98" s="328"/>
      <c r="AA98" s="328"/>
      <c r="AB98" s="328"/>
      <c r="AC98" s="328"/>
      <c r="AD98" s="328"/>
      <c r="AE98" s="328"/>
      <c r="AF98" s="328"/>
      <c r="AG98" s="328"/>
      <c r="AH98" s="328"/>
      <c r="AI98" s="328"/>
      <c r="AJ98" s="328"/>
      <c r="AK98" s="328"/>
      <c r="AL98" s="328"/>
      <c r="AM98" s="328"/>
      <c r="AN98" s="328"/>
      <c r="AO98" s="328"/>
      <c r="AP98" s="328"/>
      <c r="AQ98" s="328"/>
      <c r="AR98" s="328"/>
      <c r="AS98" s="328"/>
      <c r="AT98" s="328"/>
      <c r="AU98" s="328"/>
      <c r="AV98" s="328"/>
      <c r="AW98" s="328"/>
      <c r="AX98" s="328"/>
      <c r="AY98" s="328"/>
      <c r="AZ98" s="328"/>
      <c r="BA98" s="328"/>
      <c r="BB98" s="328"/>
      <c r="BC98" s="3"/>
      <c r="BD98" s="3"/>
      <c r="BE98" s="3"/>
    </row>
    <row r="99" spans="1:57" ht="19.5" hidden="1" customHeight="1" x14ac:dyDescent="0.3">
      <c r="A99" s="3" t="s">
        <v>595</v>
      </c>
      <c r="B99" s="3"/>
      <c r="C99" s="328"/>
      <c r="D99" s="8"/>
      <c r="E99" s="8"/>
      <c r="F99" s="8"/>
      <c r="G99" s="328"/>
      <c r="H99" s="328"/>
      <c r="I99" s="8"/>
      <c r="J99" s="8"/>
      <c r="K99" s="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28"/>
      <c r="AB99" s="328"/>
      <c r="AC99" s="328"/>
      <c r="AD99" s="328"/>
      <c r="AE99" s="328"/>
      <c r="AF99" s="328"/>
      <c r="AG99" s="328"/>
      <c r="AH99" s="328"/>
      <c r="AI99" s="328"/>
      <c r="AJ99" s="328"/>
      <c r="AK99" s="328"/>
      <c r="AL99" s="328"/>
      <c r="AM99" s="328"/>
      <c r="AN99" s="328"/>
      <c r="AO99" s="328"/>
      <c r="AP99" s="328"/>
      <c r="AQ99" s="328"/>
      <c r="AR99" s="328"/>
      <c r="AS99" s="328"/>
      <c r="AT99" s="328"/>
      <c r="AU99" s="328"/>
      <c r="AV99" s="328"/>
      <c r="AW99" s="328"/>
      <c r="AX99" s="328"/>
      <c r="AY99" s="328"/>
      <c r="AZ99" s="328"/>
      <c r="BA99" s="328"/>
      <c r="BB99" s="328"/>
      <c r="BC99" s="3"/>
      <c r="BD99" s="3"/>
      <c r="BE99" s="3"/>
    </row>
    <row r="100" spans="1:57" ht="19.5" hidden="1" customHeight="1" x14ac:dyDescent="0.3">
      <c r="A100" s="3"/>
      <c r="B100" s="30" t="s">
        <v>41</v>
      </c>
      <c r="C100" s="422">
        <f>C17</f>
        <v>1.680824306609493E-3</v>
      </c>
      <c r="D100" s="422">
        <f>D17+C17</f>
        <v>1.5120640359150225E-2</v>
      </c>
      <c r="E100" s="422">
        <f t="shared" ref="E100:AJ100" si="80">E17+D100</f>
        <v>3.8619017375158923E-2</v>
      </c>
      <c r="F100" s="422">
        <f t="shared" si="80"/>
        <v>6.3057108808088319E-2</v>
      </c>
      <c r="G100" s="422">
        <f t="shared" si="80"/>
        <v>8.7259399320472747E-2</v>
      </c>
      <c r="H100" s="422">
        <f t="shared" si="80"/>
        <v>0.13359717581310965</v>
      </c>
      <c r="I100" s="422">
        <f t="shared" si="80"/>
        <v>0.18731441358221634</v>
      </c>
      <c r="J100" s="422">
        <f t="shared" si="80"/>
        <v>0.23950846052593683</v>
      </c>
      <c r="K100" s="422">
        <f t="shared" si="80"/>
        <v>0.27342670438447547</v>
      </c>
      <c r="L100" s="422">
        <f t="shared" si="80"/>
        <v>0.29342188196501284</v>
      </c>
      <c r="M100" s="422">
        <f t="shared" si="80"/>
        <v>0.31341705954555021</v>
      </c>
      <c r="N100" s="422">
        <f t="shared" si="80"/>
        <v>0.32346844095087157</v>
      </c>
      <c r="O100" s="422">
        <f t="shared" si="80"/>
        <v>0.34285324794684841</v>
      </c>
      <c r="P100" s="422">
        <f t="shared" si="80"/>
        <v>0.37121250262614786</v>
      </c>
      <c r="Q100" s="422">
        <f t="shared" si="80"/>
        <v>0.39207540115556794</v>
      </c>
      <c r="R100" s="422">
        <f t="shared" si="80"/>
        <v>0.40791260898232734</v>
      </c>
      <c r="S100" s="422">
        <f t="shared" si="80"/>
        <v>0.41477536912576413</v>
      </c>
      <c r="T100" s="422">
        <f t="shared" si="80"/>
        <v>0.43107296611867801</v>
      </c>
      <c r="U100" s="422">
        <f t="shared" si="80"/>
        <v>0.44373052713123623</v>
      </c>
      <c r="V100" s="422">
        <f t="shared" si="80"/>
        <v>0.45638808814379445</v>
      </c>
      <c r="W100" s="422">
        <f t="shared" si="80"/>
        <v>0.46367085243881073</v>
      </c>
      <c r="X100" s="422">
        <f t="shared" si="80"/>
        <v>0.4692089841041891</v>
      </c>
      <c r="Y100" s="422">
        <f t="shared" si="80"/>
        <v>0.47474711576956746</v>
      </c>
      <c r="Z100" s="422">
        <f t="shared" si="80"/>
        <v>0.493814047828601</v>
      </c>
      <c r="AA100" s="422">
        <f t="shared" si="80"/>
        <v>0.51395791360963328</v>
      </c>
      <c r="AB100" s="422">
        <f t="shared" si="80"/>
        <v>0.53553769101999715</v>
      </c>
      <c r="AC100" s="422">
        <f t="shared" si="80"/>
        <v>0.54962806478510196</v>
      </c>
      <c r="AD100" s="422">
        <f t="shared" si="80"/>
        <v>0.56338862759784458</v>
      </c>
      <c r="AE100" s="422">
        <f t="shared" si="80"/>
        <v>0.57603635889785521</v>
      </c>
      <c r="AF100" s="422">
        <f t="shared" si="80"/>
        <v>0.58204250800991886</v>
      </c>
      <c r="AG100" s="422">
        <f t="shared" si="80"/>
        <v>0.58730153435234589</v>
      </c>
      <c r="AH100" s="422">
        <f t="shared" si="80"/>
        <v>0.59331441430017207</v>
      </c>
      <c r="AI100" s="422">
        <f t="shared" si="80"/>
        <v>0.59331441430017207</v>
      </c>
      <c r="AJ100" s="422">
        <f t="shared" si="80"/>
        <v>0.6104734685262081</v>
      </c>
      <c r="AK100" s="422">
        <f t="shared" ref="AK100:BB100" si="81">AK17+AJ100</f>
        <v>0.63478515755585219</v>
      </c>
      <c r="AL100" s="422">
        <f t="shared" si="81"/>
        <v>0.65331739202191341</v>
      </c>
      <c r="AM100" s="422">
        <f t="shared" si="81"/>
        <v>0.67115347858117924</v>
      </c>
      <c r="AN100" s="422">
        <f t="shared" si="81"/>
        <v>0.71184640645614583</v>
      </c>
      <c r="AO100" s="422">
        <f t="shared" si="81"/>
        <v>0.7513906050276471</v>
      </c>
      <c r="AP100" s="422">
        <f t="shared" si="81"/>
        <v>0.78427190440561911</v>
      </c>
      <c r="AQ100" s="422">
        <f t="shared" si="81"/>
        <v>0.78642577184961659</v>
      </c>
      <c r="AR100" s="422">
        <f t="shared" si="81"/>
        <v>0.78953093074804626</v>
      </c>
      <c r="AS100" s="422">
        <f t="shared" si="81"/>
        <v>0.80171823070199832</v>
      </c>
      <c r="AT100" s="422">
        <f t="shared" si="81"/>
        <v>0.81354655274861754</v>
      </c>
      <c r="AU100" s="422">
        <f t="shared" si="81"/>
        <v>0.82988722709041129</v>
      </c>
      <c r="AV100" s="422">
        <f t="shared" si="81"/>
        <v>0.87501268224074358</v>
      </c>
      <c r="AW100" s="422">
        <f t="shared" si="81"/>
        <v>0.92297406285900585</v>
      </c>
      <c r="AX100" s="422">
        <f t="shared" si="81"/>
        <v>0.9665110407693901</v>
      </c>
      <c r="AY100" s="422">
        <f t="shared" si="81"/>
        <v>0.98704268530910733</v>
      </c>
      <c r="AZ100" s="422">
        <f t="shared" si="81"/>
        <v>0.99493840438089454</v>
      </c>
      <c r="BA100" s="422">
        <f t="shared" si="81"/>
        <v>0.99999999287428853</v>
      </c>
      <c r="BB100" s="422">
        <f t="shared" si="81"/>
        <v>0.99999999287428853</v>
      </c>
      <c r="BC100" s="3"/>
      <c r="BD100" s="3"/>
      <c r="BE100" s="3"/>
    </row>
    <row r="101" spans="1:57" ht="19.5" hidden="1" customHeight="1" x14ac:dyDescent="0.3">
      <c r="A101" s="3"/>
      <c r="B101" s="30" t="s">
        <v>142</v>
      </c>
      <c r="C101" s="422">
        <f>C18</f>
        <v>3.3849725304940098E-4</v>
      </c>
      <c r="D101" s="422">
        <f>D18+C18</f>
        <v>7.9828062314384954E-3</v>
      </c>
      <c r="E101" s="422">
        <f t="shared" ref="E101:AJ101" si="82">E18+D101</f>
        <v>1.9769099845429697E-2</v>
      </c>
      <c r="F101" s="422">
        <f t="shared" si="82"/>
        <v>3.6084379721773495E-2</v>
      </c>
      <c r="G101" s="422">
        <f t="shared" si="82"/>
        <v>6.204356912531761E-2</v>
      </c>
      <c r="H101" s="422">
        <f t="shared" si="82"/>
        <v>8.8364580257848574E-2</v>
      </c>
      <c r="I101" s="422">
        <f t="shared" si="82"/>
        <v>0.11844059176667418</v>
      </c>
      <c r="J101" s="422">
        <f t="shared" si="82"/>
        <v>0.15356688202295976</v>
      </c>
      <c r="K101" s="422">
        <f t="shared" si="82"/>
        <v>0.18619342005476533</v>
      </c>
      <c r="L101" s="422">
        <f t="shared" si="82"/>
        <v>0.21006062858565333</v>
      </c>
      <c r="M101" s="422">
        <f t="shared" si="82"/>
        <v>0.24275628730382026</v>
      </c>
      <c r="N101" s="422">
        <f t="shared" si="82"/>
        <v>0.27907016331185558</v>
      </c>
      <c r="O101" s="422">
        <f t="shared" si="82"/>
        <v>0.29151683078900287</v>
      </c>
      <c r="P101" s="422">
        <f t="shared" si="82"/>
        <v>0.3087532653687397</v>
      </c>
      <c r="Q101" s="422">
        <f t="shared" si="82"/>
        <v>0.32566843119887451</v>
      </c>
      <c r="R101" s="422">
        <f t="shared" si="82"/>
        <v>0.34258359702900931</v>
      </c>
      <c r="S101" s="422">
        <f t="shared" si="82"/>
        <v>0.35588054556927573</v>
      </c>
      <c r="T101" s="422">
        <f t="shared" si="82"/>
        <v>0.37462366371999045</v>
      </c>
      <c r="U101" s="422">
        <f t="shared" si="82"/>
        <v>0.39176104598319983</v>
      </c>
      <c r="V101" s="422">
        <f t="shared" si="82"/>
        <v>0.41367050950288581</v>
      </c>
      <c r="W101" s="422">
        <f t="shared" si="82"/>
        <v>0.43683685487185708</v>
      </c>
      <c r="X101" s="422">
        <f t="shared" si="82"/>
        <v>0.45519134753990159</v>
      </c>
      <c r="Y101" s="422">
        <f t="shared" si="82"/>
        <v>0.4714591998240098</v>
      </c>
      <c r="Z101" s="422">
        <f t="shared" si="82"/>
        <v>0.48657683530453799</v>
      </c>
      <c r="AA101" s="422">
        <f t="shared" si="82"/>
        <v>0.496459489281393</v>
      </c>
      <c r="AB101" s="422">
        <f t="shared" si="82"/>
        <v>0.5036567023857077</v>
      </c>
      <c r="AC101" s="422">
        <f t="shared" si="82"/>
        <v>0.51188148920034493</v>
      </c>
      <c r="AD101" s="422">
        <f t="shared" si="82"/>
        <v>0.51803086657751374</v>
      </c>
      <c r="AE101" s="422">
        <f t="shared" si="82"/>
        <v>0.53748261982088374</v>
      </c>
      <c r="AF101" s="422">
        <f t="shared" si="82"/>
        <v>0.55205701615751113</v>
      </c>
      <c r="AG101" s="422">
        <f t="shared" si="82"/>
        <v>0.56535939202371233</v>
      </c>
      <c r="AH101" s="422">
        <f t="shared" si="82"/>
        <v>0.56959994268743808</v>
      </c>
      <c r="AI101" s="422">
        <f t="shared" si="82"/>
        <v>0.56959994268743808</v>
      </c>
      <c r="AJ101" s="422">
        <f t="shared" si="82"/>
        <v>0.58295543398345462</v>
      </c>
      <c r="AK101" s="422">
        <f t="shared" ref="AK101:BB101" si="83">AK18+AJ101</f>
        <v>0.60065857517497701</v>
      </c>
      <c r="AL101" s="422">
        <f t="shared" si="83"/>
        <v>0.61850217556169207</v>
      </c>
      <c r="AM101" s="422">
        <f t="shared" si="83"/>
        <v>0.6366207604624371</v>
      </c>
      <c r="AN101" s="422">
        <f t="shared" si="83"/>
        <v>0.66615114480395055</v>
      </c>
      <c r="AO101" s="422">
        <f t="shared" si="83"/>
        <v>0.69053642415927108</v>
      </c>
      <c r="AP101" s="422">
        <f t="shared" si="83"/>
        <v>0.7125481529724379</v>
      </c>
      <c r="AQ101" s="422">
        <f t="shared" si="83"/>
        <v>0.73764260291657258</v>
      </c>
      <c r="AR101" s="422">
        <f t="shared" si="83"/>
        <v>0.75101478143072997</v>
      </c>
      <c r="AS101" s="422">
        <f t="shared" si="83"/>
        <v>0.75791834001979885</v>
      </c>
      <c r="AT101" s="422">
        <f t="shared" si="83"/>
        <v>0.78580669051795504</v>
      </c>
      <c r="AU101" s="422">
        <f t="shared" si="83"/>
        <v>0.81845972663644728</v>
      </c>
      <c r="AV101" s="422">
        <f t="shared" si="83"/>
        <v>0.85999042069736065</v>
      </c>
      <c r="AW101" s="422">
        <f t="shared" si="83"/>
        <v>0.87745360171821896</v>
      </c>
      <c r="AX101" s="422">
        <f t="shared" si="83"/>
        <v>0.89214935306274845</v>
      </c>
      <c r="AY101" s="422">
        <f t="shared" si="83"/>
        <v>0.93177751610830328</v>
      </c>
      <c r="AZ101" s="422">
        <f t="shared" si="83"/>
        <v>0.97140567915385811</v>
      </c>
      <c r="BA101" s="422">
        <f t="shared" si="83"/>
        <v>1.0000471288722161</v>
      </c>
      <c r="BB101" s="422">
        <f t="shared" si="83"/>
        <v>1.0000471288722161</v>
      </c>
      <c r="BC101" s="3"/>
      <c r="BD101" s="3"/>
      <c r="BE101" s="3"/>
    </row>
    <row r="102" spans="1:57" ht="19.5" hidden="1" customHeight="1" x14ac:dyDescent="0.3">
      <c r="A102" s="3"/>
      <c r="B102" s="30" t="s">
        <v>596</v>
      </c>
      <c r="C102" s="517">
        <f t="shared" ref="C102:AH102" si="84">C100-C101</f>
        <v>1.3423270535600921E-3</v>
      </c>
      <c r="D102" s="517">
        <f t="shared" si="84"/>
        <v>7.1378341277117292E-3</v>
      </c>
      <c r="E102" s="517">
        <f t="shared" si="84"/>
        <v>1.8849917529729227E-2</v>
      </c>
      <c r="F102" s="517">
        <f t="shared" si="84"/>
        <v>2.6972729086314824E-2</v>
      </c>
      <c r="G102" s="517">
        <f t="shared" si="84"/>
        <v>2.5215830195155137E-2</v>
      </c>
      <c r="H102" s="422">
        <f t="shared" si="84"/>
        <v>4.5232595555261074E-2</v>
      </c>
      <c r="I102" s="422">
        <f t="shared" si="84"/>
        <v>6.8873821815542163E-2</v>
      </c>
      <c r="J102" s="422">
        <f t="shared" si="84"/>
        <v>8.5941578502977067E-2</v>
      </c>
      <c r="K102" s="422">
        <f t="shared" si="84"/>
        <v>8.7233284329710142E-2</v>
      </c>
      <c r="L102" s="422">
        <f t="shared" si="84"/>
        <v>8.3361253379359512E-2</v>
      </c>
      <c r="M102" s="422">
        <f t="shared" si="84"/>
        <v>7.0660772241729952E-2</v>
      </c>
      <c r="N102" s="422">
        <f t="shared" si="84"/>
        <v>4.4398277639015993E-2</v>
      </c>
      <c r="O102" s="422">
        <f t="shared" si="84"/>
        <v>5.1336417157845537E-2</v>
      </c>
      <c r="P102" s="422">
        <f t="shared" si="84"/>
        <v>6.2459237257408151E-2</v>
      </c>
      <c r="Q102" s="422">
        <f t="shared" si="84"/>
        <v>6.6406969956693429E-2</v>
      </c>
      <c r="R102" s="422">
        <f t="shared" si="84"/>
        <v>6.5329011953318028E-2</v>
      </c>
      <c r="S102" s="422">
        <f t="shared" si="84"/>
        <v>5.8894823556488396E-2</v>
      </c>
      <c r="T102" s="422">
        <f t="shared" si="84"/>
        <v>5.6449302398687562E-2</v>
      </c>
      <c r="U102" s="422">
        <f t="shared" si="84"/>
        <v>5.1969481148036401E-2</v>
      </c>
      <c r="V102" s="517">
        <f t="shared" si="84"/>
        <v>4.2717578640908638E-2</v>
      </c>
      <c r="W102" s="517">
        <f t="shared" si="84"/>
        <v>2.6833997566953649E-2</v>
      </c>
      <c r="X102" s="517">
        <f t="shared" si="84"/>
        <v>1.4017636564287506E-2</v>
      </c>
      <c r="Y102" s="517">
        <f t="shared" si="84"/>
        <v>3.2879159455576623E-3</v>
      </c>
      <c r="Z102" s="517">
        <f t="shared" si="84"/>
        <v>7.2372125240630081E-3</v>
      </c>
      <c r="AA102" s="517">
        <f t="shared" si="84"/>
        <v>1.7498424328240281E-2</v>
      </c>
      <c r="AB102" s="517">
        <f t="shared" si="84"/>
        <v>3.1880988634289453E-2</v>
      </c>
      <c r="AC102" s="517">
        <f t="shared" si="84"/>
        <v>3.7746575584757025E-2</v>
      </c>
      <c r="AD102" s="517">
        <f t="shared" si="84"/>
        <v>4.5357761020330845E-2</v>
      </c>
      <c r="AE102" s="517">
        <f t="shared" si="84"/>
        <v>3.8553739076971461E-2</v>
      </c>
      <c r="AF102" s="517">
        <f t="shared" si="84"/>
        <v>2.9985491852407731E-2</v>
      </c>
      <c r="AG102" s="517">
        <f t="shared" si="84"/>
        <v>2.1942142328633563E-2</v>
      </c>
      <c r="AH102" s="517">
        <f t="shared" si="84"/>
        <v>2.3714471612733989E-2</v>
      </c>
      <c r="AI102" s="517">
        <f t="shared" ref="AI102:BN102" si="85">AI100-AI101</f>
        <v>2.3714471612733989E-2</v>
      </c>
      <c r="AJ102" s="517">
        <f t="shared" si="85"/>
        <v>2.7518034542753478E-2</v>
      </c>
      <c r="AK102" s="517">
        <f t="shared" si="85"/>
        <v>3.4126582380875181E-2</v>
      </c>
      <c r="AL102" s="517">
        <f t="shared" si="85"/>
        <v>3.4815216460221343E-2</v>
      </c>
      <c r="AM102" s="517">
        <f t="shared" si="85"/>
        <v>3.4532718118742145E-2</v>
      </c>
      <c r="AN102" s="517">
        <f t="shared" si="85"/>
        <v>4.5695261652195285E-2</v>
      </c>
      <c r="AO102" s="517">
        <f t="shared" si="85"/>
        <v>6.0854180868376018E-2</v>
      </c>
      <c r="AP102" s="422">
        <f t="shared" si="85"/>
        <v>7.1723751433181215E-2</v>
      </c>
      <c r="AQ102" s="422">
        <f t="shared" si="85"/>
        <v>4.8783168933044019E-2</v>
      </c>
      <c r="AR102" s="422">
        <f t="shared" si="85"/>
        <v>3.8516149317316284E-2</v>
      </c>
      <c r="AS102" s="422">
        <f t="shared" si="85"/>
        <v>4.3799890682199472E-2</v>
      </c>
      <c r="AT102" s="422">
        <f t="shared" si="85"/>
        <v>2.7739862230662493E-2</v>
      </c>
      <c r="AU102" s="422">
        <f t="shared" si="85"/>
        <v>1.1427500453964012E-2</v>
      </c>
      <c r="AV102" s="422">
        <f t="shared" si="85"/>
        <v>1.5022261543382931E-2</v>
      </c>
      <c r="AW102" s="422">
        <f t="shared" si="85"/>
        <v>4.5520461140786894E-2</v>
      </c>
      <c r="AX102" s="422">
        <f t="shared" si="85"/>
        <v>7.4361687706641644E-2</v>
      </c>
      <c r="AY102" s="422">
        <f t="shared" si="85"/>
        <v>5.5265169200804043E-2</v>
      </c>
      <c r="AZ102" s="422">
        <f t="shared" si="85"/>
        <v>2.3532725227036422E-2</v>
      </c>
      <c r="BA102" s="422">
        <f t="shared" si="85"/>
        <v>-4.7135997927605366E-5</v>
      </c>
      <c r="BB102" s="422">
        <f t="shared" si="85"/>
        <v>-4.7135997927605366E-5</v>
      </c>
      <c r="BC102" s="3"/>
      <c r="BD102" s="3"/>
      <c r="BE102" s="3"/>
    </row>
    <row r="103" spans="1:57" ht="19.5" hidden="1" customHeight="1" x14ac:dyDescent="0.3">
      <c r="A103" s="16" t="s">
        <v>597</v>
      </c>
      <c r="B103" s="511"/>
      <c r="C103" s="328"/>
      <c r="D103" s="8"/>
      <c r="E103" s="8"/>
      <c r="F103" s="8"/>
      <c r="G103" s="328"/>
      <c r="H103" s="328"/>
      <c r="I103" s="8"/>
      <c r="J103" s="8"/>
      <c r="K103" s="8"/>
      <c r="L103" s="328"/>
      <c r="M103" s="328"/>
      <c r="N103" s="328"/>
      <c r="O103" s="328"/>
      <c r="P103" s="328"/>
      <c r="Q103" s="328"/>
      <c r="R103" s="328"/>
      <c r="S103" s="328"/>
      <c r="T103" s="328"/>
      <c r="U103" s="328"/>
      <c r="V103" s="328"/>
      <c r="W103" s="328"/>
      <c r="X103" s="328"/>
      <c r="Y103" s="328"/>
      <c r="Z103" s="328"/>
      <c r="AA103" s="328"/>
      <c r="AB103" s="328"/>
      <c r="AC103" s="328"/>
      <c r="AD103" s="328"/>
      <c r="AE103" s="328"/>
      <c r="AF103" s="328"/>
      <c r="AG103" s="328"/>
      <c r="AH103" s="328"/>
      <c r="AI103" s="328"/>
      <c r="AJ103" s="328"/>
      <c r="AK103" s="328"/>
      <c r="AL103" s="328"/>
      <c r="AM103" s="328"/>
      <c r="AN103" s="518"/>
      <c r="AO103" s="518"/>
      <c r="AP103" s="328"/>
      <c r="AQ103" s="328"/>
      <c r="AR103" s="328"/>
      <c r="AS103" s="328"/>
      <c r="AT103" s="328"/>
      <c r="AU103" s="328"/>
      <c r="AV103" s="328"/>
      <c r="AW103" s="328"/>
      <c r="AX103" s="328"/>
      <c r="AY103" s="328"/>
      <c r="AZ103" s="328"/>
      <c r="BA103" s="328"/>
      <c r="BB103" s="328"/>
      <c r="BC103" s="3"/>
      <c r="BD103" s="3"/>
      <c r="BE103" s="3"/>
    </row>
    <row r="104" spans="1:57" ht="19.5" hidden="1" customHeight="1" x14ac:dyDescent="0.3">
      <c r="A104" s="3"/>
      <c r="B104" s="30" t="s">
        <v>598</v>
      </c>
      <c r="C104" s="422">
        <f>C20</f>
        <v>1.2873005791719641E-2</v>
      </c>
      <c r="D104" s="422">
        <f t="shared" ref="D104:AI104" si="86">C104+D20</f>
        <v>3.3331767292212586E-2</v>
      </c>
      <c r="E104" s="422">
        <f t="shared" si="86"/>
        <v>5.7378020279320097E-2</v>
      </c>
      <c r="F104" s="422">
        <f t="shared" si="86"/>
        <v>8.9037406425303667E-2</v>
      </c>
      <c r="G104" s="422">
        <f t="shared" si="86"/>
        <v>0.13045650801667968</v>
      </c>
      <c r="H104" s="422">
        <f t="shared" si="86"/>
        <v>0.18120619508516772</v>
      </c>
      <c r="I104" s="422">
        <f t="shared" si="86"/>
        <v>0.22781603794228966</v>
      </c>
      <c r="J104" s="422">
        <f t="shared" si="86"/>
        <v>0.2631851940698885</v>
      </c>
      <c r="K104" s="422">
        <f t="shared" si="86"/>
        <v>0.28782139374309296</v>
      </c>
      <c r="L104" s="422">
        <f t="shared" si="86"/>
        <v>0.30450197259855832</v>
      </c>
      <c r="M104" s="422">
        <f t="shared" si="86"/>
        <v>0.32097909459250351</v>
      </c>
      <c r="N104" s="422">
        <f t="shared" si="86"/>
        <v>0.34024424228603606</v>
      </c>
      <c r="O104" s="422">
        <f t="shared" si="86"/>
        <v>0.36311322902093485</v>
      </c>
      <c r="P104" s="422">
        <f t="shared" si="86"/>
        <v>0.38479968269942783</v>
      </c>
      <c r="Q104" s="422">
        <f t="shared" si="86"/>
        <v>0.39932063819929992</v>
      </c>
      <c r="R104" s="422">
        <f t="shared" si="86"/>
        <v>0.41231982652033661</v>
      </c>
      <c r="S104" s="519">
        <f t="shared" si="86"/>
        <v>0.42425913256997289</v>
      </c>
      <c r="T104" s="422">
        <f t="shared" si="86"/>
        <v>0.43813003890931634</v>
      </c>
      <c r="U104" s="422">
        <f t="shared" si="86"/>
        <v>0.44899600101602727</v>
      </c>
      <c r="V104" s="422">
        <f t="shared" si="86"/>
        <v>0.46708882000701157</v>
      </c>
      <c r="W104" s="422">
        <f t="shared" si="86"/>
        <v>0.48320849588226927</v>
      </c>
      <c r="X104" s="422">
        <f t="shared" si="86"/>
        <v>0.49725622767886607</v>
      </c>
      <c r="Y104" s="422">
        <f t="shared" si="86"/>
        <v>0.51217253751401415</v>
      </c>
      <c r="Z104" s="422">
        <f t="shared" si="86"/>
        <v>0.53243606259749077</v>
      </c>
      <c r="AA104" s="422">
        <f t="shared" si="86"/>
        <v>0.55104073491632444</v>
      </c>
      <c r="AB104" s="422">
        <f t="shared" si="86"/>
        <v>0.56751763957906154</v>
      </c>
      <c r="AC104" s="422">
        <f t="shared" si="86"/>
        <v>0.58101719553834763</v>
      </c>
      <c r="AD104" s="422">
        <f t="shared" si="86"/>
        <v>0.59182200994661993</v>
      </c>
      <c r="AE104" s="422">
        <f t="shared" si="86"/>
        <v>0.59979297886478711</v>
      </c>
      <c r="AF104" s="422">
        <f t="shared" si="86"/>
        <v>0.60555233066555936</v>
      </c>
      <c r="AG104" s="520">
        <f t="shared" si="86"/>
        <v>0.60930963276231043</v>
      </c>
      <c r="AH104" s="422">
        <f t="shared" si="86"/>
        <v>0.60930963276231043</v>
      </c>
      <c r="AI104" s="422">
        <f t="shared" si="86"/>
        <v>0.60930963276231043</v>
      </c>
      <c r="AJ104" s="422">
        <f t="shared" ref="AJ104:BB104" si="87">AI104+AJ20</f>
        <v>0.62931062533622417</v>
      </c>
      <c r="AK104" s="422">
        <f t="shared" si="87"/>
        <v>0.65953729535454786</v>
      </c>
      <c r="AL104" s="422">
        <f t="shared" si="87"/>
        <v>0.69522437832131245</v>
      </c>
      <c r="AM104" s="422">
        <f t="shared" si="87"/>
        <v>0.73791544932322373</v>
      </c>
      <c r="AN104" s="422">
        <f t="shared" si="87"/>
        <v>0.77562159126470365</v>
      </c>
      <c r="AO104" s="422">
        <f t="shared" si="87"/>
        <v>0.80048137972919386</v>
      </c>
      <c r="AP104" s="422">
        <f t="shared" si="87"/>
        <v>0.81319482163599355</v>
      </c>
      <c r="AQ104" s="422">
        <f t="shared" si="87"/>
        <v>0.81901026373478658</v>
      </c>
      <c r="AR104" s="422">
        <f t="shared" si="87"/>
        <v>0.82805052403445356</v>
      </c>
      <c r="AS104" s="422">
        <f t="shared" si="87"/>
        <v>0.84150262281524191</v>
      </c>
      <c r="AT104" s="422">
        <f t="shared" si="87"/>
        <v>0.8659341066614904</v>
      </c>
      <c r="AU104" s="422">
        <f t="shared" si="87"/>
        <v>0.90240994336495317</v>
      </c>
      <c r="AV104" s="422">
        <f t="shared" si="87"/>
        <v>0.9479512145912794</v>
      </c>
      <c r="AW104" s="422">
        <f t="shared" si="87"/>
        <v>0.98529454894740065</v>
      </c>
      <c r="AX104" s="422">
        <f t="shared" si="87"/>
        <v>1.0092826627880302</v>
      </c>
      <c r="AY104" s="422">
        <f t="shared" si="87"/>
        <v>1.0204456468229963</v>
      </c>
      <c r="AZ104" s="422">
        <f t="shared" si="87"/>
        <v>1.0247647493447234</v>
      </c>
      <c r="BA104" s="521">
        <f t="shared" si="87"/>
        <v>1.0247647493447234</v>
      </c>
      <c r="BB104" s="422">
        <f t="shared" si="87"/>
        <v>1.0247647493447234</v>
      </c>
      <c r="BC104" s="3"/>
      <c r="BD104" s="3"/>
      <c r="BE104" s="3"/>
    </row>
    <row r="105" spans="1:57" ht="19.5" hidden="1" customHeight="1" x14ac:dyDescent="0.3">
      <c r="A105" s="3"/>
      <c r="B105" s="30" t="s">
        <v>599</v>
      </c>
      <c r="C105" s="422">
        <f>C21</f>
        <v>6.5896999484765656E-3</v>
      </c>
      <c r="D105" s="422">
        <f t="shared" ref="D105:AI105" si="88">C105+D21</f>
        <v>1.8504994104717933E-2</v>
      </c>
      <c r="E105" s="422">
        <f t="shared" si="88"/>
        <v>3.6525248402677638E-2</v>
      </c>
      <c r="F105" s="422">
        <f t="shared" si="88"/>
        <v>5.9390408540150597E-2</v>
      </c>
      <c r="G105" s="422">
        <f t="shared" si="88"/>
        <v>8.6842479221784161E-2</v>
      </c>
      <c r="H105" s="422">
        <f t="shared" si="88"/>
        <v>0.11735025018766487</v>
      </c>
      <c r="I105" s="422">
        <f t="shared" si="88"/>
        <v>0.14995986345330378</v>
      </c>
      <c r="J105" s="422">
        <f t="shared" si="88"/>
        <v>0.18049987572629683</v>
      </c>
      <c r="K105" s="422">
        <f t="shared" si="88"/>
        <v>0.21022967748658367</v>
      </c>
      <c r="L105" s="422">
        <f t="shared" si="88"/>
        <v>0.24118859190561376</v>
      </c>
      <c r="M105" s="422">
        <f t="shared" si="88"/>
        <v>0.26834065930673029</v>
      </c>
      <c r="N105" s="422">
        <f t="shared" si="88"/>
        <v>0.29033965199503675</v>
      </c>
      <c r="O105" s="422">
        <f t="shared" si="88"/>
        <v>0.30587240795737641</v>
      </c>
      <c r="P105" s="422">
        <f t="shared" si="88"/>
        <v>0.32289466337071193</v>
      </c>
      <c r="Q105" s="422">
        <f t="shared" si="88"/>
        <v>0.33860375677089061</v>
      </c>
      <c r="R105" s="422">
        <f t="shared" si="88"/>
        <v>0.35492216761126261</v>
      </c>
      <c r="S105" s="519">
        <f t="shared" si="88"/>
        <v>0.37131465059599278</v>
      </c>
      <c r="T105" s="422">
        <f t="shared" si="88"/>
        <v>0.39057797190719612</v>
      </c>
      <c r="U105" s="422">
        <f t="shared" si="88"/>
        <v>0.41131570229115166</v>
      </c>
      <c r="V105" s="422">
        <f t="shared" si="88"/>
        <v>0.4324591361433856</v>
      </c>
      <c r="W105" s="422">
        <f t="shared" si="88"/>
        <v>0.4499220329170936</v>
      </c>
      <c r="X105" s="422">
        <f t="shared" si="88"/>
        <v>0.46650202639465388</v>
      </c>
      <c r="Y105" s="422">
        <f t="shared" si="88"/>
        <v>0.48025807364181766</v>
      </c>
      <c r="Z105" s="422">
        <f t="shared" si="88"/>
        <v>0.49099057449571692</v>
      </c>
      <c r="AA105" s="422">
        <f t="shared" si="88"/>
        <v>0.51742545912765259</v>
      </c>
      <c r="AB105" s="422">
        <f t="shared" si="88"/>
        <v>0.53461591822635945</v>
      </c>
      <c r="AC105" s="422">
        <f t="shared" si="88"/>
        <v>0.54589122403808477</v>
      </c>
      <c r="AD105" s="422">
        <f t="shared" si="88"/>
        <v>0.55928306635714009</v>
      </c>
      <c r="AE105" s="422">
        <f t="shared" si="88"/>
        <v>0.57505924150587295</v>
      </c>
      <c r="AF105" s="422">
        <f t="shared" si="88"/>
        <v>0.5857650157947244</v>
      </c>
      <c r="AG105" s="520">
        <f t="shared" si="88"/>
        <v>0.59161265797136675</v>
      </c>
      <c r="AH105" s="422">
        <f t="shared" si="88"/>
        <v>0.59161265797136675</v>
      </c>
      <c r="AI105" s="422">
        <f t="shared" si="88"/>
        <v>0.59161265797136675</v>
      </c>
      <c r="AJ105" s="422">
        <f t="shared" ref="AJ105:BB105" si="89">AI105+AJ21</f>
        <v>0.61791340226278468</v>
      </c>
      <c r="AK105" s="422">
        <f t="shared" si="89"/>
        <v>0.64580184442244548</v>
      </c>
      <c r="AL105" s="422">
        <f t="shared" si="89"/>
        <v>0.6776327009654366</v>
      </c>
      <c r="AM105" s="422">
        <f t="shared" si="89"/>
        <v>0.7016441171646296</v>
      </c>
      <c r="AN105" s="422">
        <f t="shared" si="89"/>
        <v>0.72695324800129657</v>
      </c>
      <c r="AO105" s="422">
        <f t="shared" si="89"/>
        <v>0.75078373403883725</v>
      </c>
      <c r="AP105" s="422">
        <f t="shared" si="89"/>
        <v>0.77094318646265692</v>
      </c>
      <c r="AQ105" s="422">
        <f t="shared" si="89"/>
        <v>0.7860665821451106</v>
      </c>
      <c r="AR105" s="422">
        <f t="shared" si="89"/>
        <v>0.80212127801223809</v>
      </c>
      <c r="AS105" s="422">
        <f t="shared" si="89"/>
        <v>0.8246029264141439</v>
      </c>
      <c r="AT105" s="422">
        <f t="shared" si="89"/>
        <v>0.8586269533066645</v>
      </c>
      <c r="AU105" s="422">
        <f t="shared" si="89"/>
        <v>0.88917592370675247</v>
      </c>
      <c r="AV105" s="422">
        <f t="shared" si="89"/>
        <v>0.91373913251551953</v>
      </c>
      <c r="AW105" s="422">
        <f t="shared" si="89"/>
        <v>0.93766816431916711</v>
      </c>
      <c r="AX105" s="422">
        <f t="shared" si="89"/>
        <v>0.96898552346438016</v>
      </c>
      <c r="AY105" s="422">
        <f t="shared" si="89"/>
        <v>1.0049514487342026</v>
      </c>
      <c r="AZ105" s="422">
        <f t="shared" si="89"/>
        <v>1.0277079863221736</v>
      </c>
      <c r="BA105" s="521">
        <f t="shared" si="89"/>
        <v>1.0399551362282931</v>
      </c>
      <c r="BB105" s="422">
        <f t="shared" si="89"/>
        <v>1.0399551362282931</v>
      </c>
      <c r="BC105" s="3"/>
      <c r="BD105" s="3"/>
      <c r="BE105" s="3"/>
    </row>
    <row r="106" spans="1:57" ht="19.5" hidden="1" customHeight="1" x14ac:dyDescent="0.3">
      <c r="A106" s="3"/>
      <c r="B106" s="30" t="s">
        <v>596</v>
      </c>
      <c r="C106" s="517">
        <f t="shared" ref="C106:AH106" si="90">C104-C105</f>
        <v>6.2833058432430755E-3</v>
      </c>
      <c r="D106" s="517">
        <f t="shared" si="90"/>
        <v>1.4826773187494653E-2</v>
      </c>
      <c r="E106" s="517">
        <f t="shared" si="90"/>
        <v>2.0852771876642459E-2</v>
      </c>
      <c r="F106" s="517">
        <f t="shared" si="90"/>
        <v>2.964699788515307E-2</v>
      </c>
      <c r="G106" s="517">
        <f t="shared" si="90"/>
        <v>4.3614028794895524E-2</v>
      </c>
      <c r="H106" s="422">
        <f t="shared" si="90"/>
        <v>6.3855944897502848E-2</v>
      </c>
      <c r="I106" s="422">
        <f t="shared" si="90"/>
        <v>7.785617448898588E-2</v>
      </c>
      <c r="J106" s="422">
        <f t="shared" si="90"/>
        <v>8.2685318343591663E-2</v>
      </c>
      <c r="K106" s="517">
        <f t="shared" si="90"/>
        <v>7.7591716256509291E-2</v>
      </c>
      <c r="L106" s="517">
        <f t="shared" si="90"/>
        <v>6.3313380692944565E-2</v>
      </c>
      <c r="M106" s="517">
        <f t="shared" si="90"/>
        <v>5.2638435285773222E-2</v>
      </c>
      <c r="N106" s="517">
        <f t="shared" si="90"/>
        <v>4.9904590290999307E-2</v>
      </c>
      <c r="O106" s="422">
        <f t="shared" si="90"/>
        <v>5.7240821063558434E-2</v>
      </c>
      <c r="P106" s="422">
        <f t="shared" si="90"/>
        <v>6.1905019328715893E-2</v>
      </c>
      <c r="Q106" s="422">
        <f t="shared" si="90"/>
        <v>6.0716881428409308E-2</v>
      </c>
      <c r="R106" s="517">
        <f t="shared" si="90"/>
        <v>5.7397658909074001E-2</v>
      </c>
      <c r="S106" s="517">
        <f t="shared" si="90"/>
        <v>5.2944481973980106E-2</v>
      </c>
      <c r="T106" s="517">
        <f t="shared" si="90"/>
        <v>4.7552067002120224E-2</v>
      </c>
      <c r="U106" s="517">
        <f t="shared" si="90"/>
        <v>3.7680298724875605E-2</v>
      </c>
      <c r="V106" s="517">
        <f t="shared" si="90"/>
        <v>3.4629683863625971E-2</v>
      </c>
      <c r="W106" s="517">
        <f t="shared" si="90"/>
        <v>3.3286462965175678E-2</v>
      </c>
      <c r="X106" s="517">
        <f t="shared" si="90"/>
        <v>3.075420128421219E-2</v>
      </c>
      <c r="Y106" s="517">
        <f t="shared" si="90"/>
        <v>3.1914463872196486E-2</v>
      </c>
      <c r="Z106" s="517">
        <f t="shared" si="90"/>
        <v>4.1445488101773842E-2</v>
      </c>
      <c r="AA106" s="517">
        <f t="shared" si="90"/>
        <v>3.361527578867185E-2</v>
      </c>
      <c r="AB106" s="517">
        <f t="shared" si="90"/>
        <v>3.2901721352702085E-2</v>
      </c>
      <c r="AC106" s="517">
        <f t="shared" si="90"/>
        <v>3.5125971500262865E-2</v>
      </c>
      <c r="AD106" s="517">
        <f t="shared" si="90"/>
        <v>3.2538943589479841E-2</v>
      </c>
      <c r="AE106" s="517">
        <f t="shared" si="90"/>
        <v>2.4733737358914154E-2</v>
      </c>
      <c r="AF106" s="517">
        <f t="shared" si="90"/>
        <v>1.978731487083496E-2</v>
      </c>
      <c r="AG106" s="517">
        <f t="shared" si="90"/>
        <v>1.7696974790943676E-2</v>
      </c>
      <c r="AH106" s="517">
        <f t="shared" si="90"/>
        <v>1.7696974790943676E-2</v>
      </c>
      <c r="AI106" s="517">
        <f t="shared" ref="AI106:BN106" si="91">AI104-AI105</f>
        <v>1.7696974790943676E-2</v>
      </c>
      <c r="AJ106" s="517">
        <f t="shared" si="91"/>
        <v>1.1397223073439489E-2</v>
      </c>
      <c r="AK106" s="517">
        <f t="shared" si="91"/>
        <v>1.3735450932102378E-2</v>
      </c>
      <c r="AL106" s="517">
        <f t="shared" si="91"/>
        <v>1.7591677355875857E-2</v>
      </c>
      <c r="AM106" s="517">
        <f t="shared" si="91"/>
        <v>3.6271332158594127E-2</v>
      </c>
      <c r="AN106" s="517">
        <f t="shared" si="91"/>
        <v>4.8668343263407077E-2</v>
      </c>
      <c r="AO106" s="517">
        <f t="shared" si="91"/>
        <v>4.9697645690356618E-2</v>
      </c>
      <c r="AP106" s="422">
        <f t="shared" si="91"/>
        <v>4.2251635173336632E-2</v>
      </c>
      <c r="AQ106" s="422">
        <f t="shared" si="91"/>
        <v>3.2943681589675977E-2</v>
      </c>
      <c r="AR106" s="422">
        <f t="shared" si="91"/>
        <v>2.5929246022215469E-2</v>
      </c>
      <c r="AS106" s="422">
        <f t="shared" si="91"/>
        <v>1.6899696401098008E-2</v>
      </c>
      <c r="AT106" s="422">
        <f t="shared" si="91"/>
        <v>7.3071533548259016E-3</v>
      </c>
      <c r="AU106" s="422">
        <f t="shared" si="91"/>
        <v>1.3234019658200702E-2</v>
      </c>
      <c r="AV106" s="422">
        <f t="shared" si="91"/>
        <v>3.4212082075759875E-2</v>
      </c>
      <c r="AW106" s="422">
        <f t="shared" si="91"/>
        <v>4.7626384628233542E-2</v>
      </c>
      <c r="AX106" s="422">
        <f t="shared" si="91"/>
        <v>4.0297139323650089E-2</v>
      </c>
      <c r="AY106" s="422">
        <f t="shared" si="91"/>
        <v>1.5494198088793709E-2</v>
      </c>
      <c r="AZ106" s="422">
        <f t="shared" si="91"/>
        <v>-2.9432369774502476E-3</v>
      </c>
      <c r="BA106" s="422">
        <f t="shared" si="91"/>
        <v>-1.5190386883569662E-2</v>
      </c>
      <c r="BB106" s="422">
        <f t="shared" si="91"/>
        <v>-1.5190386883569662E-2</v>
      </c>
      <c r="BC106" s="3"/>
      <c r="BD106" s="3"/>
      <c r="BE106" s="3"/>
    </row>
    <row r="107" spans="1:57" ht="19.5" hidden="1" customHeight="1" x14ac:dyDescent="0.3">
      <c r="A107" s="3"/>
      <c r="B107" s="30" t="s">
        <v>600</v>
      </c>
      <c r="C107" s="522">
        <f t="shared" ref="C107:AH107" si="92">1/52*C16</f>
        <v>1.9230769230769232E-2</v>
      </c>
      <c r="D107" s="522">
        <f t="shared" si="92"/>
        <v>3.8461538461538464E-2</v>
      </c>
      <c r="E107" s="522">
        <f t="shared" si="92"/>
        <v>5.7692307692307696E-2</v>
      </c>
      <c r="F107" s="522">
        <f t="shared" si="92"/>
        <v>7.6923076923076927E-2</v>
      </c>
      <c r="G107" s="522">
        <f t="shared" si="92"/>
        <v>9.6153846153846159E-2</v>
      </c>
      <c r="H107" s="522">
        <f t="shared" si="92"/>
        <v>0.11538461538461539</v>
      </c>
      <c r="I107" s="522">
        <f t="shared" si="92"/>
        <v>0.13461538461538464</v>
      </c>
      <c r="J107" s="522">
        <f t="shared" si="92"/>
        <v>0.15384615384615385</v>
      </c>
      <c r="K107" s="522">
        <f t="shared" si="92"/>
        <v>0.17307692307692307</v>
      </c>
      <c r="L107" s="522">
        <f t="shared" si="92"/>
        <v>0.19230769230769232</v>
      </c>
      <c r="M107" s="522">
        <f t="shared" si="92"/>
        <v>0.21153846153846156</v>
      </c>
      <c r="N107" s="522">
        <f t="shared" si="92"/>
        <v>0.23076923076923078</v>
      </c>
      <c r="O107" s="522">
        <f t="shared" si="92"/>
        <v>0.25</v>
      </c>
      <c r="P107" s="522">
        <f t="shared" si="92"/>
        <v>0.26923076923076927</v>
      </c>
      <c r="Q107" s="522">
        <f t="shared" si="92"/>
        <v>0.28846153846153849</v>
      </c>
      <c r="R107" s="522">
        <f t="shared" si="92"/>
        <v>0.30769230769230771</v>
      </c>
      <c r="S107" s="522">
        <f t="shared" si="92"/>
        <v>0.32692307692307693</v>
      </c>
      <c r="T107" s="522">
        <f t="shared" si="92"/>
        <v>0.34615384615384615</v>
      </c>
      <c r="U107" s="522">
        <f t="shared" si="92"/>
        <v>0.36538461538461542</v>
      </c>
      <c r="V107" s="522">
        <f t="shared" si="92"/>
        <v>0.38461538461538464</v>
      </c>
      <c r="W107" s="522">
        <f t="shared" si="92"/>
        <v>0.40384615384615385</v>
      </c>
      <c r="X107" s="522">
        <f t="shared" si="92"/>
        <v>0.42307692307692313</v>
      </c>
      <c r="Y107" s="522">
        <f t="shared" si="92"/>
        <v>0.44230769230769235</v>
      </c>
      <c r="Z107" s="522">
        <f t="shared" si="92"/>
        <v>0.46153846153846156</v>
      </c>
      <c r="AA107" s="522">
        <f t="shared" si="92"/>
        <v>0.48076923076923078</v>
      </c>
      <c r="AB107" s="522">
        <f t="shared" si="92"/>
        <v>0.5</v>
      </c>
      <c r="AC107" s="522">
        <f t="shared" si="92"/>
        <v>0.51923076923076927</v>
      </c>
      <c r="AD107" s="522">
        <f t="shared" si="92"/>
        <v>0.53846153846153855</v>
      </c>
      <c r="AE107" s="522">
        <f t="shared" si="92"/>
        <v>0.55769230769230771</v>
      </c>
      <c r="AF107" s="522">
        <f t="shared" si="92"/>
        <v>0.57692307692307698</v>
      </c>
      <c r="AG107" s="522">
        <f t="shared" si="92"/>
        <v>0.59615384615384615</v>
      </c>
      <c r="AH107" s="522">
        <f t="shared" si="92"/>
        <v>0.61538461538461542</v>
      </c>
      <c r="AI107" s="522">
        <f t="shared" ref="AI107:BB107" si="93">1/52*AI16</f>
        <v>0.63461538461538469</v>
      </c>
      <c r="AJ107" s="522">
        <f t="shared" si="93"/>
        <v>0.65384615384615385</v>
      </c>
      <c r="AK107" s="522">
        <f t="shared" si="93"/>
        <v>0.67307692307692313</v>
      </c>
      <c r="AL107" s="522">
        <f t="shared" si="93"/>
        <v>0.69230769230769229</v>
      </c>
      <c r="AM107" s="522">
        <f t="shared" si="93"/>
        <v>0.71153846153846156</v>
      </c>
      <c r="AN107" s="522">
        <f t="shared" si="93"/>
        <v>0.73076923076923084</v>
      </c>
      <c r="AO107" s="522">
        <f t="shared" si="93"/>
        <v>0.75</v>
      </c>
      <c r="AP107" s="522">
        <f t="shared" si="93"/>
        <v>0.76923076923076927</v>
      </c>
      <c r="AQ107" s="522">
        <f t="shared" si="93"/>
        <v>0.78846153846153855</v>
      </c>
      <c r="AR107" s="522">
        <f t="shared" si="93"/>
        <v>0.80769230769230771</v>
      </c>
      <c r="AS107" s="522">
        <f t="shared" si="93"/>
        <v>0.82692307692307698</v>
      </c>
      <c r="AT107" s="522">
        <f t="shared" si="93"/>
        <v>0.84615384615384626</v>
      </c>
      <c r="AU107" s="522">
        <f t="shared" si="93"/>
        <v>0.86538461538461542</v>
      </c>
      <c r="AV107" s="522">
        <f t="shared" si="93"/>
        <v>0.88461538461538469</v>
      </c>
      <c r="AW107" s="522">
        <f t="shared" si="93"/>
        <v>0.90384615384615385</v>
      </c>
      <c r="AX107" s="522">
        <f t="shared" si="93"/>
        <v>0.92307692307692313</v>
      </c>
      <c r="AY107" s="522">
        <f t="shared" si="93"/>
        <v>0.9423076923076924</v>
      </c>
      <c r="AZ107" s="522">
        <f t="shared" si="93"/>
        <v>0.96153846153846156</v>
      </c>
      <c r="BA107" s="522">
        <f t="shared" si="93"/>
        <v>0.98076923076923084</v>
      </c>
      <c r="BB107" s="522">
        <f t="shared" si="93"/>
        <v>1</v>
      </c>
      <c r="BC107" s="3"/>
      <c r="BD107" s="3"/>
      <c r="BE107" s="3"/>
    </row>
    <row r="108" spans="1:57" ht="19.5" hidden="1" customHeight="1" x14ac:dyDescent="0.3">
      <c r="A108" s="3"/>
      <c r="B108" s="3"/>
      <c r="C108" s="328"/>
      <c r="D108" s="8"/>
      <c r="E108" s="8"/>
      <c r="F108" s="8"/>
      <c r="G108" s="328"/>
      <c r="H108" s="328"/>
      <c r="I108" s="8"/>
      <c r="J108" s="8"/>
      <c r="K108" s="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  <c r="AA108" s="328"/>
      <c r="AB108" s="328"/>
      <c r="AC108" s="328"/>
      <c r="AD108" s="328"/>
      <c r="AE108" s="328"/>
      <c r="AF108" s="328"/>
      <c r="AG108" s="328"/>
      <c r="AH108" s="328"/>
      <c r="AI108" s="328"/>
      <c r="AJ108" s="328"/>
      <c r="AK108" s="328"/>
      <c r="AL108" s="328"/>
      <c r="AM108" s="328"/>
      <c r="AN108" s="328"/>
      <c r="AO108" s="328"/>
      <c r="AP108" s="328"/>
      <c r="AQ108" s="328"/>
      <c r="AR108" s="328"/>
      <c r="AS108" s="328"/>
      <c r="AT108" s="328"/>
      <c r="AU108" s="328"/>
      <c r="AV108" s="328"/>
      <c r="AW108" s="328"/>
      <c r="AX108" s="328"/>
      <c r="AY108" s="328"/>
      <c r="AZ108" s="328"/>
      <c r="BA108" s="328"/>
      <c r="BB108" s="328"/>
      <c r="BC108" s="3"/>
      <c r="BD108" s="3"/>
      <c r="BE108" s="3"/>
    </row>
    <row r="109" spans="1:57" ht="19.5" hidden="1" customHeight="1" x14ac:dyDescent="0.3">
      <c r="A109" s="3"/>
      <c r="B109" s="3"/>
      <c r="C109" s="328"/>
      <c r="D109" s="8"/>
      <c r="E109" s="8"/>
      <c r="F109" s="8"/>
      <c r="G109" s="328"/>
      <c r="H109" s="328"/>
      <c r="I109" s="8"/>
      <c r="J109" s="8"/>
      <c r="K109" s="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28"/>
      <c r="AB109" s="328"/>
      <c r="AC109" s="328"/>
      <c r="AD109" s="328"/>
      <c r="AE109" s="328"/>
      <c r="AF109" s="328"/>
      <c r="AG109" s="328"/>
      <c r="AH109" s="328"/>
      <c r="AI109" s="328"/>
      <c r="AJ109" s="328"/>
      <c r="AK109" s="328"/>
      <c r="AL109" s="328"/>
      <c r="AM109" s="328"/>
      <c r="AN109" s="328"/>
      <c r="AO109" s="328"/>
      <c r="AP109" s="328"/>
      <c r="AQ109" s="328"/>
      <c r="AR109" s="328"/>
      <c r="AS109" s="328"/>
      <c r="AT109" s="328"/>
      <c r="AU109" s="328"/>
      <c r="AV109" s="328"/>
      <c r="AW109" s="328"/>
      <c r="AX109" s="328"/>
      <c r="AY109" s="328"/>
      <c r="AZ109" s="328"/>
      <c r="BA109" s="328"/>
      <c r="BB109" s="328"/>
      <c r="BC109" s="3"/>
      <c r="BD109" s="3"/>
      <c r="BE109" s="3"/>
    </row>
    <row r="110" spans="1:57" ht="19.5" hidden="1" customHeight="1" x14ac:dyDescent="0.3">
      <c r="A110" s="3"/>
      <c r="B110" s="3"/>
      <c r="C110" s="328"/>
      <c r="D110" s="8"/>
      <c r="E110" s="8"/>
      <c r="F110" s="8"/>
      <c r="G110" s="328"/>
      <c r="H110" s="328"/>
      <c r="I110" s="8"/>
      <c r="J110" s="8"/>
      <c r="K110" s="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8"/>
      <c r="W110" s="328"/>
      <c r="X110" s="328"/>
      <c r="Y110" s="328"/>
      <c r="Z110" s="328"/>
      <c r="AA110" s="328"/>
      <c r="AB110" s="328"/>
      <c r="AC110" s="328"/>
      <c r="AD110" s="328"/>
      <c r="AE110" s="328"/>
      <c r="AF110" s="328"/>
      <c r="AG110" s="328"/>
      <c r="AH110" s="328"/>
      <c r="AI110" s="328"/>
      <c r="AJ110" s="328"/>
      <c r="AK110" s="328"/>
      <c r="AL110" s="328"/>
      <c r="AM110" s="328"/>
      <c r="AN110" s="328"/>
      <c r="AO110" s="328"/>
      <c r="AP110" s="328"/>
      <c r="AQ110" s="328"/>
      <c r="AR110" s="328"/>
      <c r="AS110" s="328"/>
      <c r="AT110" s="328"/>
      <c r="AU110" s="328"/>
      <c r="AV110" s="328"/>
      <c r="AW110" s="328"/>
      <c r="AX110" s="328"/>
      <c r="AY110" s="328"/>
      <c r="AZ110" s="328"/>
      <c r="BA110" s="328"/>
      <c r="BB110" s="328"/>
      <c r="BC110" s="3"/>
      <c r="BD110" s="3"/>
      <c r="BE110" s="3"/>
    </row>
    <row r="111" spans="1:57" ht="19.5" hidden="1" customHeight="1" x14ac:dyDescent="0.3">
      <c r="A111" s="3"/>
      <c r="B111" s="3"/>
      <c r="C111" s="328"/>
      <c r="D111" s="8"/>
      <c r="E111" s="8"/>
      <c r="F111" s="8"/>
      <c r="G111" s="328"/>
      <c r="H111" s="328"/>
      <c r="I111" s="8"/>
      <c r="J111" s="8"/>
      <c r="K111" s="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8"/>
      <c r="W111" s="328"/>
      <c r="X111" s="328"/>
      <c r="Y111" s="328"/>
      <c r="Z111" s="328"/>
      <c r="AA111" s="328"/>
      <c r="AB111" s="328"/>
      <c r="AC111" s="328"/>
      <c r="AD111" s="328"/>
      <c r="AE111" s="328"/>
      <c r="AF111" s="328"/>
      <c r="AG111" s="328"/>
      <c r="AH111" s="328"/>
      <c r="AI111" s="328"/>
      <c r="AJ111" s="328"/>
      <c r="AK111" s="328"/>
      <c r="AL111" s="328"/>
      <c r="AM111" s="328"/>
      <c r="AN111" s="328"/>
      <c r="AO111" s="328"/>
      <c r="AP111" s="328"/>
      <c r="AQ111" s="328"/>
      <c r="AR111" s="328"/>
      <c r="AS111" s="328"/>
      <c r="AT111" s="328"/>
      <c r="AU111" s="328"/>
      <c r="AV111" s="328"/>
      <c r="AW111" s="328"/>
      <c r="AX111" s="328"/>
      <c r="AY111" s="328"/>
      <c r="AZ111" s="328"/>
      <c r="BA111" s="328"/>
      <c r="BB111" s="328"/>
      <c r="BC111" s="3"/>
      <c r="BD111" s="3"/>
      <c r="BE111" s="3"/>
    </row>
    <row r="112" spans="1:57" ht="19.5" hidden="1" customHeight="1" x14ac:dyDescent="0.3">
      <c r="A112" s="3"/>
      <c r="B112" s="3"/>
      <c r="C112" s="328"/>
      <c r="D112" s="8"/>
      <c r="E112" s="8"/>
      <c r="F112" s="8"/>
      <c r="G112" s="328"/>
      <c r="H112" s="328"/>
      <c r="I112" s="8"/>
      <c r="J112" s="8"/>
      <c r="K112" s="8"/>
      <c r="L112" s="328"/>
      <c r="M112" s="328"/>
      <c r="N112" s="328"/>
      <c r="O112" s="328"/>
      <c r="P112" s="328"/>
      <c r="Q112" s="328"/>
      <c r="R112" s="328"/>
      <c r="S112" s="328"/>
      <c r="T112" s="328"/>
      <c r="U112" s="328"/>
      <c r="V112" s="328"/>
      <c r="W112" s="328"/>
      <c r="X112" s="328"/>
      <c r="Y112" s="328"/>
      <c r="Z112" s="328"/>
      <c r="AA112" s="328"/>
      <c r="AB112" s="328"/>
      <c r="AC112" s="328"/>
      <c r="AD112" s="328"/>
      <c r="AE112" s="328"/>
      <c r="AF112" s="328"/>
      <c r="AG112" s="328"/>
      <c r="AH112" s="328"/>
      <c r="AI112" s="328"/>
      <c r="AJ112" s="328"/>
      <c r="AK112" s="328"/>
      <c r="AL112" s="328"/>
      <c r="AM112" s="328"/>
      <c r="AN112" s="328"/>
      <c r="AO112" s="328"/>
      <c r="AP112" s="328"/>
      <c r="AQ112" s="328"/>
      <c r="AR112" s="328"/>
      <c r="AS112" s="328"/>
      <c r="AT112" s="328"/>
      <c r="AU112" s="328"/>
      <c r="AV112" s="328"/>
      <c r="AW112" s="328"/>
      <c r="AX112" s="328"/>
      <c r="AY112" s="328"/>
      <c r="AZ112" s="328"/>
      <c r="BA112" s="328"/>
      <c r="BB112" s="328"/>
      <c r="BC112" s="3"/>
      <c r="BD112" s="3"/>
      <c r="BE112" s="3"/>
    </row>
    <row r="113" spans="1:57" ht="19.5" hidden="1" customHeight="1" x14ac:dyDescent="0.3">
      <c r="A113" s="3"/>
      <c r="B113" s="3"/>
      <c r="C113" s="328"/>
      <c r="D113" s="8"/>
      <c r="E113" s="8"/>
      <c r="F113" s="8"/>
      <c r="G113" s="328"/>
      <c r="H113" s="328"/>
      <c r="I113" s="8"/>
      <c r="J113" s="8"/>
      <c r="K113" s="8"/>
      <c r="L113" s="328"/>
      <c r="M113" s="328"/>
      <c r="N113" s="328"/>
      <c r="O113" s="328"/>
      <c r="P113" s="328"/>
      <c r="Q113" s="328"/>
      <c r="R113" s="328"/>
      <c r="S113" s="328"/>
      <c r="T113" s="328"/>
      <c r="U113" s="328"/>
      <c r="V113" s="328"/>
      <c r="W113" s="328"/>
      <c r="X113" s="328"/>
      <c r="Y113" s="328"/>
      <c r="Z113" s="328"/>
      <c r="AA113" s="328"/>
      <c r="AB113" s="328"/>
      <c r="AC113" s="328"/>
      <c r="AD113" s="328"/>
      <c r="AE113" s="328"/>
      <c r="AF113" s="328"/>
      <c r="AG113" s="328"/>
      <c r="AH113" s="328"/>
      <c r="AI113" s="328"/>
      <c r="AJ113" s="328"/>
      <c r="AK113" s="328"/>
      <c r="AL113" s="328"/>
      <c r="AM113" s="328"/>
      <c r="AN113" s="328"/>
      <c r="AO113" s="328"/>
      <c r="AP113" s="328"/>
      <c r="AQ113" s="328"/>
      <c r="AR113" s="328"/>
      <c r="AS113" s="328"/>
      <c r="AT113" s="328"/>
      <c r="AU113" s="328"/>
      <c r="AV113" s="328"/>
      <c r="AW113" s="328"/>
      <c r="AX113" s="328"/>
      <c r="AY113" s="328"/>
      <c r="AZ113" s="328"/>
      <c r="BA113" s="328"/>
      <c r="BB113" s="328"/>
      <c r="BC113" s="3"/>
      <c r="BD113" s="3"/>
      <c r="BE113" s="3"/>
    </row>
    <row r="114" spans="1:57" ht="19.5" hidden="1" customHeight="1" x14ac:dyDescent="0.3">
      <c r="A114" s="3"/>
      <c r="B114" s="3"/>
      <c r="C114" s="328"/>
      <c r="D114" s="8"/>
      <c r="E114" s="8"/>
      <c r="F114" s="8"/>
      <c r="G114" s="328"/>
      <c r="H114" s="328"/>
      <c r="I114" s="8"/>
      <c r="J114" s="8"/>
      <c r="K114" s="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328"/>
      <c r="AB114" s="328"/>
      <c r="AC114" s="328"/>
      <c r="AD114" s="328"/>
      <c r="AE114" s="328"/>
      <c r="AF114" s="328"/>
      <c r="AG114" s="328"/>
      <c r="AH114" s="328"/>
      <c r="AI114" s="328"/>
      <c r="AJ114" s="328"/>
      <c r="AK114" s="328"/>
      <c r="AL114" s="328"/>
      <c r="AM114" s="328"/>
      <c r="AN114" s="328"/>
      <c r="AO114" s="328"/>
      <c r="AP114" s="328"/>
      <c r="AQ114" s="328"/>
      <c r="AR114" s="328"/>
      <c r="AS114" s="328"/>
      <c r="AT114" s="328"/>
      <c r="AU114" s="328"/>
      <c r="AV114" s="328"/>
      <c r="AW114" s="328"/>
      <c r="AX114" s="328"/>
      <c r="AY114" s="328"/>
      <c r="AZ114" s="328"/>
      <c r="BA114" s="328"/>
      <c r="BB114" s="328"/>
      <c r="BC114" s="3"/>
      <c r="BD114" s="3"/>
      <c r="BE114" s="3"/>
    </row>
    <row r="115" spans="1:57" ht="19.5" hidden="1" customHeight="1" x14ac:dyDescent="0.3">
      <c r="A115" s="3"/>
      <c r="B115" s="3"/>
      <c r="C115" s="328"/>
      <c r="D115" s="8"/>
      <c r="E115" s="8"/>
      <c r="F115" s="8"/>
      <c r="G115" s="328"/>
      <c r="H115" s="328"/>
      <c r="I115" s="8"/>
      <c r="J115" s="8"/>
      <c r="K115" s="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28"/>
      <c r="AB115" s="328"/>
      <c r="AC115" s="328"/>
      <c r="AD115" s="328"/>
      <c r="AE115" s="328"/>
      <c r="AF115" s="328"/>
      <c r="AG115" s="328"/>
      <c r="AH115" s="328"/>
      <c r="AI115" s="328"/>
      <c r="AJ115" s="328"/>
      <c r="AK115" s="328"/>
      <c r="AL115" s="328"/>
      <c r="AM115" s="328"/>
      <c r="AN115" s="328"/>
      <c r="AO115" s="328"/>
      <c r="AP115" s="328"/>
      <c r="AQ115" s="328"/>
      <c r="AR115" s="328"/>
      <c r="AS115" s="328"/>
      <c r="AT115" s="328"/>
      <c r="AU115" s="328"/>
      <c r="AV115" s="328"/>
      <c r="AW115" s="328"/>
      <c r="AX115" s="328"/>
      <c r="AY115" s="328"/>
      <c r="AZ115" s="328"/>
      <c r="BA115" s="328"/>
      <c r="BB115" s="328"/>
      <c r="BC115" s="3"/>
      <c r="BD115" s="3"/>
      <c r="BE115" s="3"/>
    </row>
    <row r="116" spans="1:57" ht="19.5" hidden="1" customHeight="1" x14ac:dyDescent="0.3">
      <c r="A116" s="3"/>
      <c r="B116" s="3"/>
      <c r="C116" s="328"/>
      <c r="D116" s="8"/>
      <c r="E116" s="8"/>
      <c r="F116" s="8"/>
      <c r="G116" s="328"/>
      <c r="H116" s="328"/>
      <c r="I116" s="8"/>
      <c r="J116" s="8"/>
      <c r="K116" s="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328"/>
      <c r="Z116" s="328"/>
      <c r="AA116" s="328"/>
      <c r="AB116" s="328"/>
      <c r="AC116" s="328"/>
      <c r="AD116" s="328"/>
      <c r="AE116" s="328"/>
      <c r="AF116" s="328"/>
      <c r="AG116" s="328"/>
      <c r="AH116" s="328"/>
      <c r="AI116" s="328"/>
      <c r="AJ116" s="328"/>
      <c r="AK116" s="328"/>
      <c r="AL116" s="328"/>
      <c r="AM116" s="328"/>
      <c r="AN116" s="328"/>
      <c r="AO116" s="328"/>
      <c r="AP116" s="328"/>
      <c r="AQ116" s="328"/>
      <c r="AR116" s="328"/>
      <c r="AS116" s="328"/>
      <c r="AT116" s="328"/>
      <c r="AU116" s="328"/>
      <c r="AV116" s="328"/>
      <c r="AW116" s="328"/>
      <c r="AX116" s="328"/>
      <c r="AY116" s="328"/>
      <c r="AZ116" s="328"/>
      <c r="BA116" s="328"/>
      <c r="BB116" s="328"/>
      <c r="BC116" s="3"/>
      <c r="BD116" s="3"/>
      <c r="BE116" s="3"/>
    </row>
    <row r="117" spans="1:57" ht="19.5" hidden="1" customHeight="1" x14ac:dyDescent="0.3">
      <c r="A117" s="3"/>
      <c r="B117" s="3"/>
      <c r="C117" s="328"/>
      <c r="D117" s="8"/>
      <c r="E117" s="8"/>
      <c r="F117" s="8"/>
      <c r="G117" s="328"/>
      <c r="H117" s="328"/>
      <c r="I117" s="8"/>
      <c r="J117" s="8"/>
      <c r="K117" s="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8"/>
      <c r="V117" s="328"/>
      <c r="W117" s="328"/>
      <c r="X117" s="328"/>
      <c r="Y117" s="328"/>
      <c r="Z117" s="328"/>
      <c r="AA117" s="328"/>
      <c r="AB117" s="328"/>
      <c r="AC117" s="328"/>
      <c r="AD117" s="328"/>
      <c r="AE117" s="328"/>
      <c r="AF117" s="328"/>
      <c r="AG117" s="328"/>
      <c r="AH117" s="328"/>
      <c r="AI117" s="328"/>
      <c r="AJ117" s="328"/>
      <c r="AK117" s="328"/>
      <c r="AL117" s="328"/>
      <c r="AM117" s="328"/>
      <c r="AN117" s="328"/>
      <c r="AO117" s="328"/>
      <c r="AP117" s="328"/>
      <c r="AQ117" s="328"/>
      <c r="AR117" s="328"/>
      <c r="AS117" s="328"/>
      <c r="AT117" s="328"/>
      <c r="AU117" s="328"/>
      <c r="AV117" s="328"/>
      <c r="AW117" s="328"/>
      <c r="AX117" s="328"/>
      <c r="AY117" s="328"/>
      <c r="AZ117" s="328"/>
      <c r="BA117" s="328"/>
      <c r="BB117" s="328"/>
      <c r="BC117" s="3"/>
      <c r="BD117" s="3"/>
      <c r="BE117" s="3"/>
    </row>
    <row r="118" spans="1:57" ht="19.5" hidden="1" customHeight="1" x14ac:dyDescent="0.3">
      <c r="A118" s="3"/>
      <c r="B118" s="3"/>
      <c r="C118" s="328"/>
      <c r="D118" s="8"/>
      <c r="E118" s="8"/>
      <c r="F118" s="8"/>
      <c r="G118" s="328"/>
      <c r="H118" s="328"/>
      <c r="I118" s="8"/>
      <c r="J118" s="8"/>
      <c r="K118" s="8"/>
      <c r="L118" s="328"/>
      <c r="M118" s="328"/>
      <c r="N118" s="328"/>
      <c r="O118" s="328"/>
      <c r="P118" s="328"/>
      <c r="Q118" s="328"/>
      <c r="R118" s="328"/>
      <c r="S118" s="328"/>
      <c r="T118" s="328"/>
      <c r="U118" s="328"/>
      <c r="V118" s="328"/>
      <c r="W118" s="328"/>
      <c r="X118" s="328"/>
      <c r="Y118" s="328"/>
      <c r="Z118" s="328"/>
      <c r="AA118" s="328"/>
      <c r="AB118" s="328"/>
      <c r="AC118" s="328"/>
      <c r="AD118" s="328"/>
      <c r="AE118" s="328"/>
      <c r="AF118" s="328"/>
      <c r="AG118" s="328"/>
      <c r="AH118" s="328"/>
      <c r="AI118" s="328"/>
      <c r="AJ118" s="328"/>
      <c r="AK118" s="328"/>
      <c r="AL118" s="328"/>
      <c r="AM118" s="328"/>
      <c r="AN118" s="328"/>
      <c r="AO118" s="328"/>
      <c r="AP118" s="328"/>
      <c r="AQ118" s="328"/>
      <c r="AR118" s="328"/>
      <c r="AS118" s="328"/>
      <c r="AT118" s="328"/>
      <c r="AU118" s="328"/>
      <c r="AV118" s="328"/>
      <c r="AW118" s="328"/>
      <c r="AX118" s="328"/>
      <c r="AY118" s="328"/>
      <c r="AZ118" s="328"/>
      <c r="BA118" s="328"/>
      <c r="BB118" s="328"/>
      <c r="BC118" s="3"/>
      <c r="BD118" s="3"/>
      <c r="BE118" s="3"/>
    </row>
    <row r="119" spans="1:57" ht="19.5" hidden="1" customHeight="1" x14ac:dyDescent="0.3">
      <c r="A119" s="3"/>
      <c r="B119" s="3"/>
      <c r="C119" s="328"/>
      <c r="D119" s="8"/>
      <c r="E119" s="8"/>
      <c r="F119" s="8"/>
      <c r="G119" s="328"/>
      <c r="H119" s="328"/>
      <c r="I119" s="8"/>
      <c r="J119" s="8"/>
      <c r="K119" s="8"/>
      <c r="L119" s="328"/>
      <c r="M119" s="328"/>
      <c r="N119" s="328"/>
      <c r="O119" s="328"/>
      <c r="P119" s="328"/>
      <c r="Q119" s="328"/>
      <c r="R119" s="328"/>
      <c r="S119" s="328"/>
      <c r="T119" s="328"/>
      <c r="U119" s="328"/>
      <c r="V119" s="328"/>
      <c r="W119" s="328"/>
      <c r="X119" s="328"/>
      <c r="Y119" s="328"/>
      <c r="Z119" s="328"/>
      <c r="AA119" s="328"/>
      <c r="AB119" s="328"/>
      <c r="AC119" s="328"/>
      <c r="AD119" s="328"/>
      <c r="AE119" s="328"/>
      <c r="AF119" s="328"/>
      <c r="AG119" s="328"/>
      <c r="AH119" s="328"/>
      <c r="AI119" s="328"/>
      <c r="AJ119" s="328"/>
      <c r="AK119" s="328"/>
      <c r="AL119" s="328"/>
      <c r="AM119" s="328"/>
      <c r="AN119" s="328"/>
      <c r="AO119" s="328"/>
      <c r="AP119" s="328"/>
      <c r="AQ119" s="328"/>
      <c r="AR119" s="328"/>
      <c r="AS119" s="328"/>
      <c r="AT119" s="328"/>
      <c r="AU119" s="328"/>
      <c r="AV119" s="328"/>
      <c r="AW119" s="328"/>
      <c r="AX119" s="328"/>
      <c r="AY119" s="328"/>
      <c r="AZ119" s="328"/>
      <c r="BA119" s="328"/>
      <c r="BB119" s="328"/>
      <c r="BC119" s="3"/>
      <c r="BD119" s="3"/>
      <c r="BE119" s="3"/>
    </row>
    <row r="120" spans="1:57" ht="19.5" hidden="1" customHeight="1" x14ac:dyDescent="0.3">
      <c r="A120" s="3"/>
      <c r="B120" s="3"/>
      <c r="C120" s="328"/>
      <c r="D120" s="8"/>
      <c r="E120" s="8"/>
      <c r="F120" s="8"/>
      <c r="G120" s="328"/>
      <c r="H120" s="328"/>
      <c r="I120" s="8"/>
      <c r="J120" s="8"/>
      <c r="K120" s="8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28"/>
      <c r="Z120" s="328"/>
      <c r="AA120" s="328"/>
      <c r="AB120" s="328"/>
      <c r="AC120" s="328"/>
      <c r="AD120" s="328"/>
      <c r="AE120" s="328"/>
      <c r="AF120" s="328"/>
      <c r="AG120" s="328"/>
      <c r="AH120" s="328"/>
      <c r="AI120" s="328"/>
      <c r="AJ120" s="328"/>
      <c r="AK120" s="328"/>
      <c r="AL120" s="328"/>
      <c r="AM120" s="328"/>
      <c r="AN120" s="328"/>
      <c r="AO120" s="328"/>
      <c r="AP120" s="328"/>
      <c r="AQ120" s="328"/>
      <c r="AR120" s="328"/>
      <c r="AS120" s="328"/>
      <c r="AT120" s="328"/>
      <c r="AU120" s="328"/>
      <c r="AV120" s="328"/>
      <c r="AW120" s="328"/>
      <c r="AX120" s="328"/>
      <c r="AY120" s="328"/>
      <c r="AZ120" s="328"/>
      <c r="BA120" s="328"/>
      <c r="BB120" s="328"/>
      <c r="BC120" s="3"/>
      <c r="BD120" s="3"/>
      <c r="BE120" s="3"/>
    </row>
    <row r="121" spans="1:57" ht="19.5" hidden="1" customHeight="1" x14ac:dyDescent="0.3">
      <c r="A121" s="3"/>
      <c r="B121" s="3"/>
      <c r="C121" s="328"/>
      <c r="D121" s="8"/>
      <c r="E121" s="8"/>
      <c r="F121" s="8"/>
      <c r="G121" s="328"/>
      <c r="H121" s="328"/>
      <c r="I121" s="8"/>
      <c r="J121" s="8"/>
      <c r="K121" s="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28"/>
      <c r="AB121" s="328"/>
      <c r="AC121" s="328"/>
      <c r="AD121" s="328"/>
      <c r="AE121" s="328"/>
      <c r="AF121" s="328"/>
      <c r="AG121" s="328"/>
      <c r="AH121" s="328"/>
      <c r="AI121" s="328"/>
      <c r="AJ121" s="328"/>
      <c r="AK121" s="328"/>
      <c r="AL121" s="328"/>
      <c r="AM121" s="328"/>
      <c r="AN121" s="328"/>
      <c r="AO121" s="328"/>
      <c r="AP121" s="328"/>
      <c r="AQ121" s="328"/>
      <c r="AR121" s="328"/>
      <c r="AS121" s="328"/>
      <c r="AT121" s="328"/>
      <c r="AU121" s="328"/>
      <c r="AV121" s="328"/>
      <c r="AW121" s="328"/>
      <c r="AX121" s="328"/>
      <c r="AY121" s="328"/>
      <c r="AZ121" s="328"/>
      <c r="BA121" s="328"/>
      <c r="BB121" s="328"/>
      <c r="BC121" s="3"/>
      <c r="BD121" s="3"/>
      <c r="BE121" s="3"/>
    </row>
    <row r="122" spans="1:57" ht="19.5" hidden="1" customHeight="1" x14ac:dyDescent="0.3">
      <c r="A122" s="3"/>
      <c r="B122" s="3"/>
      <c r="C122" s="328"/>
      <c r="D122" s="8"/>
      <c r="E122" s="8"/>
      <c r="F122" s="8"/>
      <c r="G122" s="328"/>
      <c r="H122" s="328"/>
      <c r="I122" s="8"/>
      <c r="J122" s="8"/>
      <c r="K122" s="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28"/>
      <c r="AB122" s="328"/>
      <c r="AC122" s="328"/>
      <c r="AD122" s="328"/>
      <c r="AE122" s="328"/>
      <c r="AF122" s="328"/>
      <c r="AG122" s="328"/>
      <c r="AH122" s="328"/>
      <c r="AI122" s="328"/>
      <c r="AJ122" s="328"/>
      <c r="AK122" s="328"/>
      <c r="AL122" s="328"/>
      <c r="AM122" s="328"/>
      <c r="AN122" s="328"/>
      <c r="AO122" s="328"/>
      <c r="AP122" s="328"/>
      <c r="AQ122" s="328"/>
      <c r="AR122" s="328"/>
      <c r="AS122" s="328"/>
      <c r="AT122" s="328"/>
      <c r="AU122" s="328"/>
      <c r="AV122" s="328"/>
      <c r="AW122" s="328"/>
      <c r="AX122" s="328"/>
      <c r="AY122" s="328"/>
      <c r="AZ122" s="328"/>
      <c r="BA122" s="328"/>
      <c r="BB122" s="328"/>
      <c r="BC122" s="3"/>
      <c r="BD122" s="3"/>
      <c r="BE122" s="3"/>
    </row>
    <row r="123" spans="1:57" ht="19.5" hidden="1" customHeight="1" x14ac:dyDescent="0.3">
      <c r="A123" s="3"/>
      <c r="B123" s="3"/>
      <c r="C123" s="328"/>
      <c r="D123" s="8"/>
      <c r="E123" s="8"/>
      <c r="F123" s="8"/>
      <c r="G123" s="328"/>
      <c r="H123" s="328"/>
      <c r="I123" s="8"/>
      <c r="J123" s="8"/>
      <c r="K123" s="8"/>
      <c r="L123" s="328"/>
      <c r="M123" s="328"/>
      <c r="N123" s="328"/>
      <c r="O123" s="328"/>
      <c r="P123" s="328"/>
      <c r="Q123" s="328"/>
      <c r="R123" s="328"/>
      <c r="S123" s="328"/>
      <c r="T123" s="328"/>
      <c r="U123" s="328"/>
      <c r="V123" s="328"/>
      <c r="W123" s="328"/>
      <c r="X123" s="328"/>
      <c r="Y123" s="328"/>
      <c r="Z123" s="328"/>
      <c r="AA123" s="328"/>
      <c r="AB123" s="328"/>
      <c r="AC123" s="328"/>
      <c r="AD123" s="328"/>
      <c r="AE123" s="328"/>
      <c r="AF123" s="328"/>
      <c r="AG123" s="328"/>
      <c r="AH123" s="328"/>
      <c r="AI123" s="328"/>
      <c r="AJ123" s="328"/>
      <c r="AK123" s="328"/>
      <c r="AL123" s="328"/>
      <c r="AM123" s="328"/>
      <c r="AN123" s="328"/>
      <c r="AO123" s="328"/>
      <c r="AP123" s="328"/>
      <c r="AQ123" s="328"/>
      <c r="AR123" s="328"/>
      <c r="AS123" s="328"/>
      <c r="AT123" s="328"/>
      <c r="AU123" s="328"/>
      <c r="AV123" s="328"/>
      <c r="AW123" s="328"/>
      <c r="AX123" s="328"/>
      <c r="AY123" s="328"/>
      <c r="AZ123" s="328"/>
      <c r="BA123" s="328"/>
      <c r="BB123" s="328"/>
      <c r="BC123" s="3"/>
      <c r="BD123" s="3"/>
      <c r="BE123" s="3"/>
    </row>
    <row r="124" spans="1:57" ht="19.5" hidden="1" customHeight="1" x14ac:dyDescent="0.3">
      <c r="A124" s="3"/>
      <c r="B124" s="3"/>
      <c r="C124" s="328"/>
      <c r="D124" s="8"/>
      <c r="E124" s="8"/>
      <c r="F124" s="8"/>
      <c r="G124" s="328"/>
      <c r="H124" s="328"/>
      <c r="I124" s="8"/>
      <c r="J124" s="8"/>
      <c r="K124" s="8"/>
      <c r="L124" s="328"/>
      <c r="M124" s="328"/>
      <c r="N124" s="328"/>
      <c r="O124" s="328"/>
      <c r="P124" s="328"/>
      <c r="Q124" s="328"/>
      <c r="R124" s="328"/>
      <c r="S124" s="328"/>
      <c r="T124" s="328"/>
      <c r="U124" s="328"/>
      <c r="V124" s="328"/>
      <c r="W124" s="328"/>
      <c r="X124" s="328"/>
      <c r="Y124" s="328"/>
      <c r="Z124" s="328"/>
      <c r="AA124" s="328"/>
      <c r="AB124" s="328"/>
      <c r="AC124" s="328"/>
      <c r="AD124" s="328"/>
      <c r="AE124" s="328"/>
      <c r="AF124" s="328"/>
      <c r="AG124" s="328"/>
      <c r="AH124" s="328"/>
      <c r="AI124" s="328"/>
      <c r="AJ124" s="328"/>
      <c r="AK124" s="328"/>
      <c r="AL124" s="328"/>
      <c r="AM124" s="328"/>
      <c r="AN124" s="328"/>
      <c r="AO124" s="328"/>
      <c r="AP124" s="328"/>
      <c r="AQ124" s="328"/>
      <c r="AR124" s="328"/>
      <c r="AS124" s="328"/>
      <c r="AT124" s="328"/>
      <c r="AU124" s="328"/>
      <c r="AV124" s="328"/>
      <c r="AW124" s="328"/>
      <c r="AX124" s="328"/>
      <c r="AY124" s="328"/>
      <c r="AZ124" s="328"/>
      <c r="BA124" s="328"/>
      <c r="BB124" s="328"/>
      <c r="BC124" s="3"/>
      <c r="BD124" s="3"/>
      <c r="BE124" s="3"/>
    </row>
    <row r="125" spans="1:57" ht="19.5" hidden="1" customHeight="1" x14ac:dyDescent="0.3">
      <c r="A125" s="3"/>
      <c r="B125" s="3"/>
      <c r="C125" s="328"/>
      <c r="D125" s="8"/>
      <c r="E125" s="8"/>
      <c r="F125" s="8"/>
      <c r="G125" s="328"/>
      <c r="H125" s="328"/>
      <c r="I125" s="8"/>
      <c r="J125" s="8"/>
      <c r="K125" s="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328"/>
      <c r="Y125" s="328"/>
      <c r="Z125" s="328"/>
      <c r="AA125" s="328"/>
      <c r="AB125" s="328"/>
      <c r="AC125" s="328"/>
      <c r="AD125" s="328"/>
      <c r="AE125" s="328"/>
      <c r="AF125" s="328"/>
      <c r="AG125" s="328"/>
      <c r="AH125" s="328"/>
      <c r="AI125" s="328"/>
      <c r="AJ125" s="328"/>
      <c r="AK125" s="328"/>
      <c r="AL125" s="328"/>
      <c r="AM125" s="328"/>
      <c r="AN125" s="328"/>
      <c r="AO125" s="328"/>
      <c r="AP125" s="328"/>
      <c r="AQ125" s="328"/>
      <c r="AR125" s="328"/>
      <c r="AS125" s="328"/>
      <c r="AT125" s="328"/>
      <c r="AU125" s="328"/>
      <c r="AV125" s="328"/>
      <c r="AW125" s="328"/>
      <c r="AX125" s="328"/>
      <c r="AY125" s="328"/>
      <c r="AZ125" s="328"/>
      <c r="BA125" s="328"/>
      <c r="BB125" s="328"/>
      <c r="BC125" s="3"/>
      <c r="BD125" s="3"/>
      <c r="BE125" s="3"/>
    </row>
    <row r="126" spans="1:57" ht="19.5" hidden="1" customHeight="1" x14ac:dyDescent="0.3">
      <c r="A126" s="3"/>
      <c r="B126" s="3"/>
      <c r="C126" s="328"/>
      <c r="D126" s="8"/>
      <c r="E126" s="8"/>
      <c r="F126" s="8"/>
      <c r="G126" s="328"/>
      <c r="H126" s="328"/>
      <c r="I126" s="8"/>
      <c r="J126" s="8"/>
      <c r="K126" s="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328"/>
      <c r="Z126" s="328"/>
      <c r="AA126" s="328"/>
      <c r="AB126" s="328"/>
      <c r="AC126" s="328"/>
      <c r="AD126" s="328"/>
      <c r="AE126" s="328"/>
      <c r="AF126" s="328"/>
      <c r="AG126" s="328"/>
      <c r="AH126" s="328"/>
      <c r="AI126" s="328"/>
      <c r="AJ126" s="328"/>
      <c r="AK126" s="328"/>
      <c r="AL126" s="328"/>
      <c r="AM126" s="328"/>
      <c r="AN126" s="328"/>
      <c r="AO126" s="328"/>
      <c r="AP126" s="328"/>
      <c r="AQ126" s="328"/>
      <c r="AR126" s="328"/>
      <c r="AS126" s="328"/>
      <c r="AT126" s="328"/>
      <c r="AU126" s="328"/>
      <c r="AV126" s="328"/>
      <c r="AW126" s="328"/>
      <c r="AX126" s="328"/>
      <c r="AY126" s="328"/>
      <c r="AZ126" s="328"/>
      <c r="BA126" s="328"/>
      <c r="BB126" s="328"/>
      <c r="BC126" s="3"/>
      <c r="BD126" s="3"/>
      <c r="BE126" s="3"/>
    </row>
    <row r="127" spans="1:57" ht="19.5" hidden="1" customHeight="1" x14ac:dyDescent="0.3">
      <c r="A127" s="3"/>
      <c r="B127" s="3"/>
      <c r="C127" s="328"/>
      <c r="D127" s="8"/>
      <c r="E127" s="8"/>
      <c r="F127" s="8"/>
      <c r="G127" s="328"/>
      <c r="H127" s="328"/>
      <c r="I127" s="8"/>
      <c r="J127" s="8"/>
      <c r="K127" s="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28"/>
      <c r="AB127" s="328"/>
      <c r="AC127" s="328"/>
      <c r="AD127" s="328"/>
      <c r="AE127" s="328"/>
      <c r="AF127" s="328"/>
      <c r="AG127" s="328"/>
      <c r="AH127" s="328"/>
      <c r="AI127" s="328"/>
      <c r="AJ127" s="328"/>
      <c r="AK127" s="328"/>
      <c r="AL127" s="328"/>
      <c r="AM127" s="328"/>
      <c r="AN127" s="328"/>
      <c r="AO127" s="328"/>
      <c r="AP127" s="328"/>
      <c r="AQ127" s="328"/>
      <c r="AR127" s="328"/>
      <c r="AS127" s="328"/>
      <c r="AT127" s="328"/>
      <c r="AU127" s="328"/>
      <c r="AV127" s="328"/>
      <c r="AW127" s="328"/>
      <c r="AX127" s="328"/>
      <c r="AY127" s="328"/>
      <c r="AZ127" s="328"/>
      <c r="BA127" s="328"/>
      <c r="BB127" s="328"/>
      <c r="BC127" s="3"/>
      <c r="BD127" s="3"/>
      <c r="BE127" s="3"/>
    </row>
    <row r="128" spans="1:57" ht="19.5" hidden="1" customHeight="1" x14ac:dyDescent="0.3">
      <c r="A128" s="3"/>
      <c r="B128" s="3"/>
      <c r="C128" s="328"/>
      <c r="D128" s="8"/>
      <c r="E128" s="8"/>
      <c r="F128" s="8"/>
      <c r="G128" s="328"/>
      <c r="H128" s="328"/>
      <c r="I128" s="8"/>
      <c r="J128" s="8"/>
      <c r="K128" s="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28"/>
      <c r="AB128" s="328"/>
      <c r="AC128" s="328"/>
      <c r="AD128" s="328"/>
      <c r="AE128" s="328"/>
      <c r="AF128" s="328"/>
      <c r="AG128" s="328"/>
      <c r="AH128" s="328"/>
      <c r="AI128" s="328"/>
      <c r="AJ128" s="328"/>
      <c r="AK128" s="328"/>
      <c r="AL128" s="328"/>
      <c r="AM128" s="328"/>
      <c r="AN128" s="328"/>
      <c r="AO128" s="328"/>
      <c r="AP128" s="328"/>
      <c r="AQ128" s="328"/>
      <c r="AR128" s="328"/>
      <c r="AS128" s="328"/>
      <c r="AT128" s="328"/>
      <c r="AU128" s="328"/>
      <c r="AV128" s="328"/>
      <c r="AW128" s="328"/>
      <c r="AX128" s="328"/>
      <c r="AY128" s="328"/>
      <c r="AZ128" s="328"/>
      <c r="BA128" s="328"/>
      <c r="BB128" s="328"/>
      <c r="BC128" s="3"/>
      <c r="BD128" s="3"/>
      <c r="BE128" s="3"/>
    </row>
    <row r="129" spans="1:57" ht="19.5" hidden="1" customHeight="1" x14ac:dyDescent="0.3">
      <c r="A129" s="3"/>
      <c r="B129" s="3"/>
      <c r="C129" s="328"/>
      <c r="D129" s="8"/>
      <c r="E129" s="8"/>
      <c r="F129" s="8"/>
      <c r="G129" s="328"/>
      <c r="H129" s="328"/>
      <c r="I129" s="8"/>
      <c r="J129" s="8"/>
      <c r="K129" s="8"/>
      <c r="L129" s="328"/>
      <c r="M129" s="328"/>
      <c r="N129" s="328"/>
      <c r="O129" s="328"/>
      <c r="P129" s="328"/>
      <c r="Q129" s="328"/>
      <c r="R129" s="328"/>
      <c r="S129" s="328"/>
      <c r="T129" s="328"/>
      <c r="U129" s="328"/>
      <c r="V129" s="328"/>
      <c r="W129" s="328"/>
      <c r="X129" s="328"/>
      <c r="Y129" s="328"/>
      <c r="Z129" s="328"/>
      <c r="AA129" s="328"/>
      <c r="AB129" s="328"/>
      <c r="AC129" s="328"/>
      <c r="AD129" s="328"/>
      <c r="AE129" s="328"/>
      <c r="AF129" s="328"/>
      <c r="AG129" s="328"/>
      <c r="AH129" s="328"/>
      <c r="AI129" s="328"/>
      <c r="AJ129" s="328"/>
      <c r="AK129" s="328"/>
      <c r="AL129" s="328"/>
      <c r="AM129" s="328"/>
      <c r="AN129" s="328"/>
      <c r="AO129" s="328"/>
      <c r="AP129" s="328"/>
      <c r="AQ129" s="328"/>
      <c r="AR129" s="328"/>
      <c r="AS129" s="328"/>
      <c r="AT129" s="328"/>
      <c r="AU129" s="328"/>
      <c r="AV129" s="328"/>
      <c r="AW129" s="328"/>
      <c r="AX129" s="328"/>
      <c r="AY129" s="328"/>
      <c r="AZ129" s="328"/>
      <c r="BA129" s="328"/>
      <c r="BB129" s="328"/>
      <c r="BC129" s="3"/>
      <c r="BD129" s="3"/>
      <c r="BE129" s="3"/>
    </row>
    <row r="130" spans="1:57" ht="19.5" hidden="1" customHeight="1" x14ac:dyDescent="0.3">
      <c r="A130" s="3"/>
      <c r="B130" s="3"/>
      <c r="C130" s="328"/>
      <c r="D130" s="8"/>
      <c r="E130" s="8"/>
      <c r="F130" s="8"/>
      <c r="G130" s="328"/>
      <c r="H130" s="328"/>
      <c r="I130" s="8"/>
      <c r="J130" s="8"/>
      <c r="K130" s="8"/>
      <c r="L130" s="328"/>
      <c r="M130" s="328"/>
      <c r="N130" s="328"/>
      <c r="O130" s="328"/>
      <c r="P130" s="328"/>
      <c r="Q130" s="328"/>
      <c r="R130" s="328"/>
      <c r="S130" s="328"/>
      <c r="T130" s="328"/>
      <c r="U130" s="328"/>
      <c r="V130" s="328"/>
      <c r="W130" s="328"/>
      <c r="X130" s="328"/>
      <c r="Y130" s="328"/>
      <c r="Z130" s="328"/>
      <c r="AA130" s="328"/>
      <c r="AB130" s="328"/>
      <c r="AC130" s="328"/>
      <c r="AD130" s="328"/>
      <c r="AE130" s="328"/>
      <c r="AF130" s="328"/>
      <c r="AG130" s="328"/>
      <c r="AH130" s="328"/>
      <c r="AI130" s="328"/>
      <c r="AJ130" s="328"/>
      <c r="AK130" s="328"/>
      <c r="AL130" s="328"/>
      <c r="AM130" s="328"/>
      <c r="AN130" s="328"/>
      <c r="AO130" s="328"/>
      <c r="AP130" s="328"/>
      <c r="AQ130" s="328"/>
      <c r="AR130" s="328"/>
      <c r="AS130" s="328"/>
      <c r="AT130" s="328"/>
      <c r="AU130" s="328"/>
      <c r="AV130" s="328"/>
      <c r="AW130" s="328"/>
      <c r="AX130" s="328"/>
      <c r="AY130" s="328"/>
      <c r="AZ130" s="328"/>
      <c r="BA130" s="328"/>
      <c r="BB130" s="328"/>
      <c r="BC130" s="3"/>
      <c r="BD130" s="3"/>
      <c r="BE130" s="3"/>
    </row>
    <row r="131" spans="1:57" ht="19.5" hidden="1" customHeight="1" x14ac:dyDescent="0.3">
      <c r="A131" s="3"/>
      <c r="B131" s="3"/>
      <c r="C131" s="328"/>
      <c r="D131" s="8"/>
      <c r="E131" s="8"/>
      <c r="F131" s="8"/>
      <c r="G131" s="328"/>
      <c r="H131" s="328"/>
      <c r="I131" s="8"/>
      <c r="J131" s="8"/>
      <c r="K131" s="8"/>
      <c r="L131" s="328"/>
      <c r="M131" s="328"/>
      <c r="N131" s="328"/>
      <c r="O131" s="328"/>
      <c r="P131" s="328"/>
      <c r="Q131" s="328"/>
      <c r="R131" s="328"/>
      <c r="S131" s="328"/>
      <c r="T131" s="328"/>
      <c r="U131" s="328"/>
      <c r="V131" s="328"/>
      <c r="W131" s="328"/>
      <c r="X131" s="328"/>
      <c r="Y131" s="328"/>
      <c r="Z131" s="328"/>
      <c r="AA131" s="328"/>
      <c r="AB131" s="328"/>
      <c r="AC131" s="328"/>
      <c r="AD131" s="328"/>
      <c r="AE131" s="328"/>
      <c r="AF131" s="328"/>
      <c r="AG131" s="328"/>
      <c r="AH131" s="328"/>
      <c r="AI131" s="328"/>
      <c r="AJ131" s="328"/>
      <c r="AK131" s="328"/>
      <c r="AL131" s="328"/>
      <c r="AM131" s="328"/>
      <c r="AN131" s="328"/>
      <c r="AO131" s="328"/>
      <c r="AP131" s="328"/>
      <c r="AQ131" s="328"/>
      <c r="AR131" s="328"/>
      <c r="AS131" s="328"/>
      <c r="AT131" s="328"/>
      <c r="AU131" s="328"/>
      <c r="AV131" s="328"/>
      <c r="AW131" s="328"/>
      <c r="AX131" s="328"/>
      <c r="AY131" s="328"/>
      <c r="AZ131" s="328"/>
      <c r="BA131" s="328"/>
      <c r="BB131" s="328"/>
      <c r="BC131" s="3"/>
      <c r="BD131" s="3"/>
      <c r="BE131" s="3"/>
    </row>
    <row r="132" spans="1:57" ht="19.5" hidden="1" customHeight="1" x14ac:dyDescent="0.3">
      <c r="A132" s="3"/>
      <c r="B132" s="3"/>
      <c r="C132" s="328"/>
      <c r="D132" s="8"/>
      <c r="E132" s="8"/>
      <c r="F132" s="8"/>
      <c r="G132" s="328"/>
      <c r="H132" s="328"/>
      <c r="I132" s="8"/>
      <c r="J132" s="8"/>
      <c r="K132" s="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28"/>
      <c r="AB132" s="328"/>
      <c r="AC132" s="328"/>
      <c r="AD132" s="328"/>
      <c r="AE132" s="328"/>
      <c r="AF132" s="328"/>
      <c r="AG132" s="328"/>
      <c r="AH132" s="328"/>
      <c r="AI132" s="328"/>
      <c r="AJ132" s="328"/>
      <c r="AK132" s="328"/>
      <c r="AL132" s="328"/>
      <c r="AM132" s="328"/>
      <c r="AN132" s="328"/>
      <c r="AO132" s="328"/>
      <c r="AP132" s="328"/>
      <c r="AQ132" s="328"/>
      <c r="AR132" s="328"/>
      <c r="AS132" s="328"/>
      <c r="AT132" s="328"/>
      <c r="AU132" s="328"/>
      <c r="AV132" s="328"/>
      <c r="AW132" s="328"/>
      <c r="AX132" s="328"/>
      <c r="AY132" s="328"/>
      <c r="AZ132" s="328"/>
      <c r="BA132" s="328"/>
      <c r="BB132" s="328"/>
      <c r="BC132" s="3"/>
      <c r="BD132" s="3"/>
      <c r="BE132" s="3"/>
    </row>
    <row r="133" spans="1:57" ht="19.5" hidden="1" customHeight="1" x14ac:dyDescent="0.3">
      <c r="A133" s="3"/>
      <c r="B133" s="3"/>
      <c r="C133" s="328"/>
      <c r="D133" s="8"/>
      <c r="E133" s="8"/>
      <c r="F133" s="8"/>
      <c r="G133" s="328"/>
      <c r="H133" s="328"/>
      <c r="I133" s="8"/>
      <c r="J133" s="8"/>
      <c r="K133" s="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28"/>
      <c r="AB133" s="328"/>
      <c r="AC133" s="328"/>
      <c r="AD133" s="328"/>
      <c r="AE133" s="328"/>
      <c r="AF133" s="328"/>
      <c r="AG133" s="328"/>
      <c r="AH133" s="328"/>
      <c r="AI133" s="328"/>
      <c r="AJ133" s="328"/>
      <c r="AK133" s="328"/>
      <c r="AL133" s="328"/>
      <c r="AM133" s="328"/>
      <c r="AN133" s="328"/>
      <c r="AO133" s="328"/>
      <c r="AP133" s="328"/>
      <c r="AQ133" s="328"/>
      <c r="AR133" s="328"/>
      <c r="AS133" s="328"/>
      <c r="AT133" s="328"/>
      <c r="AU133" s="328"/>
      <c r="AV133" s="328"/>
      <c r="AW133" s="328"/>
      <c r="AX133" s="328"/>
      <c r="AY133" s="328"/>
      <c r="AZ133" s="328"/>
      <c r="BA133" s="328"/>
      <c r="BB133" s="328"/>
      <c r="BC133" s="3"/>
      <c r="BD133" s="3"/>
      <c r="BE133" s="3"/>
    </row>
    <row r="134" spans="1:57" ht="19.5" hidden="1" customHeight="1" x14ac:dyDescent="0.3">
      <c r="A134" s="3"/>
      <c r="B134" s="3"/>
      <c r="C134" s="328"/>
      <c r="D134" s="8"/>
      <c r="E134" s="8"/>
      <c r="F134" s="8"/>
      <c r="G134" s="328"/>
      <c r="H134" s="328"/>
      <c r="I134" s="8"/>
      <c r="J134" s="8"/>
      <c r="K134" s="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328"/>
      <c r="Z134" s="328"/>
      <c r="AA134" s="328"/>
      <c r="AB134" s="328"/>
      <c r="AC134" s="328"/>
      <c r="AD134" s="328"/>
      <c r="AE134" s="328"/>
      <c r="AF134" s="328"/>
      <c r="AG134" s="328"/>
      <c r="AH134" s="328"/>
      <c r="AI134" s="328"/>
      <c r="AJ134" s="328"/>
      <c r="AK134" s="328"/>
      <c r="AL134" s="328"/>
      <c r="AM134" s="328"/>
      <c r="AN134" s="328"/>
      <c r="AO134" s="328"/>
      <c r="AP134" s="328"/>
      <c r="AQ134" s="328"/>
      <c r="AR134" s="328"/>
      <c r="AS134" s="328"/>
      <c r="AT134" s="328"/>
      <c r="AU134" s="328"/>
      <c r="AV134" s="328"/>
      <c r="AW134" s="328"/>
      <c r="AX134" s="328"/>
      <c r="AY134" s="328"/>
      <c r="AZ134" s="328"/>
      <c r="BA134" s="328"/>
      <c r="BB134" s="328"/>
      <c r="BC134" s="3"/>
      <c r="BD134" s="3"/>
      <c r="BE134" s="3"/>
    </row>
    <row r="135" spans="1:57" ht="19.5" hidden="1" customHeight="1" x14ac:dyDescent="0.3">
      <c r="A135" s="3"/>
      <c r="B135" s="3"/>
      <c r="C135" s="328"/>
      <c r="D135" s="8"/>
      <c r="E135" s="8"/>
      <c r="F135" s="8"/>
      <c r="G135" s="328"/>
      <c r="H135" s="328"/>
      <c r="I135" s="8"/>
      <c r="J135" s="8"/>
      <c r="K135" s="8"/>
      <c r="L135" s="328"/>
      <c r="M135" s="328"/>
      <c r="N135" s="328"/>
      <c r="O135" s="328"/>
      <c r="P135" s="328"/>
      <c r="Q135" s="328"/>
      <c r="R135" s="328"/>
      <c r="S135" s="328"/>
      <c r="T135" s="328"/>
      <c r="U135" s="328"/>
      <c r="V135" s="328"/>
      <c r="W135" s="328"/>
      <c r="X135" s="328"/>
      <c r="Y135" s="328"/>
      <c r="Z135" s="328"/>
      <c r="AA135" s="328"/>
      <c r="AB135" s="328"/>
      <c r="AC135" s="328"/>
      <c r="AD135" s="328"/>
      <c r="AE135" s="328"/>
      <c r="AF135" s="328"/>
      <c r="AG135" s="328"/>
      <c r="AH135" s="328"/>
      <c r="AI135" s="328"/>
      <c r="AJ135" s="328"/>
      <c r="AK135" s="328"/>
      <c r="AL135" s="328"/>
      <c r="AM135" s="328"/>
      <c r="AN135" s="328"/>
      <c r="AO135" s="328"/>
      <c r="AP135" s="328"/>
      <c r="AQ135" s="328"/>
      <c r="AR135" s="328"/>
      <c r="AS135" s="328"/>
      <c r="AT135" s="328"/>
      <c r="AU135" s="328"/>
      <c r="AV135" s="328"/>
      <c r="AW135" s="328"/>
      <c r="AX135" s="328"/>
      <c r="AY135" s="328"/>
      <c r="AZ135" s="328"/>
      <c r="BA135" s="328"/>
      <c r="BB135" s="328"/>
      <c r="BC135" s="3"/>
      <c r="BD135" s="3"/>
      <c r="BE135" s="3"/>
    </row>
    <row r="136" spans="1:57" ht="19.5" hidden="1" customHeight="1" x14ac:dyDescent="0.3">
      <c r="A136" s="3"/>
      <c r="B136" s="3"/>
      <c r="C136" s="328"/>
      <c r="D136" s="8"/>
      <c r="E136" s="8"/>
      <c r="F136" s="8"/>
      <c r="G136" s="328"/>
      <c r="H136" s="328"/>
      <c r="I136" s="8"/>
      <c r="J136" s="8"/>
      <c r="K136" s="8"/>
      <c r="L136" s="328"/>
      <c r="M136" s="328"/>
      <c r="N136" s="328"/>
      <c r="O136" s="328"/>
      <c r="P136" s="328"/>
      <c r="Q136" s="328"/>
      <c r="R136" s="328"/>
      <c r="S136" s="328"/>
      <c r="T136" s="328"/>
      <c r="U136" s="328"/>
      <c r="V136" s="328"/>
      <c r="W136" s="328"/>
      <c r="X136" s="328"/>
      <c r="Y136" s="328"/>
      <c r="Z136" s="328"/>
      <c r="AA136" s="328"/>
      <c r="AB136" s="328"/>
      <c r="AC136" s="328"/>
      <c r="AD136" s="328"/>
      <c r="AE136" s="328"/>
      <c r="AF136" s="328"/>
      <c r="AG136" s="328"/>
      <c r="AH136" s="328"/>
      <c r="AI136" s="328"/>
      <c r="AJ136" s="328"/>
      <c r="AK136" s="328"/>
      <c r="AL136" s="328"/>
      <c r="AM136" s="328"/>
      <c r="AN136" s="328"/>
      <c r="AO136" s="328"/>
      <c r="AP136" s="328"/>
      <c r="AQ136" s="328"/>
      <c r="AR136" s="328"/>
      <c r="AS136" s="328"/>
      <c r="AT136" s="328"/>
      <c r="AU136" s="328"/>
      <c r="AV136" s="328"/>
      <c r="AW136" s="328"/>
      <c r="AX136" s="328"/>
      <c r="AY136" s="328"/>
      <c r="AZ136" s="328"/>
      <c r="BA136" s="328"/>
      <c r="BB136" s="328"/>
      <c r="BC136" s="3"/>
      <c r="BD136" s="3"/>
      <c r="BE136" s="3"/>
    </row>
    <row r="137" spans="1:57" ht="19.5" hidden="1" customHeight="1" x14ac:dyDescent="0.3">
      <c r="A137" s="3"/>
      <c r="B137" s="3"/>
      <c r="C137" s="328"/>
      <c r="D137" s="8"/>
      <c r="E137" s="8"/>
      <c r="F137" s="8"/>
      <c r="G137" s="328"/>
      <c r="H137" s="328"/>
      <c r="I137" s="8"/>
      <c r="J137" s="8"/>
      <c r="K137" s="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28"/>
      <c r="AB137" s="328"/>
      <c r="AC137" s="328"/>
      <c r="AD137" s="328"/>
      <c r="AE137" s="328"/>
      <c r="AF137" s="328"/>
      <c r="AG137" s="328"/>
      <c r="AH137" s="328"/>
      <c r="AI137" s="328"/>
      <c r="AJ137" s="328"/>
      <c r="AK137" s="328"/>
      <c r="AL137" s="328"/>
      <c r="AM137" s="328"/>
      <c r="AN137" s="328"/>
      <c r="AO137" s="328"/>
      <c r="AP137" s="328"/>
      <c r="AQ137" s="328"/>
      <c r="AR137" s="328"/>
      <c r="AS137" s="328"/>
      <c r="AT137" s="328"/>
      <c r="AU137" s="328"/>
      <c r="AV137" s="328"/>
      <c r="AW137" s="328"/>
      <c r="AX137" s="328"/>
      <c r="AY137" s="328"/>
      <c r="AZ137" s="328"/>
      <c r="BA137" s="328"/>
      <c r="BB137" s="328"/>
      <c r="BC137" s="3"/>
      <c r="BD137" s="3"/>
      <c r="BE137" s="3"/>
    </row>
    <row r="138" spans="1:57" ht="19.5" hidden="1" customHeight="1" x14ac:dyDescent="0.3">
      <c r="A138" s="3"/>
      <c r="B138" s="3"/>
      <c r="C138" s="328"/>
      <c r="D138" s="8"/>
      <c r="E138" s="8"/>
      <c r="F138" s="8"/>
      <c r="G138" s="328"/>
      <c r="H138" s="328"/>
      <c r="I138" s="8"/>
      <c r="J138" s="8"/>
      <c r="K138" s="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28"/>
      <c r="AB138" s="328"/>
      <c r="AC138" s="328"/>
      <c r="AD138" s="328"/>
      <c r="AE138" s="328"/>
      <c r="AF138" s="328"/>
      <c r="AG138" s="328"/>
      <c r="AH138" s="328"/>
      <c r="AI138" s="328"/>
      <c r="AJ138" s="328"/>
      <c r="AK138" s="328"/>
      <c r="AL138" s="328"/>
      <c r="AM138" s="328"/>
      <c r="AN138" s="328"/>
      <c r="AO138" s="328"/>
      <c r="AP138" s="328"/>
      <c r="AQ138" s="328"/>
      <c r="AR138" s="328"/>
      <c r="AS138" s="328"/>
      <c r="AT138" s="328"/>
      <c r="AU138" s="328"/>
      <c r="AV138" s="328"/>
      <c r="AW138" s="328"/>
      <c r="AX138" s="328"/>
      <c r="AY138" s="328"/>
      <c r="AZ138" s="328"/>
      <c r="BA138" s="328"/>
      <c r="BB138" s="328"/>
      <c r="BC138" s="3"/>
      <c r="BD138" s="3"/>
      <c r="BE138" s="3"/>
    </row>
    <row r="139" spans="1:57" ht="19.5" hidden="1" customHeight="1" x14ac:dyDescent="0.3">
      <c r="A139" s="3"/>
      <c r="B139" s="3"/>
      <c r="C139" s="328"/>
      <c r="D139" s="8"/>
      <c r="E139" s="8"/>
      <c r="F139" s="8"/>
      <c r="G139" s="328"/>
      <c r="H139" s="328"/>
      <c r="I139" s="8"/>
      <c r="J139" s="8"/>
      <c r="K139" s="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328"/>
      <c r="Z139" s="328"/>
      <c r="AA139" s="328"/>
      <c r="AB139" s="328"/>
      <c r="AC139" s="328"/>
      <c r="AD139" s="328"/>
      <c r="AE139" s="328"/>
      <c r="AF139" s="328"/>
      <c r="AG139" s="328"/>
      <c r="AH139" s="328"/>
      <c r="AI139" s="328"/>
      <c r="AJ139" s="328"/>
      <c r="AK139" s="328"/>
      <c r="AL139" s="328"/>
      <c r="AM139" s="328"/>
      <c r="AN139" s="328"/>
      <c r="AO139" s="328"/>
      <c r="AP139" s="328"/>
      <c r="AQ139" s="328"/>
      <c r="AR139" s="328"/>
      <c r="AS139" s="328"/>
      <c r="AT139" s="328"/>
      <c r="AU139" s="328"/>
      <c r="AV139" s="328"/>
      <c r="AW139" s="328"/>
      <c r="AX139" s="328"/>
      <c r="AY139" s="328"/>
      <c r="AZ139" s="328"/>
      <c r="BA139" s="328"/>
      <c r="BB139" s="328"/>
      <c r="BC139" s="3"/>
      <c r="BD139" s="3"/>
      <c r="BE139" s="3"/>
    </row>
    <row r="140" spans="1:57" ht="19.5" hidden="1" customHeight="1" x14ac:dyDescent="0.3">
      <c r="A140" s="3"/>
      <c r="B140" s="3"/>
      <c r="C140" s="328"/>
      <c r="D140" s="8"/>
      <c r="E140" s="8"/>
      <c r="F140" s="8"/>
      <c r="G140" s="328"/>
      <c r="H140" s="328"/>
      <c r="I140" s="8"/>
      <c r="J140" s="8"/>
      <c r="K140" s="8"/>
      <c r="L140" s="328"/>
      <c r="M140" s="328"/>
      <c r="N140" s="328"/>
      <c r="O140" s="328"/>
      <c r="P140" s="328"/>
      <c r="Q140" s="328"/>
      <c r="R140" s="328"/>
      <c r="S140" s="328"/>
      <c r="T140" s="328"/>
      <c r="U140" s="328"/>
      <c r="V140" s="328"/>
      <c r="W140" s="328"/>
      <c r="X140" s="328"/>
      <c r="Y140" s="328"/>
      <c r="Z140" s="328"/>
      <c r="AA140" s="328"/>
      <c r="AB140" s="328"/>
      <c r="AC140" s="328"/>
      <c r="AD140" s="328"/>
      <c r="AE140" s="328"/>
      <c r="AF140" s="328"/>
      <c r="AG140" s="328"/>
      <c r="AH140" s="328"/>
      <c r="AI140" s="328"/>
      <c r="AJ140" s="328"/>
      <c r="AK140" s="328"/>
      <c r="AL140" s="328"/>
      <c r="AM140" s="328"/>
      <c r="AN140" s="328"/>
      <c r="AO140" s="328"/>
      <c r="AP140" s="328"/>
      <c r="AQ140" s="328"/>
      <c r="AR140" s="328"/>
      <c r="AS140" s="328"/>
      <c r="AT140" s="328"/>
      <c r="AU140" s="328"/>
      <c r="AV140" s="328"/>
      <c r="AW140" s="328"/>
      <c r="AX140" s="328"/>
      <c r="AY140" s="328"/>
      <c r="AZ140" s="328"/>
      <c r="BA140" s="328"/>
      <c r="BB140" s="328"/>
      <c r="BC140" s="3"/>
      <c r="BD140" s="3"/>
      <c r="BE140" s="3"/>
    </row>
    <row r="141" spans="1:57" ht="19.5" hidden="1" customHeight="1" x14ac:dyDescent="0.3">
      <c r="A141" s="3"/>
      <c r="B141" s="3"/>
      <c r="C141" s="328"/>
      <c r="D141" s="8"/>
      <c r="E141" s="8"/>
      <c r="F141" s="8"/>
      <c r="G141" s="328"/>
      <c r="H141" s="328"/>
      <c r="I141" s="8"/>
      <c r="J141" s="8"/>
      <c r="K141" s="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328"/>
      <c r="Z141" s="328"/>
      <c r="AA141" s="328"/>
      <c r="AB141" s="328"/>
      <c r="AC141" s="328"/>
      <c r="AD141" s="328"/>
      <c r="AE141" s="328"/>
      <c r="AF141" s="328"/>
      <c r="AG141" s="328"/>
      <c r="AH141" s="328"/>
      <c r="AI141" s="328"/>
      <c r="AJ141" s="328"/>
      <c r="AK141" s="328"/>
      <c r="AL141" s="328"/>
      <c r="AM141" s="328"/>
      <c r="AN141" s="328"/>
      <c r="AO141" s="328"/>
      <c r="AP141" s="328"/>
      <c r="AQ141" s="328"/>
      <c r="AR141" s="328"/>
      <c r="AS141" s="328"/>
      <c r="AT141" s="328"/>
      <c r="AU141" s="328"/>
      <c r="AV141" s="328"/>
      <c r="AW141" s="328"/>
      <c r="AX141" s="328"/>
      <c r="AY141" s="328"/>
      <c r="AZ141" s="328"/>
      <c r="BA141" s="328"/>
      <c r="BB141" s="328"/>
      <c r="BC141" s="3"/>
      <c r="BD141" s="3"/>
      <c r="BE141" s="3"/>
    </row>
    <row r="142" spans="1:57" ht="19.5" hidden="1" customHeight="1" x14ac:dyDescent="0.3">
      <c r="A142" s="3"/>
      <c r="B142" s="3"/>
      <c r="C142" s="328"/>
      <c r="D142" s="8"/>
      <c r="E142" s="8"/>
      <c r="F142" s="8"/>
      <c r="G142" s="328"/>
      <c r="H142" s="328"/>
      <c r="I142" s="8"/>
      <c r="J142" s="8"/>
      <c r="K142" s="8"/>
      <c r="L142" s="328"/>
      <c r="M142" s="328"/>
      <c r="N142" s="328"/>
      <c r="O142" s="328"/>
      <c r="P142" s="328"/>
      <c r="Q142" s="328"/>
      <c r="R142" s="328"/>
      <c r="S142" s="328"/>
      <c r="T142" s="328"/>
      <c r="U142" s="328"/>
      <c r="V142" s="328"/>
      <c r="W142" s="328"/>
      <c r="X142" s="328"/>
      <c r="Y142" s="328"/>
      <c r="Z142" s="328"/>
      <c r="AA142" s="328"/>
      <c r="AB142" s="328"/>
      <c r="AC142" s="328"/>
      <c r="AD142" s="328"/>
      <c r="AE142" s="328"/>
      <c r="AF142" s="328"/>
      <c r="AG142" s="328"/>
      <c r="AH142" s="328"/>
      <c r="AI142" s="328"/>
      <c r="AJ142" s="328"/>
      <c r="AK142" s="328"/>
      <c r="AL142" s="328"/>
      <c r="AM142" s="328"/>
      <c r="AN142" s="328"/>
      <c r="AO142" s="328"/>
      <c r="AP142" s="328"/>
      <c r="AQ142" s="328"/>
      <c r="AR142" s="328"/>
      <c r="AS142" s="328"/>
      <c r="AT142" s="328"/>
      <c r="AU142" s="328"/>
      <c r="AV142" s="328"/>
      <c r="AW142" s="328"/>
      <c r="AX142" s="328"/>
      <c r="AY142" s="328"/>
      <c r="AZ142" s="328"/>
      <c r="BA142" s="328"/>
      <c r="BB142" s="328"/>
      <c r="BC142" s="3"/>
      <c r="BD142" s="3"/>
      <c r="BE142" s="3"/>
    </row>
    <row r="143" spans="1:57" ht="19.5" hidden="1" customHeight="1" x14ac:dyDescent="0.3">
      <c r="A143" s="3"/>
      <c r="B143" s="3"/>
      <c r="C143" s="328"/>
      <c r="D143" s="8"/>
      <c r="E143" s="8"/>
      <c r="F143" s="8"/>
      <c r="G143" s="328"/>
      <c r="H143" s="328"/>
      <c r="I143" s="8"/>
      <c r="J143" s="8"/>
      <c r="K143" s="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28"/>
      <c r="AB143" s="328"/>
      <c r="AC143" s="328"/>
      <c r="AD143" s="328"/>
      <c r="AE143" s="328"/>
      <c r="AF143" s="328"/>
      <c r="AG143" s="328"/>
      <c r="AH143" s="328"/>
      <c r="AI143" s="328"/>
      <c r="AJ143" s="328"/>
      <c r="AK143" s="328"/>
      <c r="AL143" s="328"/>
      <c r="AM143" s="328"/>
      <c r="AN143" s="328"/>
      <c r="AO143" s="328"/>
      <c r="AP143" s="328"/>
      <c r="AQ143" s="328"/>
      <c r="AR143" s="328"/>
      <c r="AS143" s="328"/>
      <c r="AT143" s="328"/>
      <c r="AU143" s="328"/>
      <c r="AV143" s="328"/>
      <c r="AW143" s="328"/>
      <c r="AX143" s="328"/>
      <c r="AY143" s="328"/>
      <c r="AZ143" s="328"/>
      <c r="BA143" s="328"/>
      <c r="BB143" s="328"/>
      <c r="BC143" s="3"/>
      <c r="BD143" s="3"/>
      <c r="BE143" s="3"/>
    </row>
    <row r="144" spans="1:57" ht="19.5" hidden="1" customHeight="1" x14ac:dyDescent="0.3">
      <c r="A144" s="3"/>
      <c r="B144" s="3"/>
      <c r="C144" s="328"/>
      <c r="D144" s="8"/>
      <c r="E144" s="8"/>
      <c r="F144" s="8"/>
      <c r="G144" s="328"/>
      <c r="H144" s="328"/>
      <c r="I144" s="8"/>
      <c r="J144" s="8"/>
      <c r="K144" s="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28"/>
      <c r="AB144" s="328"/>
      <c r="AC144" s="328"/>
      <c r="AD144" s="328"/>
      <c r="AE144" s="328"/>
      <c r="AF144" s="328"/>
      <c r="AG144" s="328"/>
      <c r="AH144" s="328"/>
      <c r="AI144" s="328"/>
      <c r="AJ144" s="328"/>
      <c r="AK144" s="328"/>
      <c r="AL144" s="328"/>
      <c r="AM144" s="328"/>
      <c r="AN144" s="328"/>
      <c r="AO144" s="328"/>
      <c r="AP144" s="328"/>
      <c r="AQ144" s="328"/>
      <c r="AR144" s="328"/>
      <c r="AS144" s="328"/>
      <c r="AT144" s="328"/>
      <c r="AU144" s="328"/>
      <c r="AV144" s="328"/>
      <c r="AW144" s="328"/>
      <c r="AX144" s="328"/>
      <c r="AY144" s="328"/>
      <c r="AZ144" s="328"/>
      <c r="BA144" s="328"/>
      <c r="BB144" s="328"/>
      <c r="BC144" s="3"/>
      <c r="BD144" s="3"/>
      <c r="BE144" s="3"/>
    </row>
    <row r="145" spans="1:57" ht="19.5" hidden="1" customHeight="1" x14ac:dyDescent="0.3">
      <c r="A145" s="3"/>
      <c r="B145" s="3"/>
      <c r="C145" s="328"/>
      <c r="D145" s="8"/>
      <c r="E145" s="8"/>
      <c r="F145" s="8"/>
      <c r="G145" s="328"/>
      <c r="H145" s="328"/>
      <c r="I145" s="8"/>
      <c r="J145" s="8"/>
      <c r="K145" s="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  <c r="AA145" s="328"/>
      <c r="AB145" s="328"/>
      <c r="AC145" s="328"/>
      <c r="AD145" s="328"/>
      <c r="AE145" s="328"/>
      <c r="AF145" s="328"/>
      <c r="AG145" s="328"/>
      <c r="AH145" s="328"/>
      <c r="AI145" s="328"/>
      <c r="AJ145" s="328"/>
      <c r="AK145" s="328"/>
      <c r="AL145" s="328"/>
      <c r="AM145" s="328"/>
      <c r="AN145" s="328"/>
      <c r="AO145" s="328"/>
      <c r="AP145" s="328"/>
      <c r="AQ145" s="328"/>
      <c r="AR145" s="328"/>
      <c r="AS145" s="328"/>
      <c r="AT145" s="328"/>
      <c r="AU145" s="328"/>
      <c r="AV145" s="328"/>
      <c r="AW145" s="328"/>
      <c r="AX145" s="328"/>
      <c r="AY145" s="328"/>
      <c r="AZ145" s="328"/>
      <c r="BA145" s="328"/>
      <c r="BB145" s="328"/>
      <c r="BC145" s="3"/>
      <c r="BD145" s="3"/>
      <c r="BE14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S64"/>
  <sheetViews>
    <sheetView topLeftCell="B4" workbookViewId="0"/>
  </sheetViews>
  <sheetFormatPr baseColWidth="10" defaultColWidth="8.88671875" defaultRowHeight="14.4" x14ac:dyDescent="0.3"/>
  <cols>
    <col min="1" max="1" width="14.109375" style="17" hidden="1" bestFit="1" customWidth="1"/>
    <col min="2" max="2" width="50.88671875" style="17" bestFit="1" customWidth="1"/>
    <col min="3" max="3" width="4.88671875" style="17" bestFit="1" customWidth="1"/>
    <col min="4" max="4" width="1.88671875" style="17" bestFit="1" customWidth="1"/>
    <col min="5" max="6" width="10.5546875" style="18" bestFit="1" customWidth="1"/>
    <col min="7" max="7" width="12.5546875" style="18" bestFit="1" customWidth="1"/>
    <col min="8" max="8" width="1.88671875" style="17" bestFit="1" customWidth="1"/>
    <col min="9" max="9" width="11.88671875" style="488" bestFit="1" customWidth="1"/>
    <col min="10" max="12" width="10.88671875" style="488" bestFit="1" customWidth="1"/>
    <col min="13" max="20" width="10.88671875" style="482" bestFit="1" customWidth="1"/>
    <col min="21" max="21" width="1.88671875" style="17" bestFit="1" customWidth="1"/>
    <col min="22" max="30" width="14.109375" style="482" hidden="1" bestFit="1" customWidth="1"/>
    <col min="31" max="31" width="2.5546875" style="482" bestFit="1" customWidth="1"/>
    <col min="32" max="32" width="12.44140625" style="482" bestFit="1" customWidth="1"/>
    <col min="33" max="33" width="13.5546875" style="482" bestFit="1" customWidth="1"/>
    <col min="34" max="34" width="14.5546875" style="482" bestFit="1" customWidth="1"/>
    <col min="35" max="35" width="3.109375" style="17" bestFit="1" customWidth="1"/>
    <col min="36" max="36" width="14.109375" style="488" bestFit="1" customWidth="1"/>
    <col min="37" max="37" width="15.5546875" style="488" bestFit="1" customWidth="1"/>
    <col min="38" max="38" width="8.88671875" style="17" bestFit="1" customWidth="1"/>
    <col min="39" max="45" width="14.109375" style="17" bestFit="1" customWidth="1"/>
  </cols>
  <sheetData>
    <row r="1" spans="1:45" ht="19.5" hidden="1" customHeight="1" x14ac:dyDescent="0.3">
      <c r="A1" s="3"/>
      <c r="B1" s="191" t="s">
        <v>510</v>
      </c>
      <c r="C1" s="3"/>
      <c r="D1" s="3"/>
      <c r="E1" s="433">
        <v>2020</v>
      </c>
      <c r="F1" s="433">
        <v>2021</v>
      </c>
      <c r="G1" s="116">
        <v>2022</v>
      </c>
      <c r="H1" s="3"/>
      <c r="I1" s="116">
        <v>2021</v>
      </c>
      <c r="J1" s="116">
        <v>2021</v>
      </c>
      <c r="K1" s="116">
        <v>2021</v>
      </c>
      <c r="L1" s="116">
        <v>2021</v>
      </c>
      <c r="M1" s="116">
        <v>2021</v>
      </c>
      <c r="N1" s="116">
        <v>2021</v>
      </c>
      <c r="O1" s="116">
        <v>2021</v>
      </c>
      <c r="P1" s="116">
        <v>2021</v>
      </c>
      <c r="Q1" s="116">
        <v>2021</v>
      </c>
      <c r="R1" s="116">
        <v>2021</v>
      </c>
      <c r="S1" s="116">
        <v>2021</v>
      </c>
      <c r="T1" s="116">
        <v>2021</v>
      </c>
      <c r="U1" s="3"/>
      <c r="V1" s="116">
        <v>2021</v>
      </c>
      <c r="W1" s="116">
        <v>2021</v>
      </c>
      <c r="X1" s="116">
        <v>2021</v>
      </c>
      <c r="Y1" s="116">
        <v>2021</v>
      </c>
      <c r="Z1" s="116">
        <v>2021</v>
      </c>
      <c r="AA1" s="116">
        <v>2021</v>
      </c>
      <c r="AB1" s="116">
        <v>2021</v>
      </c>
      <c r="AC1" s="116">
        <v>2021</v>
      </c>
      <c r="AD1" s="116">
        <v>2021</v>
      </c>
      <c r="AE1" s="63"/>
      <c r="AF1" s="116">
        <v>2021</v>
      </c>
      <c r="AG1" s="116">
        <v>2022</v>
      </c>
      <c r="AH1" s="116">
        <v>2021</v>
      </c>
      <c r="AI1" s="3"/>
      <c r="AJ1" s="162">
        <v>2020</v>
      </c>
      <c r="AK1" s="116">
        <v>2022</v>
      </c>
      <c r="AL1" s="3"/>
      <c r="AM1" s="3"/>
      <c r="AN1" s="3"/>
      <c r="AO1" s="3"/>
      <c r="AP1" s="3"/>
      <c r="AQ1" s="3"/>
      <c r="AR1" s="3"/>
      <c r="AS1" s="3"/>
    </row>
    <row r="2" spans="1:45" ht="19.5" hidden="1" customHeight="1" x14ac:dyDescent="0.3">
      <c r="A2" s="3"/>
      <c r="B2" s="191" t="s">
        <v>511</v>
      </c>
      <c r="C2" s="3"/>
      <c r="D2" s="3"/>
      <c r="E2" s="433" t="s">
        <v>30</v>
      </c>
      <c r="F2" s="433" t="str">
        <f ca="1">MONTH(TODAY())-1&amp;" YTD"</f>
        <v>3 YTD</v>
      </c>
      <c r="G2" s="433" t="s">
        <v>30</v>
      </c>
      <c r="H2" s="3"/>
      <c r="I2" s="116">
        <v>1</v>
      </c>
      <c r="J2" s="116">
        <v>2</v>
      </c>
      <c r="K2" s="116">
        <v>3</v>
      </c>
      <c r="L2" s="116">
        <v>4</v>
      </c>
      <c r="M2" s="116">
        <v>5</v>
      </c>
      <c r="N2" s="116">
        <v>6</v>
      </c>
      <c r="O2" s="116">
        <v>7</v>
      </c>
      <c r="P2" s="116">
        <v>8</v>
      </c>
      <c r="Q2" s="116">
        <v>9</v>
      </c>
      <c r="R2" s="116">
        <v>10</v>
      </c>
      <c r="S2" s="116">
        <v>11</v>
      </c>
      <c r="T2" s="116">
        <v>12</v>
      </c>
      <c r="U2" s="3"/>
      <c r="V2" s="116">
        <v>4</v>
      </c>
      <c r="W2" s="116">
        <v>5</v>
      </c>
      <c r="X2" s="116">
        <v>6</v>
      </c>
      <c r="Y2" s="116">
        <v>7</v>
      </c>
      <c r="Z2" s="116">
        <v>8</v>
      </c>
      <c r="AA2" s="116">
        <v>9</v>
      </c>
      <c r="AB2" s="116">
        <v>10</v>
      </c>
      <c r="AC2" s="116">
        <v>11</v>
      </c>
      <c r="AD2" s="116">
        <v>12</v>
      </c>
      <c r="AE2" s="63"/>
      <c r="AF2" s="434" t="str">
        <f ca="1">MONTH(TODAY())-1&amp;" YTD"</f>
        <v>3 YTD</v>
      </c>
      <c r="AG2" s="434" t="str">
        <f ca="1">MONTH(TODAY())-1&amp;" YTD"</f>
        <v>3 YTD</v>
      </c>
      <c r="AH2" s="434" t="str">
        <f ca="1">MONTH(TODAY())-1&amp;" YTD"</f>
        <v>3 YTD</v>
      </c>
      <c r="AI2" s="3"/>
      <c r="AJ2" s="435" t="s">
        <v>30</v>
      </c>
      <c r="AK2" s="435" t="s">
        <v>30</v>
      </c>
      <c r="AL2" s="3"/>
      <c r="AM2" s="3"/>
      <c r="AN2" s="3"/>
      <c r="AO2" s="3"/>
      <c r="AP2" s="3"/>
      <c r="AQ2" s="3"/>
      <c r="AR2" s="3"/>
      <c r="AS2" s="3"/>
    </row>
    <row r="3" spans="1:45" ht="19.5" hidden="1" customHeight="1" x14ac:dyDescent="0.3">
      <c r="A3" s="3"/>
      <c r="B3" s="191" t="s">
        <v>512</v>
      </c>
      <c r="C3" s="3"/>
      <c r="D3" s="3"/>
      <c r="E3" s="433">
        <v>12</v>
      </c>
      <c r="F3" s="433">
        <f ca="1">LEFT(F$2,2)*1</f>
        <v>3</v>
      </c>
      <c r="G3" s="433">
        <v>12</v>
      </c>
      <c r="H3" s="3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3"/>
      <c r="V3" s="116"/>
      <c r="W3" s="116"/>
      <c r="X3" s="116"/>
      <c r="Y3" s="116"/>
      <c r="Z3" s="116"/>
      <c r="AA3" s="116"/>
      <c r="AB3" s="116"/>
      <c r="AC3" s="116"/>
      <c r="AD3" s="116"/>
      <c r="AE3" s="63"/>
      <c r="AF3" s="116"/>
      <c r="AG3" s="116"/>
      <c r="AH3" s="436"/>
      <c r="AI3" s="3"/>
      <c r="AJ3" s="483"/>
      <c r="AK3" s="116"/>
      <c r="AL3" s="3"/>
      <c r="AM3" s="3"/>
      <c r="AN3" s="3"/>
      <c r="AO3" s="3"/>
      <c r="AP3" s="3"/>
      <c r="AQ3" s="3"/>
      <c r="AR3" s="3"/>
      <c r="AS3" s="3"/>
    </row>
    <row r="4" spans="1:45" ht="19.5" customHeight="1" x14ac:dyDescent="0.3">
      <c r="A4" s="3"/>
      <c r="B4" s="3"/>
      <c r="C4" s="3"/>
      <c r="D4" s="3"/>
      <c r="E4" s="8"/>
      <c r="F4" s="8"/>
      <c r="G4" s="8"/>
      <c r="H4" s="3"/>
      <c r="I4" s="483"/>
      <c r="J4" s="483"/>
      <c r="K4" s="483"/>
      <c r="L4" s="483"/>
      <c r="M4" s="436"/>
      <c r="N4" s="436"/>
      <c r="O4" s="436"/>
      <c r="P4" s="436"/>
      <c r="Q4" s="436"/>
      <c r="R4" s="436"/>
      <c r="S4" s="436"/>
      <c r="T4" s="436"/>
      <c r="U4" s="3"/>
      <c r="V4" s="436"/>
      <c r="W4" s="436"/>
      <c r="X4" s="436"/>
      <c r="Y4" s="436"/>
      <c r="Z4" s="436"/>
      <c r="AA4" s="436"/>
      <c r="AB4" s="436"/>
      <c r="AC4" s="436"/>
      <c r="AD4" s="436"/>
      <c r="AE4" s="436"/>
      <c r="AF4" s="436"/>
      <c r="AG4" s="436"/>
      <c r="AH4" s="436"/>
      <c r="AI4" s="3"/>
      <c r="AJ4" s="483"/>
      <c r="AK4" s="483"/>
      <c r="AL4" s="3"/>
      <c r="AM4" s="3"/>
      <c r="AN4" s="3"/>
      <c r="AO4" s="3"/>
      <c r="AP4" s="3"/>
      <c r="AQ4" s="3"/>
      <c r="AR4" s="3"/>
      <c r="AS4" s="3"/>
    </row>
    <row r="5" spans="1:45" ht="19.5" customHeight="1" x14ac:dyDescent="0.3">
      <c r="A5" s="3"/>
      <c r="B5" s="440">
        <f ca="1">YEAR(TODAY())</f>
        <v>2022</v>
      </c>
      <c r="C5" s="440">
        <f ca="1">MONTH(TODAY())</f>
        <v>4</v>
      </c>
      <c r="D5" s="3"/>
      <c r="E5" s="8"/>
      <c r="F5" s="8"/>
      <c r="G5" s="8"/>
      <c r="H5" s="3"/>
      <c r="I5" s="483"/>
      <c r="J5" s="483"/>
      <c r="K5" s="483"/>
      <c r="L5" s="483"/>
      <c r="M5" s="436"/>
      <c r="N5" s="436"/>
      <c r="O5" s="436"/>
      <c r="P5" s="436"/>
      <c r="Q5" s="436"/>
      <c r="R5" s="436"/>
      <c r="S5" s="436"/>
      <c r="T5" s="436"/>
      <c r="U5" s="3"/>
      <c r="V5" s="436"/>
      <c r="W5" s="436"/>
      <c r="X5" s="436"/>
      <c r="Y5" s="436"/>
      <c r="Z5" s="436"/>
      <c r="AA5" s="436"/>
      <c r="AB5" s="436"/>
      <c r="AC5" s="436"/>
      <c r="AD5" s="436"/>
      <c r="AE5" s="436"/>
      <c r="AF5" s="436"/>
      <c r="AG5" s="436"/>
      <c r="AH5" s="436"/>
      <c r="AI5" s="3"/>
      <c r="AJ5" s="483"/>
      <c r="AK5" s="483"/>
      <c r="AL5" s="3"/>
      <c r="AM5" s="3"/>
      <c r="AN5" s="3"/>
      <c r="AO5" s="3"/>
      <c r="AP5" s="3"/>
      <c r="AQ5" s="3"/>
      <c r="AR5" s="3"/>
      <c r="AS5" s="3"/>
    </row>
    <row r="6" spans="1:45" ht="19.5" customHeight="1" x14ac:dyDescent="0.3">
      <c r="A6" s="3"/>
      <c r="B6" s="30"/>
      <c r="C6" s="30"/>
      <c r="D6" s="3"/>
      <c r="E6" s="441" t="s">
        <v>513</v>
      </c>
      <c r="F6" s="442" t="s">
        <v>514</v>
      </c>
      <c r="G6" s="443" t="s">
        <v>575</v>
      </c>
      <c r="H6" s="3"/>
      <c r="I6" s="444" t="str">
        <f>TEXT(I$2,"00")&amp;" "&amp;I$1</f>
        <v>01 2021</v>
      </c>
      <c r="J6" s="444" t="str">
        <f>TEXT(J$2,"00")&amp;" "&amp;J$1</f>
        <v>02 2021</v>
      </c>
      <c r="K6" s="444" t="str">
        <f>TEXT(K$2,"00")&amp;" "&amp;K$1</f>
        <v>03 2021</v>
      </c>
      <c r="L6" s="444" t="str">
        <f>TEXT(L$2,"00")&amp;" "&amp;L$1</f>
        <v>04 2021</v>
      </c>
      <c r="M6" s="444" t="str">
        <f>TEXT(M$2,"00")&amp;" "&amp;M$1</f>
        <v>05 2021</v>
      </c>
      <c r="N6" s="445" t="s">
        <v>515</v>
      </c>
      <c r="O6" s="445" t="s">
        <v>516</v>
      </c>
      <c r="P6" s="445" t="s">
        <v>517</v>
      </c>
      <c r="Q6" s="445" t="s">
        <v>518</v>
      </c>
      <c r="R6" s="445" t="s">
        <v>519</v>
      </c>
      <c r="S6" s="445" t="s">
        <v>520</v>
      </c>
      <c r="T6" s="445" t="s">
        <v>521</v>
      </c>
      <c r="U6" s="3"/>
      <c r="V6" s="448" t="s">
        <v>585</v>
      </c>
      <c r="W6" s="448" t="s">
        <v>522</v>
      </c>
      <c r="X6" s="448" t="s">
        <v>523</v>
      </c>
      <c r="Y6" s="448" t="s">
        <v>524</v>
      </c>
      <c r="Z6" s="448" t="s">
        <v>525</v>
      </c>
      <c r="AA6" s="448" t="s">
        <v>526</v>
      </c>
      <c r="AB6" s="448" t="s">
        <v>519</v>
      </c>
      <c r="AC6" s="448" t="s">
        <v>520</v>
      </c>
      <c r="AD6" s="448" t="s">
        <v>521</v>
      </c>
      <c r="AE6" s="449"/>
      <c r="AF6" s="444" t="str">
        <f ca="1">AF$2&amp;" "&amp;AF$1</f>
        <v>3 YTD 2021</v>
      </c>
      <c r="AG6" s="450" t="str">
        <f ca="1">AG$2&amp;" "&amp;AG$1</f>
        <v>3 YTD 2022</v>
      </c>
      <c r="AH6" s="451" t="str">
        <f ca="1">AH$2&amp;" "&amp;AH$1</f>
        <v>3 YTD 2021</v>
      </c>
      <c r="AI6" s="3"/>
      <c r="AJ6" s="452" t="str">
        <f>AJ$2&amp;" "&amp;AJ$1</f>
        <v>12 YTD 2020</v>
      </c>
      <c r="AK6" s="450" t="str">
        <f>AK$2&amp;" "&amp;AK$1</f>
        <v>12 YTD 2022</v>
      </c>
      <c r="AL6" s="3"/>
      <c r="AM6" s="3"/>
      <c r="AN6" s="3"/>
      <c r="AO6" s="3"/>
      <c r="AP6" s="3"/>
      <c r="AQ6" s="3"/>
      <c r="AR6" s="3"/>
      <c r="AS6" s="3"/>
    </row>
    <row r="7" spans="1:45" ht="19.5" customHeight="1" x14ac:dyDescent="0.3">
      <c r="A7" s="3"/>
      <c r="B7" s="3"/>
      <c r="C7" s="30" t="s">
        <v>527</v>
      </c>
      <c r="D7" s="3"/>
      <c r="E7" s="441" t="s">
        <v>40</v>
      </c>
      <c r="F7" s="442" t="s">
        <v>40</v>
      </c>
      <c r="G7" s="443" t="s">
        <v>441</v>
      </c>
      <c r="H7" s="3"/>
      <c r="I7" s="446" t="s">
        <v>40</v>
      </c>
      <c r="J7" s="446" t="s">
        <v>40</v>
      </c>
      <c r="K7" s="446" t="s">
        <v>40</v>
      </c>
      <c r="L7" s="446" t="s">
        <v>40</v>
      </c>
      <c r="M7" s="444" t="s">
        <v>40</v>
      </c>
      <c r="N7" s="445" t="s">
        <v>40</v>
      </c>
      <c r="O7" s="445" t="s">
        <v>40</v>
      </c>
      <c r="P7" s="445" t="s">
        <v>40</v>
      </c>
      <c r="Q7" s="445" t="s">
        <v>40</v>
      </c>
      <c r="R7" s="445" t="s">
        <v>40</v>
      </c>
      <c r="S7" s="445" t="s">
        <v>40</v>
      </c>
      <c r="T7" s="445" t="s">
        <v>40</v>
      </c>
      <c r="U7" s="3"/>
      <c r="V7" s="448" t="s">
        <v>528</v>
      </c>
      <c r="W7" s="448" t="s">
        <v>528</v>
      </c>
      <c r="X7" s="448" t="s">
        <v>528</v>
      </c>
      <c r="Y7" s="448" t="s">
        <v>528</v>
      </c>
      <c r="Z7" s="448" t="s">
        <v>528</v>
      </c>
      <c r="AA7" s="448" t="s">
        <v>528</v>
      </c>
      <c r="AB7" s="448" t="s">
        <v>528</v>
      </c>
      <c r="AC7" s="448" t="s">
        <v>528</v>
      </c>
      <c r="AD7" s="448" t="s">
        <v>528</v>
      </c>
      <c r="AE7" s="449"/>
      <c r="AF7" s="444" t="s">
        <v>529</v>
      </c>
      <c r="AG7" s="450" t="s">
        <v>530</v>
      </c>
      <c r="AH7" s="451" t="s">
        <v>531</v>
      </c>
      <c r="AI7" s="3"/>
      <c r="AJ7" s="453" t="s">
        <v>529</v>
      </c>
      <c r="AK7" s="454" t="s">
        <v>530</v>
      </c>
      <c r="AL7" s="3"/>
      <c r="AM7" s="3"/>
      <c r="AN7" s="3"/>
      <c r="AO7" s="3"/>
      <c r="AP7" s="3"/>
      <c r="AQ7" s="3"/>
      <c r="AR7" s="3"/>
      <c r="AS7" s="3"/>
    </row>
    <row r="8" spans="1:45" ht="19.5" customHeight="1" x14ac:dyDescent="0.3">
      <c r="A8" s="3"/>
      <c r="B8" s="474" t="s">
        <v>576</v>
      </c>
      <c r="C8" s="63"/>
      <c r="D8" s="3"/>
      <c r="E8" s="456"/>
      <c r="F8" s="456"/>
      <c r="G8" s="457"/>
      <c r="H8" s="3"/>
      <c r="I8" s="457"/>
      <c r="J8" s="457"/>
      <c r="K8" s="457"/>
      <c r="L8" s="457"/>
      <c r="M8" s="457"/>
      <c r="N8" s="456"/>
      <c r="O8" s="456"/>
      <c r="P8" s="456"/>
      <c r="Q8" s="456"/>
      <c r="R8" s="456"/>
      <c r="S8" s="456"/>
      <c r="T8" s="456"/>
      <c r="U8" s="3"/>
      <c r="V8" s="485"/>
      <c r="W8" s="456"/>
      <c r="X8" s="456"/>
      <c r="Y8" s="456"/>
      <c r="Z8" s="456"/>
      <c r="AA8" s="456"/>
      <c r="AB8" s="456"/>
      <c r="AC8" s="456"/>
      <c r="AD8" s="458"/>
      <c r="AE8" s="458"/>
      <c r="AF8" s="459"/>
      <c r="AG8" s="460"/>
      <c r="AH8" s="436"/>
      <c r="AI8" s="3"/>
      <c r="AJ8" s="459"/>
      <c r="AK8" s="461"/>
      <c r="AL8" s="3"/>
      <c r="AM8" s="3"/>
      <c r="AN8" s="3"/>
      <c r="AO8" s="3"/>
      <c r="AP8" s="3"/>
      <c r="AQ8" s="3"/>
      <c r="AR8" s="3"/>
      <c r="AS8" s="3"/>
    </row>
    <row r="9" spans="1:45" ht="19.5" customHeight="1" x14ac:dyDescent="0.3">
      <c r="A9" s="33" t="s">
        <v>305</v>
      </c>
      <c r="B9" s="33" t="s">
        <v>577</v>
      </c>
      <c r="C9" s="191" t="s">
        <v>535</v>
      </c>
      <c r="D9" s="3"/>
      <c r="E9" s="462">
        <f>$AJ9/E$3</f>
        <v>0</v>
      </c>
      <c r="F9" s="462">
        <f ca="1">IFERROR(1/F$3,1)*SUMIFS(Data!$S$3:$S$137,Data!$O$3:$O$137,F$1,Data!$P$3:$P$137,IF(RIGHT(F$2,3)="YTD","&lt;="&amp;LEFT(F$2,2)*1,F$2),Data!$K$3:$K$137,$B9)</f>
        <v>0</v>
      </c>
      <c r="G9" s="462">
        <f>AK9/12</f>
        <v>0</v>
      </c>
      <c r="H9" s="3"/>
      <c r="I9" s="462"/>
      <c r="J9" s="462"/>
      <c r="K9" s="462"/>
      <c r="L9" s="462"/>
      <c r="M9" s="462"/>
      <c r="N9" s="462"/>
      <c r="O9" s="462"/>
      <c r="P9" s="462"/>
      <c r="Q9" s="462"/>
      <c r="R9" s="462"/>
      <c r="S9" s="462"/>
      <c r="T9" s="462"/>
      <c r="U9" s="3"/>
      <c r="V9" s="462">
        <f>G9</f>
        <v>0</v>
      </c>
      <c r="W9" s="462">
        <f t="shared" ref="W9:AD12" si="0">$G9</f>
        <v>0</v>
      </c>
      <c r="X9" s="462">
        <f t="shared" si="0"/>
        <v>0</v>
      </c>
      <c r="Y9" s="462">
        <f t="shared" si="0"/>
        <v>0</v>
      </c>
      <c r="Z9" s="462">
        <f t="shared" si="0"/>
        <v>0</v>
      </c>
      <c r="AA9" s="462">
        <f t="shared" si="0"/>
        <v>0</v>
      </c>
      <c r="AB9" s="462">
        <f t="shared" si="0"/>
        <v>0</v>
      </c>
      <c r="AC9" s="462">
        <f t="shared" si="0"/>
        <v>0</v>
      </c>
      <c r="AD9" s="462">
        <f t="shared" si="0"/>
        <v>0</v>
      </c>
      <c r="AE9" s="462"/>
      <c r="AF9" s="462"/>
      <c r="AG9" s="462">
        <f ca="1">AK9/12*LEFT(AG$2,2)*1</f>
        <v>0</v>
      </c>
      <c r="AH9" s="463">
        <f ca="1">AF9-AG9</f>
        <v>0</v>
      </c>
      <c r="AI9" s="3"/>
      <c r="AJ9" s="462"/>
      <c r="AK9" s="462">
        <v>0</v>
      </c>
      <c r="AL9" s="3"/>
      <c r="AM9" s="3"/>
      <c r="AN9" s="3"/>
      <c r="AO9" s="3"/>
      <c r="AP9" s="3"/>
      <c r="AQ9" s="3"/>
      <c r="AR9" s="3"/>
      <c r="AS9" s="3"/>
    </row>
    <row r="10" spans="1:45" ht="19.5" customHeight="1" x14ac:dyDescent="0.3">
      <c r="A10" s="3" t="s">
        <v>578</v>
      </c>
      <c r="B10" s="33" t="s">
        <v>579</v>
      </c>
      <c r="C10" s="191" t="s">
        <v>535</v>
      </c>
      <c r="D10" s="3"/>
      <c r="E10" s="462">
        <f>$AJ10/E$3</f>
        <v>0</v>
      </c>
      <c r="F10" s="462">
        <f ca="1">IFERROR(1/F$3,1)*SUMIFS(Data!$S$3:$S$137,Data!$O$3:$O$137,F$1,Data!$P$3:$P$137,IF(RIGHT(F$2,3)="YTD","&lt;="&amp;LEFT(F$2,2)*1,F$2),Data!$K$3:$K$137,$B10)</f>
        <v>0</v>
      </c>
      <c r="G10" s="462">
        <f>AK10/12</f>
        <v>0</v>
      </c>
      <c r="H10" s="3"/>
      <c r="I10" s="462"/>
      <c r="J10" s="462"/>
      <c r="K10" s="462"/>
      <c r="L10" s="462"/>
      <c r="M10" s="462"/>
      <c r="N10" s="462"/>
      <c r="O10" s="462"/>
      <c r="P10" s="462"/>
      <c r="Q10" s="462"/>
      <c r="R10" s="462"/>
      <c r="S10" s="462"/>
      <c r="T10" s="462"/>
      <c r="U10" s="3"/>
      <c r="V10" s="462">
        <f>G10</f>
        <v>0</v>
      </c>
      <c r="W10" s="462">
        <f t="shared" si="0"/>
        <v>0</v>
      </c>
      <c r="X10" s="462">
        <f t="shared" si="0"/>
        <v>0</v>
      </c>
      <c r="Y10" s="462">
        <f t="shared" si="0"/>
        <v>0</v>
      </c>
      <c r="Z10" s="462">
        <f t="shared" si="0"/>
        <v>0</v>
      </c>
      <c r="AA10" s="462">
        <f t="shared" si="0"/>
        <v>0</v>
      </c>
      <c r="AB10" s="462">
        <f t="shared" si="0"/>
        <v>0</v>
      </c>
      <c r="AC10" s="462">
        <f t="shared" si="0"/>
        <v>0</v>
      </c>
      <c r="AD10" s="462">
        <f t="shared" si="0"/>
        <v>0</v>
      </c>
      <c r="AE10" s="462"/>
      <c r="AF10" s="462"/>
      <c r="AG10" s="462">
        <f ca="1">AK10/12*LEFT(AG$2,2)*1</f>
        <v>0</v>
      </c>
      <c r="AH10" s="463">
        <f ca="1">AF10-AG10</f>
        <v>0</v>
      </c>
      <c r="AI10" s="3"/>
      <c r="AJ10" s="462"/>
      <c r="AK10" s="462">
        <v>0</v>
      </c>
      <c r="AL10" s="3"/>
      <c r="AM10" s="3"/>
      <c r="AN10" s="3"/>
      <c r="AO10" s="3"/>
      <c r="AP10" s="3"/>
      <c r="AQ10" s="3"/>
      <c r="AR10" s="3"/>
      <c r="AS10" s="3"/>
    </row>
    <row r="11" spans="1:45" ht="19.5" customHeight="1" x14ac:dyDescent="0.3">
      <c r="A11" s="33" t="s">
        <v>580</v>
      </c>
      <c r="B11" s="33" t="s">
        <v>581</v>
      </c>
      <c r="C11" s="191" t="s">
        <v>535</v>
      </c>
      <c r="D11" s="3"/>
      <c r="E11" s="462">
        <f>$AJ11/E$3</f>
        <v>0</v>
      </c>
      <c r="F11" s="462">
        <f ca="1">IFERROR(1/F$3,1)*SUMIFS(Data!$S$3:$S$137,Data!$O$3:$O$137,F$1,Data!$P$3:$P$137,IF(RIGHT(F$2,3)="YTD","&lt;="&amp;LEFT(F$2,2)*1,F$2),Data!$K$3:$K$137,$B11)</f>
        <v>0</v>
      </c>
      <c r="G11" s="462">
        <f>AK11/12</f>
        <v>58333.333333333336</v>
      </c>
      <c r="H11" s="3"/>
      <c r="I11" s="462"/>
      <c r="J11" s="462"/>
      <c r="K11" s="462"/>
      <c r="L11" s="462"/>
      <c r="M11" s="462"/>
      <c r="N11" s="462"/>
      <c r="O11" s="462"/>
      <c r="P11" s="462"/>
      <c r="Q11" s="462"/>
      <c r="R11" s="462"/>
      <c r="S11" s="462"/>
      <c r="T11" s="462"/>
      <c r="U11" s="3"/>
      <c r="V11" s="462">
        <f>G11</f>
        <v>58333.333333333336</v>
      </c>
      <c r="W11" s="462">
        <f t="shared" si="0"/>
        <v>58333.333333333336</v>
      </c>
      <c r="X11" s="462">
        <f t="shared" si="0"/>
        <v>58333.333333333336</v>
      </c>
      <c r="Y11" s="462">
        <f t="shared" si="0"/>
        <v>58333.333333333336</v>
      </c>
      <c r="Z11" s="462">
        <f t="shared" si="0"/>
        <v>58333.333333333336</v>
      </c>
      <c r="AA11" s="462">
        <f t="shared" si="0"/>
        <v>58333.333333333336</v>
      </c>
      <c r="AB11" s="462">
        <f t="shared" si="0"/>
        <v>58333.333333333336</v>
      </c>
      <c r="AC11" s="462">
        <f t="shared" si="0"/>
        <v>58333.333333333336</v>
      </c>
      <c r="AD11" s="462">
        <f t="shared" si="0"/>
        <v>58333.333333333336</v>
      </c>
      <c r="AE11" s="462"/>
      <c r="AF11" s="462"/>
      <c r="AG11" s="462">
        <f ca="1">AK11/12*LEFT(AG$2,2)*1</f>
        <v>175000</v>
      </c>
      <c r="AH11" s="463">
        <f ca="1">AF11-AG11</f>
        <v>-175000</v>
      </c>
      <c r="AI11" s="3"/>
      <c r="AJ11" s="462"/>
      <c r="AK11" s="462">
        <v>700000</v>
      </c>
      <c r="AL11" s="3"/>
      <c r="AM11" s="3"/>
      <c r="AN11" s="3"/>
      <c r="AO11" s="3"/>
      <c r="AP11" s="3"/>
      <c r="AQ11" s="3"/>
      <c r="AR11" s="3"/>
      <c r="AS11" s="3"/>
    </row>
    <row r="12" spans="1:45" ht="19.5" customHeight="1" x14ac:dyDescent="0.3">
      <c r="A12" s="41" t="s">
        <v>582</v>
      </c>
      <c r="B12" s="33" t="s">
        <v>458</v>
      </c>
      <c r="C12" s="63"/>
      <c r="D12" s="3"/>
      <c r="E12" s="462">
        <f>$AJ12/E$3</f>
        <v>0</v>
      </c>
      <c r="F12" s="462">
        <f ca="1">IFERROR(1/F$3,1)*SUMIFS(Data!$S$3:$S$137,Data!$O$3:$O$137,F$1,Data!$P$3:$P$137,IF(RIGHT(F$2,3)="YTD","&lt;="&amp;LEFT(F$2,2)*1,F$2),Data!$K$3:$K$137,$B12)</f>
        <v>0</v>
      </c>
      <c r="G12" s="462">
        <f>AK12/12</f>
        <v>0</v>
      </c>
      <c r="H12" s="3"/>
      <c r="I12" s="462"/>
      <c r="J12" s="462"/>
      <c r="K12" s="462"/>
      <c r="L12" s="462"/>
      <c r="M12" s="462"/>
      <c r="N12" s="462"/>
      <c r="O12" s="462"/>
      <c r="P12" s="462"/>
      <c r="Q12" s="462"/>
      <c r="R12" s="462"/>
      <c r="S12" s="462"/>
      <c r="T12" s="462"/>
      <c r="U12" s="3"/>
      <c r="V12" s="462">
        <f>G12</f>
        <v>0</v>
      </c>
      <c r="W12" s="462">
        <f t="shared" si="0"/>
        <v>0</v>
      </c>
      <c r="X12" s="462">
        <f t="shared" si="0"/>
        <v>0</v>
      </c>
      <c r="Y12" s="462">
        <f t="shared" si="0"/>
        <v>0</v>
      </c>
      <c r="Z12" s="462">
        <f t="shared" si="0"/>
        <v>0</v>
      </c>
      <c r="AA12" s="462">
        <f t="shared" si="0"/>
        <v>0</v>
      </c>
      <c r="AB12" s="462">
        <f t="shared" si="0"/>
        <v>0</v>
      </c>
      <c r="AC12" s="462">
        <f t="shared" si="0"/>
        <v>0</v>
      </c>
      <c r="AD12" s="462">
        <f t="shared" si="0"/>
        <v>0</v>
      </c>
      <c r="AE12" s="462"/>
      <c r="AF12" s="462"/>
      <c r="AG12" s="462">
        <f ca="1">AK12/12*LEFT(AG$2,2)*1</f>
        <v>0</v>
      </c>
      <c r="AH12" s="463">
        <f ca="1">AF12-AG12</f>
        <v>0</v>
      </c>
      <c r="AI12" s="3"/>
      <c r="AJ12" s="462"/>
      <c r="AK12" s="465">
        <v>0</v>
      </c>
      <c r="AL12" s="3"/>
      <c r="AM12" s="3"/>
      <c r="AN12" s="3"/>
      <c r="AO12" s="3"/>
      <c r="AP12" s="3"/>
      <c r="AQ12" s="3"/>
      <c r="AR12" s="3"/>
      <c r="AS12" s="3"/>
    </row>
    <row r="13" spans="1:45" ht="19.5" customHeight="1" x14ac:dyDescent="0.3">
      <c r="A13" s="3"/>
      <c r="B13" s="455"/>
      <c r="C13" s="63"/>
      <c r="D13" s="3"/>
      <c r="E13" s="456"/>
      <c r="F13" s="456"/>
      <c r="G13" s="457"/>
      <c r="H13" s="3"/>
      <c r="I13" s="457"/>
      <c r="J13" s="457"/>
      <c r="K13" s="457"/>
      <c r="L13" s="457"/>
      <c r="M13" s="457"/>
      <c r="N13" s="456"/>
      <c r="O13" s="456"/>
      <c r="P13" s="456"/>
      <c r="Q13" s="456"/>
      <c r="R13" s="456"/>
      <c r="S13" s="456"/>
      <c r="T13" s="456"/>
      <c r="U13" s="3"/>
      <c r="V13" s="485"/>
      <c r="W13" s="456"/>
      <c r="X13" s="456"/>
      <c r="Y13" s="456"/>
      <c r="Z13" s="456"/>
      <c r="AA13" s="456"/>
      <c r="AB13" s="456"/>
      <c r="AC13" s="456"/>
      <c r="AD13" s="458"/>
      <c r="AE13" s="458"/>
      <c r="AF13" s="459"/>
      <c r="AG13" s="460"/>
      <c r="AH13" s="436"/>
      <c r="AI13" s="3"/>
      <c r="AJ13" s="459"/>
      <c r="AK13" s="461"/>
      <c r="AL13" s="3"/>
      <c r="AM13" s="3"/>
      <c r="AN13" s="3"/>
      <c r="AO13" s="3"/>
      <c r="AP13" s="3"/>
      <c r="AQ13" s="3"/>
      <c r="AR13" s="3"/>
      <c r="AS13" s="3"/>
    </row>
    <row r="14" spans="1:45" ht="19.5" hidden="1" customHeight="1" x14ac:dyDescent="0.3">
      <c r="A14" s="3"/>
      <c r="B14" s="474" t="s">
        <v>583</v>
      </c>
      <c r="C14" s="63"/>
      <c r="D14" s="3"/>
      <c r="E14" s="456"/>
      <c r="F14" s="456"/>
      <c r="G14" s="457"/>
      <c r="H14" s="3"/>
      <c r="I14" s="457"/>
      <c r="J14" s="457"/>
      <c r="K14" s="457"/>
      <c r="L14" s="457"/>
      <c r="M14" s="457"/>
      <c r="N14" s="456"/>
      <c r="O14" s="456"/>
      <c r="P14" s="456"/>
      <c r="Q14" s="456"/>
      <c r="R14" s="456"/>
      <c r="S14" s="456"/>
      <c r="T14" s="456"/>
      <c r="U14" s="3"/>
      <c r="V14" s="485"/>
      <c r="W14" s="456"/>
      <c r="X14" s="456"/>
      <c r="Y14" s="456"/>
      <c r="Z14" s="456"/>
      <c r="AA14" s="456"/>
      <c r="AB14" s="456"/>
      <c r="AC14" s="456"/>
      <c r="AD14" s="458"/>
      <c r="AE14" s="458"/>
      <c r="AF14" s="459"/>
      <c r="AG14" s="460"/>
      <c r="AH14" s="436"/>
      <c r="AI14" s="3"/>
      <c r="AJ14" s="459"/>
      <c r="AK14" s="461"/>
      <c r="AL14" s="3"/>
      <c r="AM14" s="3"/>
      <c r="AN14" s="3"/>
      <c r="AO14" s="3"/>
      <c r="AP14" s="3"/>
      <c r="AQ14" s="3"/>
      <c r="AR14" s="3"/>
      <c r="AS14" s="3"/>
    </row>
    <row r="15" spans="1:45" ht="19.5" hidden="1" customHeight="1" x14ac:dyDescent="0.3">
      <c r="A15" s="33" t="s">
        <v>533</v>
      </c>
      <c r="B15" s="33" t="s">
        <v>534</v>
      </c>
      <c r="C15" s="191" t="s">
        <v>535</v>
      </c>
      <c r="D15" s="3"/>
      <c r="E15" s="462">
        <f t="shared" ref="E15:E24" si="1">$AJ15/E$3</f>
        <v>422.91666666666669</v>
      </c>
      <c r="F15" s="462">
        <f ca="1">IFERROR(1/F$3,1)*SUMIFS(Data!$S$3:$S$137,Data!$O$3:$O$137,F$1,Data!$P$3:$P$137,IF(RIGHT(F$2,3)="YTD","&lt;="&amp;LEFT(F$2,2)*1,F$2),Data!$K$3:$K$137,$B15)</f>
        <v>0</v>
      </c>
      <c r="G15" s="462">
        <f t="shared" ref="G15:G24" si="2">AK15/12</f>
        <v>30833.333333333332</v>
      </c>
      <c r="H15" s="3"/>
      <c r="I15" s="462">
        <f>IFERROR(1/I$3,1)*SUMIFS(Data!$S$3:$S$137,Data!$O$3:$O$137,I$1,Data!$P$3:$P$137,IF(RIGHT(I$2,3)="YTD","&lt;="&amp;LEFT(I$2,2)*1,I$2),Data!$K$3:$K$137,$B15)</f>
        <v>0</v>
      </c>
      <c r="J15" s="462">
        <f>IFERROR(1/J$3,1)*SUMIFS(Data!$S$3:$S$137,Data!$O$3:$O$137,J$1,Data!$P$3:$P$137,IF(RIGHT(J$2,3)="YTD","&lt;="&amp;LEFT(J$2,2)*1,J$2),Data!$K$3:$K$137,$B15)</f>
        <v>0</v>
      </c>
      <c r="K15" s="462">
        <f>IFERROR(1/K$3,1)*SUMIFS(Data!$S$3:$S$137,Data!$O$3:$O$137,K$1,Data!$P$3:$P$137,IF(RIGHT(K$2,3)="YTD","&lt;="&amp;LEFT(K$2,2)*1,K$2),Data!$K$3:$K$137,$B15)</f>
        <v>0</v>
      </c>
      <c r="L15" s="462">
        <f>IFERROR(1/L$3,1)*SUMIFS(Data!$S$3:$S$137,Data!$O$3:$O$137,L$1,Data!$P$3:$P$137,IF(RIGHT(L$2,3)="YTD","&lt;="&amp;LEFT(L$2,2)*1,L$2),Data!$K$3:$K$137,$B15)</f>
        <v>0</v>
      </c>
      <c r="M15" s="462">
        <f>IFERROR(1/M$3,1)*SUMIFS(Data!$S$3:$S$137,Data!$O$3:$O$137,M$1,Data!$P$3:$P$137,IF(RIGHT(M$2,3)="YTD","&lt;="&amp;LEFT(M$2,2)*1,M$2),Data!$K$3:$K$137,$B15)</f>
        <v>0</v>
      </c>
      <c r="N15" s="462">
        <f>SUMIFS(Data!$S$3:$S$137,Data!$O$3:$O$137,N$1,Data!$P$3:$P$137,N$2,Data!$K$3:$K$137,$B15)</f>
        <v>0</v>
      </c>
      <c r="O15" s="462">
        <f>SUMIFS(Data!$S$3:$S$137,Data!$O$3:$O$137,O$1,Data!$P$3:$P$137,O$2,Data!$K$3:$K$137,$B15)</f>
        <v>0</v>
      </c>
      <c r="P15" s="462">
        <f>SUMIFS(Data!$S$3:$S$137,Data!$O$3:$O$137,P$1,Data!$P$3:$P$137,P$2,Data!$K$3:$K$137,$B15)</f>
        <v>0</v>
      </c>
      <c r="Q15" s="462">
        <f>SUMIFS(Data!$S$3:$S$137,Data!$O$3:$O$137,Q$1,Data!$P$3:$P$137,Q$2,Data!$K$3:$K$137,$B15)</f>
        <v>0</v>
      </c>
      <c r="R15" s="462">
        <f>SUMIFS(Data!$S$3:$S$137,Data!$O$3:$O$137,R$1,Data!$P$3:$P$137,R$2,Data!$K$3:$K$137,$B15)</f>
        <v>0</v>
      </c>
      <c r="S15" s="462">
        <f>SUMIFS(Data!$S$3:$S$137,Data!$O$3:$O$137,S$1,Data!$P$3:$P$137,S$2,Data!$K$3:$K$137,$B15)</f>
        <v>0</v>
      </c>
      <c r="T15" s="462">
        <f>SUMIFS(Data!$S$3:$S$137,Data!$O$3:$O$137,T$1,Data!$P$3:$P$137,T$2,Data!$K$3:$K$137,$B15)</f>
        <v>0</v>
      </c>
      <c r="U15" s="3"/>
      <c r="V15" s="462">
        <f t="shared" ref="V15:V24" si="3">G15</f>
        <v>30833.333333333332</v>
      </c>
      <c r="W15" s="462">
        <f t="shared" ref="W15:AD24" si="4">$G15</f>
        <v>30833.333333333332</v>
      </c>
      <c r="X15" s="462">
        <f t="shared" si="4"/>
        <v>30833.333333333332</v>
      </c>
      <c r="Y15" s="462">
        <f t="shared" si="4"/>
        <v>30833.333333333332</v>
      </c>
      <c r="Z15" s="462">
        <f t="shared" si="4"/>
        <v>30833.333333333332</v>
      </c>
      <c r="AA15" s="462">
        <f t="shared" si="4"/>
        <v>30833.333333333332</v>
      </c>
      <c r="AB15" s="462">
        <f t="shared" si="4"/>
        <v>30833.333333333332</v>
      </c>
      <c r="AC15" s="462">
        <f t="shared" si="4"/>
        <v>30833.333333333332</v>
      </c>
      <c r="AD15" s="462">
        <f t="shared" si="4"/>
        <v>30833.333333333332</v>
      </c>
      <c r="AE15" s="462"/>
      <c r="AF15" s="462">
        <f ca="1">IFERROR(1/AF$3,1)*SUMIFS(Data!$S$3:$S$137,Data!$O$3:$O$137,AF$1,Data!$P$3:$P$137,IF(RIGHT(AF$2,3)="YTD","&lt;="&amp;LEFT(AF$2,2)*1,AF$2),Data!$K$3:$K$137,$B15)</f>
        <v>0</v>
      </c>
      <c r="AG15" s="462">
        <f t="shared" ref="AG15:AG24" ca="1" si="5">AK15/12*LEFT(AG$2,2)*1</f>
        <v>92500</v>
      </c>
      <c r="AH15" s="463">
        <f t="shared" ref="AH15:AH24" ca="1" si="6">AF15-AG15</f>
        <v>-92500</v>
      </c>
      <c r="AI15" s="3"/>
      <c r="AJ15" s="462">
        <v>5075</v>
      </c>
      <c r="AK15" s="462">
        <v>370000</v>
      </c>
      <c r="AL15" s="3"/>
      <c r="AM15" s="3"/>
      <c r="AN15" s="3"/>
      <c r="AO15" s="3"/>
      <c r="AP15" s="3"/>
      <c r="AQ15" s="3"/>
      <c r="AR15" s="3"/>
      <c r="AS15" s="3"/>
    </row>
    <row r="16" spans="1:45" ht="19.5" hidden="1" customHeight="1" x14ac:dyDescent="0.3">
      <c r="A16" s="3" t="s">
        <v>536</v>
      </c>
      <c r="B16" s="33" t="s">
        <v>537</v>
      </c>
      <c r="C16" s="191" t="s">
        <v>535</v>
      </c>
      <c r="D16" s="3"/>
      <c r="E16" s="462">
        <f t="shared" si="1"/>
        <v>957.5</v>
      </c>
      <c r="F16" s="462">
        <f ca="1">IFERROR(1/F$3,1)*SUMIFS(Data!$S$3:$S$137,Data!$O$3:$O$137,F$1,Data!$P$3:$P$137,IF(RIGHT(F$2,3)="YTD","&lt;="&amp;LEFT(F$2,2)*1,F$2),Data!$K$3:$K$137,$B16)</f>
        <v>0</v>
      </c>
      <c r="G16" s="462">
        <f t="shared" si="2"/>
        <v>0</v>
      </c>
      <c r="H16" s="3"/>
      <c r="I16" s="462">
        <f>IFERROR(1/I$3,1)*SUMIFS(Data!$S$3:$S$137,Data!$O$3:$O$137,I$1,Data!$P$3:$P$137,IF(RIGHT(I$2,3)="YTD","&lt;="&amp;LEFT(I$2,2)*1,I$2),Data!$K$3:$K$137,$B16)</f>
        <v>0</v>
      </c>
      <c r="J16" s="462">
        <f>IFERROR(1/J$3,1)*SUMIFS(Data!$S$3:$S$137,Data!$O$3:$O$137,J$1,Data!$P$3:$P$137,IF(RIGHT(J$2,3)="YTD","&lt;="&amp;LEFT(J$2,2)*1,J$2),Data!$K$3:$K$137,$B16)</f>
        <v>0</v>
      </c>
      <c r="K16" s="462">
        <f>IFERROR(1/K$3,1)*SUMIFS(Data!$S$3:$S$137,Data!$O$3:$O$137,K$1,Data!$P$3:$P$137,IF(RIGHT(K$2,3)="YTD","&lt;="&amp;LEFT(K$2,2)*1,K$2),Data!$K$3:$K$137,$B16)</f>
        <v>0</v>
      </c>
      <c r="L16" s="462">
        <f>IFERROR(1/L$3,1)*SUMIFS(Data!$S$3:$S$137,Data!$O$3:$O$137,L$1,Data!$P$3:$P$137,IF(RIGHT(L$2,3)="YTD","&lt;="&amp;LEFT(L$2,2)*1,L$2),Data!$K$3:$K$137,$B16)</f>
        <v>0</v>
      </c>
      <c r="M16" s="462">
        <f>IFERROR(1/M$3,1)*SUMIFS(Data!$S$3:$S$137,Data!$O$3:$O$137,M$1,Data!$P$3:$P$137,IF(RIGHT(M$2,3)="YTD","&lt;="&amp;LEFT(M$2,2)*1,M$2),Data!$K$3:$K$137,$B16)</f>
        <v>0</v>
      </c>
      <c r="N16" s="462">
        <f>SUMIFS(Data!$S$3:$S$137,Data!$O$3:$O$137,N$1,Data!$P$3:$P$137,N$2,Data!$K$3:$K$137,$B16)</f>
        <v>0</v>
      </c>
      <c r="O16" s="462">
        <f>SUMIFS(Data!$S$3:$S$137,Data!$O$3:$O$137,O$1,Data!$P$3:$P$137,O$2,Data!$K$3:$K$137,$B16)</f>
        <v>0</v>
      </c>
      <c r="P16" s="462">
        <f>SUMIFS(Data!$S$3:$S$137,Data!$O$3:$O$137,P$1,Data!$P$3:$P$137,P$2,Data!$K$3:$K$137,$B16)</f>
        <v>0</v>
      </c>
      <c r="Q16" s="462">
        <f>SUMIFS(Data!$S$3:$S$137,Data!$O$3:$O$137,Q$1,Data!$P$3:$P$137,Q$2,Data!$K$3:$K$137,$B16)</f>
        <v>0</v>
      </c>
      <c r="R16" s="462">
        <f>SUMIFS(Data!$S$3:$S$137,Data!$O$3:$O$137,R$1,Data!$P$3:$P$137,R$2,Data!$K$3:$K$137,$B16)</f>
        <v>0</v>
      </c>
      <c r="S16" s="462">
        <f>SUMIFS(Data!$S$3:$S$137,Data!$O$3:$O$137,S$1,Data!$P$3:$P$137,S$2,Data!$K$3:$K$137,$B16)</f>
        <v>0</v>
      </c>
      <c r="T16" s="462">
        <f>SUMIFS(Data!$S$3:$S$137,Data!$O$3:$O$137,T$1,Data!$P$3:$P$137,T$2,Data!$K$3:$K$137,$B16)</f>
        <v>0</v>
      </c>
      <c r="U16" s="3"/>
      <c r="V16" s="462">
        <f t="shared" si="3"/>
        <v>0</v>
      </c>
      <c r="W16" s="462">
        <f t="shared" si="4"/>
        <v>0</v>
      </c>
      <c r="X16" s="462">
        <f t="shared" si="4"/>
        <v>0</v>
      </c>
      <c r="Y16" s="462">
        <f t="shared" si="4"/>
        <v>0</v>
      </c>
      <c r="Z16" s="462">
        <f t="shared" si="4"/>
        <v>0</v>
      </c>
      <c r="AA16" s="462">
        <f t="shared" si="4"/>
        <v>0</v>
      </c>
      <c r="AB16" s="462">
        <f t="shared" si="4"/>
        <v>0</v>
      </c>
      <c r="AC16" s="462">
        <f t="shared" si="4"/>
        <v>0</v>
      </c>
      <c r="AD16" s="462">
        <f t="shared" si="4"/>
        <v>0</v>
      </c>
      <c r="AE16" s="462"/>
      <c r="AF16" s="462">
        <f ca="1">IFERROR(1/AF$3,1)*SUMIFS(Data!$S$3:$S$137,Data!$O$3:$O$137,AF$1,Data!$P$3:$P$137,IF(RIGHT(AF$2,3)="YTD","&lt;="&amp;LEFT(AF$2,2)*1,AF$2),Data!$K$3:$K$137,$B16)</f>
        <v>0</v>
      </c>
      <c r="AG16" s="462">
        <f t="shared" ca="1" si="5"/>
        <v>0</v>
      </c>
      <c r="AH16" s="463">
        <f t="shared" ca="1" si="6"/>
        <v>0</v>
      </c>
      <c r="AI16" s="3"/>
      <c r="AJ16" s="462">
        <v>11490</v>
      </c>
      <c r="AK16" s="462">
        <v>0</v>
      </c>
      <c r="AL16" s="3"/>
      <c r="AM16" s="3"/>
      <c r="AN16" s="3"/>
      <c r="AO16" s="3"/>
      <c r="AP16" s="3"/>
      <c r="AQ16" s="3"/>
      <c r="AR16" s="3"/>
      <c r="AS16" s="3"/>
    </row>
    <row r="17" spans="1:45" ht="19.5" hidden="1" customHeight="1" x14ac:dyDescent="0.3">
      <c r="A17" s="3"/>
      <c r="B17" s="33" t="s">
        <v>538</v>
      </c>
      <c r="C17" s="191" t="s">
        <v>535</v>
      </c>
      <c r="D17" s="3"/>
      <c r="E17" s="462">
        <f t="shared" si="1"/>
        <v>44543.333333333336</v>
      </c>
      <c r="F17" s="462">
        <f ca="1">IFERROR(1/F$3,1)*SUMIFS(Data!$S$3:$S$137,Data!$O$3:$O$137,F$1,Data!$P$3:$P$137,IF(RIGHT(F$2,3)="YTD","&lt;="&amp;LEFT(F$2,2)*1,F$2),Data!$K$3:$K$137,$B17)</f>
        <v>0</v>
      </c>
      <c r="G17" s="462">
        <f t="shared" si="2"/>
        <v>0</v>
      </c>
      <c r="H17" s="3"/>
      <c r="I17" s="462">
        <f>IFERROR(1/I$3,1)*SUMIFS(Data!$S$3:$S$137,Data!$O$3:$O$137,I$1,Data!$P$3:$P$137,IF(RIGHT(I$2,3)="YTD","&lt;="&amp;LEFT(I$2,2)*1,I$2),Data!$K$3:$K$137,$B17)</f>
        <v>0</v>
      </c>
      <c r="J17" s="462">
        <f>IFERROR(1/J$3,1)*SUMIFS(Data!$S$3:$S$137,Data!$O$3:$O$137,J$1,Data!$P$3:$P$137,IF(RIGHT(J$2,3)="YTD","&lt;="&amp;LEFT(J$2,2)*1,J$2),Data!$K$3:$K$137,$B17)</f>
        <v>0</v>
      </c>
      <c r="K17" s="462">
        <f>IFERROR(1/K$3,1)*SUMIFS(Data!$S$3:$S$137,Data!$O$3:$O$137,K$1,Data!$P$3:$P$137,IF(RIGHT(K$2,3)="YTD","&lt;="&amp;LEFT(K$2,2)*1,K$2),Data!$K$3:$K$137,$B17)</f>
        <v>0</v>
      </c>
      <c r="L17" s="462">
        <f>IFERROR(1/L$3,1)*SUMIFS(Data!$S$3:$S$137,Data!$O$3:$O$137,L$1,Data!$P$3:$P$137,IF(RIGHT(L$2,3)="YTD","&lt;="&amp;LEFT(L$2,2)*1,L$2),Data!$K$3:$K$137,$B17)</f>
        <v>0</v>
      </c>
      <c r="M17" s="462">
        <f>IFERROR(1/M$3,1)*SUMIFS(Data!$S$3:$S$137,Data!$O$3:$O$137,M$1,Data!$P$3:$P$137,IF(RIGHT(M$2,3)="YTD","&lt;="&amp;LEFT(M$2,2)*1,M$2),Data!$K$3:$K$137,$B17)</f>
        <v>0</v>
      </c>
      <c r="N17" s="462">
        <f>SUMIFS(Data!$S$3:$S$137,Data!$O$3:$O$137,N$1,Data!$P$3:$P$137,N$2,Data!$K$3:$K$137,$B17)</f>
        <v>0</v>
      </c>
      <c r="O17" s="462">
        <f>SUMIFS(Data!$S$3:$S$137,Data!$O$3:$O$137,O$1,Data!$P$3:$P$137,O$2,Data!$K$3:$K$137,$B17)</f>
        <v>0</v>
      </c>
      <c r="P17" s="462">
        <f>SUMIFS(Data!$S$3:$S$137,Data!$O$3:$O$137,P$1,Data!$P$3:$P$137,P$2,Data!$K$3:$K$137,$B17)</f>
        <v>0</v>
      </c>
      <c r="Q17" s="462">
        <f>SUMIFS(Data!$S$3:$S$137,Data!$O$3:$O$137,Q$1,Data!$P$3:$P$137,Q$2,Data!$K$3:$K$137,$B17)</f>
        <v>0</v>
      </c>
      <c r="R17" s="462">
        <f>SUMIFS(Data!$S$3:$S$137,Data!$O$3:$O$137,R$1,Data!$P$3:$P$137,R$2,Data!$K$3:$K$137,$B17)</f>
        <v>0</v>
      </c>
      <c r="S17" s="462">
        <f>SUMIFS(Data!$S$3:$S$137,Data!$O$3:$O$137,S$1,Data!$P$3:$P$137,S$2,Data!$K$3:$K$137,$B17)</f>
        <v>0</v>
      </c>
      <c r="T17" s="462">
        <f>SUMIFS(Data!$S$3:$S$137,Data!$O$3:$O$137,T$1,Data!$P$3:$P$137,T$2,Data!$K$3:$K$137,$B17)</f>
        <v>0</v>
      </c>
      <c r="U17" s="3"/>
      <c r="V17" s="462">
        <f t="shared" si="3"/>
        <v>0</v>
      </c>
      <c r="W17" s="462">
        <f t="shared" si="4"/>
        <v>0</v>
      </c>
      <c r="X17" s="462">
        <f t="shared" si="4"/>
        <v>0</v>
      </c>
      <c r="Y17" s="462">
        <f t="shared" si="4"/>
        <v>0</v>
      </c>
      <c r="Z17" s="462">
        <f t="shared" si="4"/>
        <v>0</v>
      </c>
      <c r="AA17" s="462">
        <f t="shared" si="4"/>
        <v>0</v>
      </c>
      <c r="AB17" s="462">
        <f t="shared" si="4"/>
        <v>0</v>
      </c>
      <c r="AC17" s="462">
        <f t="shared" si="4"/>
        <v>0</v>
      </c>
      <c r="AD17" s="462">
        <f t="shared" si="4"/>
        <v>0</v>
      </c>
      <c r="AE17" s="462"/>
      <c r="AF17" s="462">
        <f ca="1">IFERROR(1/AF$3,1)*SUMIFS(Data!$S$3:$S$137,Data!$O$3:$O$137,AF$1,Data!$P$3:$P$137,IF(RIGHT(AF$2,3)="YTD","&lt;="&amp;LEFT(AF$2,2)*1,AF$2),Data!$K$3:$K$137,$B17)</f>
        <v>0</v>
      </c>
      <c r="AG17" s="462">
        <f t="shared" ca="1" si="5"/>
        <v>0</v>
      </c>
      <c r="AH17" s="463">
        <f t="shared" ca="1" si="6"/>
        <v>0</v>
      </c>
      <c r="AI17" s="3"/>
      <c r="AJ17" s="462">
        <v>534520</v>
      </c>
      <c r="AK17" s="462">
        <v>0</v>
      </c>
      <c r="AL17" s="3"/>
      <c r="AM17" s="3"/>
      <c r="AN17" s="3"/>
      <c r="AO17" s="3"/>
      <c r="AP17" s="3"/>
      <c r="AQ17" s="3"/>
      <c r="AR17" s="3"/>
      <c r="AS17" s="3"/>
    </row>
    <row r="18" spans="1:45" ht="19.5" hidden="1" customHeight="1" x14ac:dyDescent="0.3">
      <c r="A18" s="3" t="s">
        <v>539</v>
      </c>
      <c r="B18" s="33" t="s">
        <v>540</v>
      </c>
      <c r="C18" s="191" t="s">
        <v>535</v>
      </c>
      <c r="D18" s="3"/>
      <c r="E18" s="462">
        <f t="shared" si="1"/>
        <v>1117.5</v>
      </c>
      <c r="F18" s="462">
        <f ca="1">IFERROR(1/F$3,1)*SUMIFS(Data!$S$3:$S$137,Data!$O$3:$O$137,F$1,Data!$P$3:$P$137,IF(RIGHT(F$2,3)="YTD","&lt;="&amp;LEFT(F$2,2)*1,F$2),Data!$K$3:$K$137,$B18)</f>
        <v>0</v>
      </c>
      <c r="G18" s="462">
        <f t="shared" si="2"/>
        <v>0</v>
      </c>
      <c r="H18" s="3"/>
      <c r="I18" s="462">
        <f>IFERROR(1/I$3,1)*SUMIFS(Data!$S$3:$S$137,Data!$O$3:$O$137,I$1,Data!$P$3:$P$137,IF(RIGHT(I$2,3)="YTD","&lt;="&amp;LEFT(I$2,2)*1,I$2),Data!$K$3:$K$137,$B18)</f>
        <v>0</v>
      </c>
      <c r="J18" s="462">
        <f>IFERROR(1/J$3,1)*SUMIFS(Data!$S$3:$S$137,Data!$O$3:$O$137,J$1,Data!$P$3:$P$137,IF(RIGHT(J$2,3)="YTD","&lt;="&amp;LEFT(J$2,2)*1,J$2),Data!$K$3:$K$137,$B18)</f>
        <v>0</v>
      </c>
      <c r="K18" s="462">
        <f>IFERROR(1/K$3,1)*SUMIFS(Data!$S$3:$S$137,Data!$O$3:$O$137,K$1,Data!$P$3:$P$137,IF(RIGHT(K$2,3)="YTD","&lt;="&amp;LEFT(K$2,2)*1,K$2),Data!$K$3:$K$137,$B18)</f>
        <v>0</v>
      </c>
      <c r="L18" s="462">
        <f>IFERROR(1/L$3,1)*SUMIFS(Data!$S$3:$S$137,Data!$O$3:$O$137,L$1,Data!$P$3:$P$137,IF(RIGHT(L$2,3)="YTD","&lt;="&amp;LEFT(L$2,2)*1,L$2),Data!$K$3:$K$137,$B18)</f>
        <v>0</v>
      </c>
      <c r="M18" s="462">
        <f>IFERROR(1/M$3,1)*SUMIFS(Data!$S$3:$S$137,Data!$O$3:$O$137,M$1,Data!$P$3:$P$137,IF(RIGHT(M$2,3)="YTD","&lt;="&amp;LEFT(M$2,2)*1,M$2),Data!$K$3:$K$137,$B18)</f>
        <v>0</v>
      </c>
      <c r="N18" s="462">
        <f>SUMIFS(Data!$S$3:$S$137,Data!$O$3:$O$137,N$1,Data!$P$3:$P$137,N$2,Data!$K$3:$K$137,$B18)</f>
        <v>0</v>
      </c>
      <c r="O18" s="462">
        <f>SUMIFS(Data!$S$3:$S$137,Data!$O$3:$O$137,O$1,Data!$P$3:$P$137,O$2,Data!$K$3:$K$137,$B18)</f>
        <v>0</v>
      </c>
      <c r="P18" s="462">
        <f>SUMIFS(Data!$S$3:$S$137,Data!$O$3:$O$137,P$1,Data!$P$3:$P$137,P$2,Data!$K$3:$K$137,$B18)</f>
        <v>0</v>
      </c>
      <c r="Q18" s="462">
        <f>SUMIFS(Data!$S$3:$S$137,Data!$O$3:$O$137,Q$1,Data!$P$3:$P$137,Q$2,Data!$K$3:$K$137,$B18)</f>
        <v>0</v>
      </c>
      <c r="R18" s="462">
        <f>SUMIFS(Data!$S$3:$S$137,Data!$O$3:$O$137,R$1,Data!$P$3:$P$137,R$2,Data!$K$3:$K$137,$B18)</f>
        <v>0</v>
      </c>
      <c r="S18" s="462">
        <f>SUMIFS(Data!$S$3:$S$137,Data!$O$3:$O$137,S$1,Data!$P$3:$P$137,S$2,Data!$K$3:$K$137,$B18)</f>
        <v>0</v>
      </c>
      <c r="T18" s="462">
        <f>SUMIFS(Data!$S$3:$S$137,Data!$O$3:$O$137,T$1,Data!$P$3:$P$137,T$2,Data!$K$3:$K$137,$B18)</f>
        <v>0</v>
      </c>
      <c r="U18" s="3"/>
      <c r="V18" s="462">
        <f t="shared" si="3"/>
        <v>0</v>
      </c>
      <c r="W18" s="462">
        <f t="shared" si="4"/>
        <v>0</v>
      </c>
      <c r="X18" s="462">
        <f t="shared" si="4"/>
        <v>0</v>
      </c>
      <c r="Y18" s="462">
        <f t="shared" si="4"/>
        <v>0</v>
      </c>
      <c r="Z18" s="462">
        <f t="shared" si="4"/>
        <v>0</v>
      </c>
      <c r="AA18" s="462">
        <f t="shared" si="4"/>
        <v>0</v>
      </c>
      <c r="AB18" s="462">
        <f t="shared" si="4"/>
        <v>0</v>
      </c>
      <c r="AC18" s="462">
        <f t="shared" si="4"/>
        <v>0</v>
      </c>
      <c r="AD18" s="462">
        <f t="shared" si="4"/>
        <v>0</v>
      </c>
      <c r="AE18" s="462"/>
      <c r="AF18" s="462">
        <f ca="1">IFERROR(1/AF$3,1)*SUMIFS(Data!$S$3:$S$137,Data!$O$3:$O$137,AF$1,Data!$P$3:$P$137,IF(RIGHT(AF$2,3)="YTD","&lt;="&amp;LEFT(AF$2,2)*1,AF$2),Data!$K$3:$K$137,$B18)</f>
        <v>0</v>
      </c>
      <c r="AG18" s="462">
        <f t="shared" ca="1" si="5"/>
        <v>0</v>
      </c>
      <c r="AH18" s="463">
        <f t="shared" ca="1" si="6"/>
        <v>0</v>
      </c>
      <c r="AI18" s="3"/>
      <c r="AJ18" s="462">
        <v>13410</v>
      </c>
      <c r="AK18" s="462">
        <v>0</v>
      </c>
      <c r="AL18" s="3"/>
      <c r="AM18" s="3"/>
      <c r="AN18" s="3"/>
      <c r="AO18" s="3"/>
      <c r="AP18" s="3"/>
      <c r="AQ18" s="3"/>
      <c r="AR18" s="3"/>
      <c r="AS18" s="3"/>
    </row>
    <row r="19" spans="1:45" ht="19.5" hidden="1" customHeight="1" x14ac:dyDescent="0.3">
      <c r="A19" s="3" t="s">
        <v>541</v>
      </c>
      <c r="B19" s="33" t="s">
        <v>542</v>
      </c>
      <c r="C19" s="191" t="s">
        <v>535</v>
      </c>
      <c r="D19" s="3"/>
      <c r="E19" s="462">
        <f t="shared" si="1"/>
        <v>8626.25</v>
      </c>
      <c r="F19" s="462">
        <f ca="1">IFERROR(1/F$3,1)*SUMIFS(Data!$S$3:$S$137,Data!$O$3:$O$137,F$1,Data!$P$3:$P$137,IF(RIGHT(F$2,3)="YTD","&lt;="&amp;LEFT(F$2,2)*1,F$2),Data!$K$3:$K$137,$B19)</f>
        <v>0</v>
      </c>
      <c r="G19" s="462">
        <f t="shared" si="2"/>
        <v>0</v>
      </c>
      <c r="H19" s="3"/>
      <c r="I19" s="462">
        <f>IFERROR(1/I$3,1)*SUMIFS(Data!$S$3:$S$137,Data!$O$3:$O$137,I$1,Data!$P$3:$P$137,IF(RIGHT(I$2,3)="YTD","&lt;="&amp;LEFT(I$2,2)*1,I$2),Data!$K$3:$K$137,$B19)</f>
        <v>0</v>
      </c>
      <c r="J19" s="462">
        <f>IFERROR(1/J$3,1)*SUMIFS(Data!$S$3:$S$137,Data!$O$3:$O$137,J$1,Data!$P$3:$P$137,IF(RIGHT(J$2,3)="YTD","&lt;="&amp;LEFT(J$2,2)*1,J$2),Data!$K$3:$K$137,$B19)</f>
        <v>0</v>
      </c>
      <c r="K19" s="462">
        <f>IFERROR(1/K$3,1)*SUMIFS(Data!$S$3:$S$137,Data!$O$3:$O$137,K$1,Data!$P$3:$P$137,IF(RIGHT(K$2,3)="YTD","&lt;="&amp;LEFT(K$2,2)*1,K$2),Data!$K$3:$K$137,$B19)</f>
        <v>0</v>
      </c>
      <c r="L19" s="462">
        <f>IFERROR(1/L$3,1)*SUMIFS(Data!$S$3:$S$137,Data!$O$3:$O$137,L$1,Data!$P$3:$P$137,IF(RIGHT(L$2,3)="YTD","&lt;="&amp;LEFT(L$2,2)*1,L$2),Data!$K$3:$K$137,$B19)</f>
        <v>0</v>
      </c>
      <c r="M19" s="462">
        <f>IFERROR(1/M$3,1)*SUMIFS(Data!$S$3:$S$137,Data!$O$3:$O$137,M$1,Data!$P$3:$P$137,IF(RIGHT(M$2,3)="YTD","&lt;="&amp;LEFT(M$2,2)*1,M$2),Data!$K$3:$K$137,$B19)</f>
        <v>0</v>
      </c>
      <c r="N19" s="462">
        <f>SUMIFS(Data!$S$3:$S$137,Data!$O$3:$O$137,N$1,Data!$P$3:$P$137,N$2,Data!$K$3:$K$137,$B19)</f>
        <v>0</v>
      </c>
      <c r="O19" s="462">
        <f>SUMIFS(Data!$S$3:$S$137,Data!$O$3:$O$137,O$1,Data!$P$3:$P$137,O$2,Data!$K$3:$K$137,$B19)</f>
        <v>0</v>
      </c>
      <c r="P19" s="462">
        <f>SUMIFS(Data!$S$3:$S$137,Data!$O$3:$O$137,P$1,Data!$P$3:$P$137,P$2,Data!$K$3:$K$137,$B19)</f>
        <v>0</v>
      </c>
      <c r="Q19" s="462">
        <f>SUMIFS(Data!$S$3:$S$137,Data!$O$3:$O$137,Q$1,Data!$P$3:$P$137,Q$2,Data!$K$3:$K$137,$B19)</f>
        <v>0</v>
      </c>
      <c r="R19" s="462">
        <f>SUMIFS(Data!$S$3:$S$137,Data!$O$3:$O$137,R$1,Data!$P$3:$P$137,R$2,Data!$K$3:$K$137,$B19)</f>
        <v>0</v>
      </c>
      <c r="S19" s="462">
        <f>SUMIFS(Data!$S$3:$S$137,Data!$O$3:$O$137,S$1,Data!$P$3:$P$137,S$2,Data!$K$3:$K$137,$B19)</f>
        <v>0</v>
      </c>
      <c r="T19" s="462">
        <f>SUMIFS(Data!$S$3:$S$137,Data!$O$3:$O$137,T$1,Data!$P$3:$P$137,T$2,Data!$K$3:$K$137,$B19)</f>
        <v>0</v>
      </c>
      <c r="U19" s="3"/>
      <c r="V19" s="462">
        <f t="shared" si="3"/>
        <v>0</v>
      </c>
      <c r="W19" s="462">
        <f t="shared" si="4"/>
        <v>0</v>
      </c>
      <c r="X19" s="462">
        <f t="shared" si="4"/>
        <v>0</v>
      </c>
      <c r="Y19" s="462">
        <f t="shared" si="4"/>
        <v>0</v>
      </c>
      <c r="Z19" s="462">
        <f t="shared" si="4"/>
        <v>0</v>
      </c>
      <c r="AA19" s="462">
        <f t="shared" si="4"/>
        <v>0</v>
      </c>
      <c r="AB19" s="462">
        <f t="shared" si="4"/>
        <v>0</v>
      </c>
      <c r="AC19" s="462">
        <f t="shared" si="4"/>
        <v>0</v>
      </c>
      <c r="AD19" s="462">
        <f t="shared" si="4"/>
        <v>0</v>
      </c>
      <c r="AE19" s="462"/>
      <c r="AF19" s="462">
        <f ca="1">IFERROR(1/AF$3,1)*SUMIFS(Data!$S$3:$S$137,Data!$O$3:$O$137,AF$1,Data!$P$3:$P$137,IF(RIGHT(AF$2,3)="YTD","&lt;="&amp;LEFT(AF$2,2)*1,AF$2),Data!$K$3:$K$137,$B19)</f>
        <v>0</v>
      </c>
      <c r="AG19" s="462">
        <f t="shared" ca="1" si="5"/>
        <v>0</v>
      </c>
      <c r="AH19" s="463">
        <f t="shared" ca="1" si="6"/>
        <v>0</v>
      </c>
      <c r="AI19" s="3"/>
      <c r="AJ19" s="462">
        <v>103515</v>
      </c>
      <c r="AK19" s="465">
        <v>0</v>
      </c>
      <c r="AL19" s="3"/>
      <c r="AM19" s="3"/>
      <c r="AN19" s="3"/>
      <c r="AO19" s="3"/>
      <c r="AP19" s="3"/>
      <c r="AQ19" s="3"/>
      <c r="AR19" s="3"/>
      <c r="AS19" s="3"/>
    </row>
    <row r="20" spans="1:45" ht="19.5" hidden="1" customHeight="1" x14ac:dyDescent="0.3">
      <c r="A20" s="33" t="s">
        <v>543</v>
      </c>
      <c r="B20" s="33" t="s">
        <v>544</v>
      </c>
      <c r="C20" s="191" t="s">
        <v>535</v>
      </c>
      <c r="D20" s="3"/>
      <c r="E20" s="462">
        <f t="shared" si="1"/>
        <v>9451.5833333333339</v>
      </c>
      <c r="F20" s="462">
        <f ca="1">IFERROR(1/F$3,1)*SUMIFS(Data!$S$3:$S$137,Data!$O$3:$O$137,F$1,Data!$P$3:$P$137,IF(RIGHT(F$2,3)="YTD","&lt;="&amp;LEFT(F$2,2)*1,F$2),Data!$K$3:$K$137,$B20)</f>
        <v>0</v>
      </c>
      <c r="G20" s="462">
        <f t="shared" si="2"/>
        <v>20833.333333333332</v>
      </c>
      <c r="H20" s="3"/>
      <c r="I20" s="462">
        <f>IFERROR(1/I$3,1)*SUMIFS(Data!$S$3:$S$137,Data!$O$3:$O$137,I$1,Data!$P$3:$P$137,IF(RIGHT(I$2,3)="YTD","&lt;="&amp;LEFT(I$2,2)*1,I$2),Data!$K$3:$K$137,$B20)</f>
        <v>0</v>
      </c>
      <c r="J20" s="462">
        <f>IFERROR(1/J$3,1)*SUMIFS(Data!$S$3:$S$137,Data!$O$3:$O$137,J$1,Data!$P$3:$P$137,IF(RIGHT(J$2,3)="YTD","&lt;="&amp;LEFT(J$2,2)*1,J$2),Data!$K$3:$K$137,$B20)</f>
        <v>0</v>
      </c>
      <c r="K20" s="462">
        <f>IFERROR(1/K$3,1)*SUMIFS(Data!$S$3:$S$137,Data!$O$3:$O$137,K$1,Data!$P$3:$P$137,IF(RIGHT(K$2,3)="YTD","&lt;="&amp;LEFT(K$2,2)*1,K$2),Data!$K$3:$K$137,$B20)</f>
        <v>0</v>
      </c>
      <c r="L20" s="462">
        <f>IFERROR(1/L$3,1)*SUMIFS(Data!$S$3:$S$137,Data!$O$3:$O$137,L$1,Data!$P$3:$P$137,IF(RIGHT(L$2,3)="YTD","&lt;="&amp;LEFT(L$2,2)*1,L$2),Data!$K$3:$K$137,$B20)</f>
        <v>0</v>
      </c>
      <c r="M20" s="462">
        <f>IFERROR(1/M$3,1)*SUMIFS(Data!$S$3:$S$137,Data!$O$3:$O$137,M$1,Data!$P$3:$P$137,IF(RIGHT(M$2,3)="YTD","&lt;="&amp;LEFT(M$2,2)*1,M$2),Data!$K$3:$K$137,$B20)</f>
        <v>0</v>
      </c>
      <c r="N20" s="462">
        <f>SUMIFS(Data!$S$3:$S$137,Data!$O$3:$O$137,N$1,Data!$P$3:$P$137,N$2,Data!$K$3:$K$137,$B20)</f>
        <v>0</v>
      </c>
      <c r="O20" s="462">
        <f>SUMIFS(Data!$S$3:$S$137,Data!$O$3:$O$137,O$1,Data!$P$3:$P$137,O$2,Data!$K$3:$K$137,$B20)</f>
        <v>0</v>
      </c>
      <c r="P20" s="462">
        <f>SUMIFS(Data!$S$3:$S$137,Data!$O$3:$O$137,P$1,Data!$P$3:$P$137,P$2,Data!$K$3:$K$137,$B20)</f>
        <v>0</v>
      </c>
      <c r="Q20" s="462">
        <f>SUMIFS(Data!$S$3:$S$137,Data!$O$3:$O$137,Q$1,Data!$P$3:$P$137,Q$2,Data!$K$3:$K$137,$B20)</f>
        <v>0</v>
      </c>
      <c r="R20" s="462">
        <f>SUMIFS(Data!$S$3:$S$137,Data!$O$3:$O$137,R$1,Data!$P$3:$P$137,R$2,Data!$K$3:$K$137,$B20)</f>
        <v>0</v>
      </c>
      <c r="S20" s="462">
        <f>SUMIFS(Data!$S$3:$S$137,Data!$O$3:$O$137,S$1,Data!$P$3:$P$137,S$2,Data!$K$3:$K$137,$B20)</f>
        <v>0</v>
      </c>
      <c r="T20" s="462">
        <f>SUMIFS(Data!$S$3:$S$137,Data!$O$3:$O$137,T$1,Data!$P$3:$P$137,T$2,Data!$K$3:$K$137,$B20)</f>
        <v>0</v>
      </c>
      <c r="U20" s="3"/>
      <c r="V20" s="462">
        <f t="shared" si="3"/>
        <v>20833.333333333332</v>
      </c>
      <c r="W20" s="462">
        <f t="shared" si="4"/>
        <v>20833.333333333332</v>
      </c>
      <c r="X20" s="462">
        <f t="shared" si="4"/>
        <v>20833.333333333332</v>
      </c>
      <c r="Y20" s="462">
        <f t="shared" si="4"/>
        <v>20833.333333333332</v>
      </c>
      <c r="Z20" s="462">
        <f t="shared" si="4"/>
        <v>20833.333333333332</v>
      </c>
      <c r="AA20" s="462">
        <f t="shared" si="4"/>
        <v>20833.333333333332</v>
      </c>
      <c r="AB20" s="462">
        <f t="shared" si="4"/>
        <v>20833.333333333332</v>
      </c>
      <c r="AC20" s="462">
        <f t="shared" si="4"/>
        <v>20833.333333333332</v>
      </c>
      <c r="AD20" s="462">
        <f t="shared" si="4"/>
        <v>20833.333333333332</v>
      </c>
      <c r="AE20" s="462"/>
      <c r="AF20" s="462">
        <f ca="1">IFERROR(1/AF$3,1)*SUMIFS(Data!$S$3:$S$137,Data!$O$3:$O$137,AF$1,Data!$P$3:$P$137,IF(RIGHT(AF$2,3)="YTD","&lt;="&amp;LEFT(AF$2,2)*1,AF$2),Data!$K$3:$K$137,$B20)</f>
        <v>0</v>
      </c>
      <c r="AG20" s="462">
        <f t="shared" ca="1" si="5"/>
        <v>62500</v>
      </c>
      <c r="AH20" s="463">
        <f t="shared" ca="1" si="6"/>
        <v>-62500</v>
      </c>
      <c r="AI20" s="3"/>
      <c r="AJ20" s="462">
        <v>113419</v>
      </c>
      <c r="AK20" s="465">
        <v>250000</v>
      </c>
      <c r="AL20" s="3"/>
      <c r="AM20" s="3"/>
      <c r="AN20" s="3"/>
      <c r="AO20" s="3"/>
      <c r="AP20" s="3"/>
      <c r="AQ20" s="3"/>
      <c r="AR20" s="3"/>
      <c r="AS20" s="3"/>
    </row>
    <row r="21" spans="1:45" ht="19.5" hidden="1" customHeight="1" x14ac:dyDescent="0.3">
      <c r="A21" s="33" t="s">
        <v>545</v>
      </c>
      <c r="B21" s="33" t="s">
        <v>546</v>
      </c>
      <c r="C21" s="191" t="s">
        <v>535</v>
      </c>
      <c r="D21" s="3"/>
      <c r="E21" s="462">
        <f t="shared" si="1"/>
        <v>5542.75</v>
      </c>
      <c r="F21" s="462">
        <f ca="1">IFERROR(1/F$3,1)*SUMIFS(Data!$S$3:$S$137,Data!$O$3:$O$137,F$1,Data!$P$3:$P$137,IF(RIGHT(F$2,3)="YTD","&lt;="&amp;LEFT(F$2,2)*1,F$2),Data!$K$3:$K$137,$B21)</f>
        <v>0</v>
      </c>
      <c r="G21" s="462">
        <f t="shared" si="2"/>
        <v>3750</v>
      </c>
      <c r="H21" s="3"/>
      <c r="I21" s="462">
        <f>IFERROR(1/I$3,1)*SUMIFS(Data!$S$3:$S$137,Data!$O$3:$O$137,I$1,Data!$P$3:$P$137,IF(RIGHT(I$2,3)="YTD","&lt;="&amp;LEFT(I$2,2)*1,I$2),Data!$K$3:$K$137,$B21)</f>
        <v>0</v>
      </c>
      <c r="J21" s="462">
        <f>IFERROR(1/J$3,1)*SUMIFS(Data!$S$3:$S$137,Data!$O$3:$O$137,J$1,Data!$P$3:$P$137,IF(RIGHT(J$2,3)="YTD","&lt;="&amp;LEFT(J$2,2)*1,J$2),Data!$K$3:$K$137,$B21)</f>
        <v>0</v>
      </c>
      <c r="K21" s="462">
        <f>IFERROR(1/K$3,1)*SUMIFS(Data!$S$3:$S$137,Data!$O$3:$O$137,K$1,Data!$P$3:$P$137,IF(RIGHT(K$2,3)="YTD","&lt;="&amp;LEFT(K$2,2)*1,K$2),Data!$K$3:$K$137,$B21)</f>
        <v>0</v>
      </c>
      <c r="L21" s="462">
        <f>IFERROR(1/L$3,1)*SUMIFS(Data!$S$3:$S$137,Data!$O$3:$O$137,L$1,Data!$P$3:$P$137,IF(RIGHT(L$2,3)="YTD","&lt;="&amp;LEFT(L$2,2)*1,L$2),Data!$K$3:$K$137,$B21)</f>
        <v>0</v>
      </c>
      <c r="M21" s="462">
        <f>IFERROR(1/M$3,1)*SUMIFS(Data!$S$3:$S$137,Data!$O$3:$O$137,M$1,Data!$P$3:$P$137,IF(RIGHT(M$2,3)="YTD","&lt;="&amp;LEFT(M$2,2)*1,M$2),Data!$K$3:$K$137,$B21)</f>
        <v>0</v>
      </c>
      <c r="N21" s="462">
        <f>SUMIFS(Data!$S$3:$S$137,Data!$O$3:$O$137,N$1,Data!$P$3:$P$137,N$2,Data!$K$3:$K$137,$B21)</f>
        <v>0</v>
      </c>
      <c r="O21" s="462">
        <f>SUMIFS(Data!$S$3:$S$137,Data!$O$3:$O$137,O$1,Data!$P$3:$P$137,O$2,Data!$K$3:$K$137,$B21)</f>
        <v>0</v>
      </c>
      <c r="P21" s="462">
        <f>SUMIFS(Data!$S$3:$S$137,Data!$O$3:$O$137,P$1,Data!$P$3:$P$137,P$2,Data!$K$3:$K$137,$B21)</f>
        <v>0</v>
      </c>
      <c r="Q21" s="462">
        <f>SUMIFS(Data!$S$3:$S$137,Data!$O$3:$O$137,Q$1,Data!$P$3:$P$137,Q$2,Data!$K$3:$K$137,$B21)</f>
        <v>0</v>
      </c>
      <c r="R21" s="462">
        <f>SUMIFS(Data!$S$3:$S$137,Data!$O$3:$O$137,R$1,Data!$P$3:$P$137,R$2,Data!$K$3:$K$137,$B21)</f>
        <v>0</v>
      </c>
      <c r="S21" s="462">
        <f>SUMIFS(Data!$S$3:$S$137,Data!$O$3:$O$137,S$1,Data!$P$3:$P$137,S$2,Data!$K$3:$K$137,$B21)</f>
        <v>0</v>
      </c>
      <c r="T21" s="462">
        <f>SUMIFS(Data!$S$3:$S$137,Data!$O$3:$O$137,T$1,Data!$P$3:$P$137,T$2,Data!$K$3:$K$137,$B21)</f>
        <v>0</v>
      </c>
      <c r="U21" s="3"/>
      <c r="V21" s="462">
        <f t="shared" si="3"/>
        <v>3750</v>
      </c>
      <c r="W21" s="462">
        <f t="shared" si="4"/>
        <v>3750</v>
      </c>
      <c r="X21" s="462">
        <f t="shared" si="4"/>
        <v>3750</v>
      </c>
      <c r="Y21" s="462">
        <f t="shared" si="4"/>
        <v>3750</v>
      </c>
      <c r="Z21" s="462">
        <f t="shared" si="4"/>
        <v>3750</v>
      </c>
      <c r="AA21" s="462">
        <f t="shared" si="4"/>
        <v>3750</v>
      </c>
      <c r="AB21" s="462">
        <f t="shared" si="4"/>
        <v>3750</v>
      </c>
      <c r="AC21" s="462">
        <f t="shared" si="4"/>
        <v>3750</v>
      </c>
      <c r="AD21" s="462">
        <f t="shared" si="4"/>
        <v>3750</v>
      </c>
      <c r="AE21" s="462"/>
      <c r="AF21" s="462">
        <f ca="1">IFERROR(1/AF$3,1)*SUMIFS(Data!$S$3:$S$137,Data!$O$3:$O$137,AF$1,Data!$P$3:$P$137,IF(RIGHT(AF$2,3)="YTD","&lt;="&amp;LEFT(AF$2,2)*1,AF$2),Data!$K$3:$K$137,$B21)</f>
        <v>0</v>
      </c>
      <c r="AG21" s="462">
        <f t="shared" ca="1" si="5"/>
        <v>11250</v>
      </c>
      <c r="AH21" s="463">
        <f t="shared" ca="1" si="6"/>
        <v>-11250</v>
      </c>
      <c r="AI21" s="3"/>
      <c r="AJ21" s="462">
        <v>66513</v>
      </c>
      <c r="AK21" s="465">
        <v>45000</v>
      </c>
      <c r="AL21" s="3"/>
      <c r="AM21" s="3"/>
      <c r="AN21" s="3"/>
      <c r="AO21" s="3"/>
      <c r="AP21" s="3"/>
      <c r="AQ21" s="3"/>
      <c r="AR21" s="3"/>
      <c r="AS21" s="3"/>
    </row>
    <row r="22" spans="1:45" ht="19.5" hidden="1" customHeight="1" x14ac:dyDescent="0.3">
      <c r="A22" s="33" t="s">
        <v>547</v>
      </c>
      <c r="B22" s="33" t="s">
        <v>548</v>
      </c>
      <c r="C22" s="191" t="s">
        <v>535</v>
      </c>
      <c r="D22" s="3"/>
      <c r="E22" s="462">
        <f t="shared" si="1"/>
        <v>304.16666666666669</v>
      </c>
      <c r="F22" s="462">
        <f ca="1">IFERROR(1/F$3,1)*SUMIFS(Data!$S$3:$S$137,Data!$O$3:$O$137,F$1,Data!$P$3:$P$137,IF(RIGHT(F$2,3)="YTD","&lt;="&amp;LEFT(F$2,2)*1,F$2),Data!$K$3:$K$137,$B22)</f>
        <v>0</v>
      </c>
      <c r="G22" s="462">
        <f t="shared" si="2"/>
        <v>20833.333333333332</v>
      </c>
      <c r="H22" s="3"/>
      <c r="I22" s="462">
        <f>IFERROR(1/I$3,1)*SUMIFS(Data!$S$3:$S$137,Data!$O$3:$O$137,I$1,Data!$P$3:$P$137,IF(RIGHT(I$2,3)="YTD","&lt;="&amp;LEFT(I$2,2)*1,I$2),Data!$K$3:$K$137,$B22)</f>
        <v>0</v>
      </c>
      <c r="J22" s="462">
        <f>IFERROR(1/J$3,1)*SUMIFS(Data!$S$3:$S$137,Data!$O$3:$O$137,J$1,Data!$P$3:$P$137,IF(RIGHT(J$2,3)="YTD","&lt;="&amp;LEFT(J$2,2)*1,J$2),Data!$K$3:$K$137,$B22)</f>
        <v>0</v>
      </c>
      <c r="K22" s="462">
        <f>IFERROR(1/K$3,1)*SUMIFS(Data!$S$3:$S$137,Data!$O$3:$O$137,K$1,Data!$P$3:$P$137,IF(RIGHT(K$2,3)="YTD","&lt;="&amp;LEFT(K$2,2)*1,K$2),Data!$K$3:$K$137,$B22)</f>
        <v>0</v>
      </c>
      <c r="L22" s="462">
        <f>IFERROR(1/L$3,1)*SUMIFS(Data!$S$3:$S$137,Data!$O$3:$O$137,L$1,Data!$P$3:$P$137,IF(RIGHT(L$2,3)="YTD","&lt;="&amp;LEFT(L$2,2)*1,L$2),Data!$K$3:$K$137,$B22)</f>
        <v>0</v>
      </c>
      <c r="M22" s="462">
        <f>IFERROR(1/M$3,1)*SUMIFS(Data!$S$3:$S$137,Data!$O$3:$O$137,M$1,Data!$P$3:$P$137,IF(RIGHT(M$2,3)="YTD","&lt;="&amp;LEFT(M$2,2)*1,M$2),Data!$K$3:$K$137,$B22)</f>
        <v>0</v>
      </c>
      <c r="N22" s="462">
        <f>SUMIFS(Data!$S$3:$S$137,Data!$O$3:$O$137,N$1,Data!$P$3:$P$137,N$2,Data!$K$3:$K$137,$B22)</f>
        <v>0</v>
      </c>
      <c r="O22" s="462">
        <f>SUMIFS(Data!$S$3:$S$137,Data!$O$3:$O$137,O$1,Data!$P$3:$P$137,O$2,Data!$K$3:$K$137,$B22)</f>
        <v>0</v>
      </c>
      <c r="P22" s="462">
        <f>SUMIFS(Data!$S$3:$S$137,Data!$O$3:$O$137,P$1,Data!$P$3:$P$137,P$2,Data!$K$3:$K$137,$B22)</f>
        <v>0</v>
      </c>
      <c r="Q22" s="462">
        <f>SUMIFS(Data!$S$3:$S$137,Data!$O$3:$O$137,Q$1,Data!$P$3:$P$137,Q$2,Data!$K$3:$K$137,$B22)</f>
        <v>0</v>
      </c>
      <c r="R22" s="462">
        <f>SUMIFS(Data!$S$3:$S$137,Data!$O$3:$O$137,R$1,Data!$P$3:$P$137,R$2,Data!$K$3:$K$137,$B22)</f>
        <v>0</v>
      </c>
      <c r="S22" s="462">
        <f>SUMIFS(Data!$S$3:$S$137,Data!$O$3:$O$137,S$1,Data!$P$3:$P$137,S$2,Data!$K$3:$K$137,$B22)</f>
        <v>0</v>
      </c>
      <c r="T22" s="462">
        <f>SUMIFS(Data!$S$3:$S$137,Data!$O$3:$O$137,T$1,Data!$P$3:$P$137,T$2,Data!$K$3:$K$137,$B22)</f>
        <v>0</v>
      </c>
      <c r="U22" s="3"/>
      <c r="V22" s="462">
        <f t="shared" si="3"/>
        <v>20833.333333333332</v>
      </c>
      <c r="W22" s="462">
        <f t="shared" si="4"/>
        <v>20833.333333333332</v>
      </c>
      <c r="X22" s="462">
        <f t="shared" si="4"/>
        <v>20833.333333333332</v>
      </c>
      <c r="Y22" s="462">
        <f t="shared" si="4"/>
        <v>20833.333333333332</v>
      </c>
      <c r="Z22" s="462">
        <f t="shared" si="4"/>
        <v>20833.333333333332</v>
      </c>
      <c r="AA22" s="462">
        <f t="shared" si="4"/>
        <v>20833.333333333332</v>
      </c>
      <c r="AB22" s="462">
        <f t="shared" si="4"/>
        <v>20833.333333333332</v>
      </c>
      <c r="AC22" s="462">
        <f t="shared" si="4"/>
        <v>20833.333333333332</v>
      </c>
      <c r="AD22" s="462">
        <f t="shared" si="4"/>
        <v>20833.333333333332</v>
      </c>
      <c r="AE22" s="462"/>
      <c r="AF22" s="462">
        <f ca="1">IFERROR(1/AF$3,1)*SUMIFS(Data!$S$3:$S$137,Data!$O$3:$O$137,AF$1,Data!$P$3:$P$137,IF(RIGHT(AF$2,3)="YTD","&lt;="&amp;LEFT(AF$2,2)*1,AF$2),Data!$K$3:$K$137,$B22)</f>
        <v>0</v>
      </c>
      <c r="AG22" s="462">
        <f t="shared" ca="1" si="5"/>
        <v>62500</v>
      </c>
      <c r="AH22" s="463">
        <f t="shared" ca="1" si="6"/>
        <v>-62500</v>
      </c>
      <c r="AI22" s="3"/>
      <c r="AJ22" s="462">
        <v>3650</v>
      </c>
      <c r="AK22" s="462">
        <v>250000</v>
      </c>
      <c r="AL22" s="3"/>
      <c r="AM22" s="3"/>
      <c r="AN22" s="3"/>
      <c r="AO22" s="3"/>
      <c r="AP22" s="3"/>
      <c r="AQ22" s="3"/>
      <c r="AR22" s="3"/>
      <c r="AS22" s="3"/>
    </row>
    <row r="23" spans="1:45" ht="19.5" hidden="1" customHeight="1" x14ac:dyDescent="0.3">
      <c r="A23" s="3" t="s">
        <v>549</v>
      </c>
      <c r="B23" s="33" t="s">
        <v>550</v>
      </c>
      <c r="C23" s="191" t="s">
        <v>535</v>
      </c>
      <c r="D23" s="3"/>
      <c r="E23" s="462">
        <f t="shared" si="1"/>
        <v>70966</v>
      </c>
      <c r="F23" s="462">
        <f ca="1">IFERROR(1/F$3,1)*SUMIFS(Data!$S$3:$S$137,Data!$O$3:$O$137,F$1,Data!$P$3:$P$137,IF(RIGHT(F$2,3)="YTD","&lt;="&amp;LEFT(F$2,2)*1,F$2),Data!$K$3:$K$137,$B23)</f>
        <v>0</v>
      </c>
      <c r="G23" s="462">
        <f t="shared" si="2"/>
        <v>0</v>
      </c>
      <c r="H23" s="3"/>
      <c r="I23" s="462">
        <f>IFERROR(1/I$3,1)*SUMIFS(Data!$S$3:$S$137,Data!$O$3:$O$137,I$1,Data!$P$3:$P$137,IF(RIGHT(I$2,3)="YTD","&lt;="&amp;LEFT(I$2,2)*1,I$2),Data!$K$3:$K$137,$B23)</f>
        <v>0</v>
      </c>
      <c r="J23" s="462">
        <f>IFERROR(1/J$3,1)*SUMIFS(Data!$S$3:$S$137,Data!$O$3:$O$137,J$1,Data!$P$3:$P$137,IF(RIGHT(J$2,3)="YTD","&lt;="&amp;LEFT(J$2,2)*1,J$2),Data!$K$3:$K$137,$B23)</f>
        <v>0</v>
      </c>
      <c r="K23" s="462">
        <f>IFERROR(1/K$3,1)*SUMIFS(Data!$S$3:$S$137,Data!$O$3:$O$137,K$1,Data!$P$3:$P$137,IF(RIGHT(K$2,3)="YTD","&lt;="&amp;LEFT(K$2,2)*1,K$2),Data!$K$3:$K$137,$B23)</f>
        <v>0</v>
      </c>
      <c r="L23" s="462">
        <f>IFERROR(1/L$3,1)*SUMIFS(Data!$S$3:$S$137,Data!$O$3:$O$137,L$1,Data!$P$3:$P$137,IF(RIGHT(L$2,3)="YTD","&lt;="&amp;LEFT(L$2,2)*1,L$2),Data!$K$3:$K$137,$B23)</f>
        <v>0</v>
      </c>
      <c r="M23" s="462">
        <f>IFERROR(1/M$3,1)*SUMIFS(Data!$S$3:$S$137,Data!$O$3:$O$137,M$1,Data!$P$3:$P$137,IF(RIGHT(M$2,3)="YTD","&lt;="&amp;LEFT(M$2,2)*1,M$2),Data!$K$3:$K$137,$B23)</f>
        <v>0</v>
      </c>
      <c r="N23" s="462">
        <f>SUMIFS(Data!$S$3:$S$137,Data!$O$3:$O$137,N$1,Data!$P$3:$P$137,N$2,Data!$K$3:$K$137,$B23)</f>
        <v>0</v>
      </c>
      <c r="O23" s="462">
        <f>SUMIFS(Data!$S$3:$S$137,Data!$O$3:$O$137,O$1,Data!$P$3:$P$137,O$2,Data!$K$3:$K$137,$B23)</f>
        <v>0</v>
      </c>
      <c r="P23" s="462">
        <f>SUMIFS(Data!$S$3:$S$137,Data!$O$3:$O$137,P$1,Data!$P$3:$P$137,P$2,Data!$K$3:$K$137,$B23)</f>
        <v>0</v>
      </c>
      <c r="Q23" s="462">
        <f>SUMIFS(Data!$S$3:$S$137,Data!$O$3:$O$137,Q$1,Data!$P$3:$P$137,Q$2,Data!$K$3:$K$137,$B23)</f>
        <v>0</v>
      </c>
      <c r="R23" s="462">
        <f>SUMIFS(Data!$S$3:$S$137,Data!$O$3:$O$137,R$1,Data!$P$3:$P$137,R$2,Data!$K$3:$K$137,$B23)</f>
        <v>0</v>
      </c>
      <c r="S23" s="462">
        <f>SUMIFS(Data!$S$3:$S$137,Data!$O$3:$O$137,S$1,Data!$P$3:$P$137,S$2,Data!$K$3:$K$137,$B23)</f>
        <v>0</v>
      </c>
      <c r="T23" s="462">
        <f>SUMIFS(Data!$S$3:$S$137,Data!$O$3:$O$137,T$1,Data!$P$3:$P$137,T$2,Data!$K$3:$K$137,$B23)</f>
        <v>0</v>
      </c>
      <c r="U23" s="3"/>
      <c r="V23" s="462">
        <f t="shared" si="3"/>
        <v>0</v>
      </c>
      <c r="W23" s="462">
        <f t="shared" si="4"/>
        <v>0</v>
      </c>
      <c r="X23" s="462">
        <f t="shared" si="4"/>
        <v>0</v>
      </c>
      <c r="Y23" s="462">
        <f t="shared" si="4"/>
        <v>0</v>
      </c>
      <c r="Z23" s="462">
        <f t="shared" si="4"/>
        <v>0</v>
      </c>
      <c r="AA23" s="462">
        <f t="shared" si="4"/>
        <v>0</v>
      </c>
      <c r="AB23" s="462">
        <f t="shared" si="4"/>
        <v>0</v>
      </c>
      <c r="AC23" s="462">
        <f t="shared" si="4"/>
        <v>0</v>
      </c>
      <c r="AD23" s="462">
        <f t="shared" si="4"/>
        <v>0</v>
      </c>
      <c r="AE23" s="462"/>
      <c r="AF23" s="462">
        <f ca="1">IFERROR(1/AF$3,1)*SUMIFS(Data!$S$3:$S$137,Data!$O$3:$O$137,AF$1,Data!$P$3:$P$137,IF(RIGHT(AF$2,3)="YTD","&lt;="&amp;LEFT(AF$2,2)*1,AF$2),Data!$K$3:$K$137,$B23)</f>
        <v>0</v>
      </c>
      <c r="AG23" s="462">
        <f t="shared" ca="1" si="5"/>
        <v>0</v>
      </c>
      <c r="AH23" s="463">
        <f t="shared" ca="1" si="6"/>
        <v>0</v>
      </c>
      <c r="AI23" s="3"/>
      <c r="AJ23" s="462">
        <v>851592</v>
      </c>
      <c r="AK23" s="462">
        <v>0</v>
      </c>
      <c r="AL23" s="3"/>
      <c r="AM23" s="3"/>
      <c r="AN23" s="3"/>
      <c r="AO23" s="3"/>
      <c r="AP23" s="3"/>
      <c r="AQ23" s="3"/>
      <c r="AR23" s="3"/>
      <c r="AS23" s="3"/>
    </row>
    <row r="24" spans="1:45" ht="19.5" hidden="1" customHeight="1" x14ac:dyDescent="0.3">
      <c r="A24" s="3"/>
      <c r="B24" s="33" t="s">
        <v>551</v>
      </c>
      <c r="C24" s="191" t="s">
        <v>535</v>
      </c>
      <c r="D24" s="3"/>
      <c r="E24" s="462">
        <f t="shared" si="1"/>
        <v>228467.83333333334</v>
      </c>
      <c r="F24" s="462">
        <f ca="1">IFERROR(1/F$3,1)*SUMIFS(Data!$S$3:$S$137,Data!$O$3:$O$137,F$1,Data!$P$3:$P$137,IF(RIGHT(F$2,3)="YTD","&lt;="&amp;LEFT(F$2,2)*1,F$2),Data!$K$3:$K$137,$B24)</f>
        <v>0</v>
      </c>
      <c r="G24" s="462">
        <f t="shared" si="2"/>
        <v>0</v>
      </c>
      <c r="H24" s="3"/>
      <c r="I24" s="462">
        <f>IFERROR(1/I$3,1)*SUMIFS(Data!$S$3:$S$137,Data!$O$3:$O$137,I$1,Data!$P$3:$P$137,IF(RIGHT(I$2,3)="YTD","&lt;="&amp;LEFT(I$2,2)*1,I$2),Data!$K$3:$K$137,$B24)</f>
        <v>0</v>
      </c>
      <c r="J24" s="462">
        <f>IFERROR(1/J$3,1)*SUMIFS(Data!$S$3:$S$137,Data!$O$3:$O$137,J$1,Data!$P$3:$P$137,IF(RIGHT(J$2,3)="YTD","&lt;="&amp;LEFT(J$2,2)*1,J$2),Data!$K$3:$K$137,$B24)</f>
        <v>0</v>
      </c>
      <c r="K24" s="462">
        <f>IFERROR(1/K$3,1)*SUMIFS(Data!$S$3:$S$137,Data!$O$3:$O$137,K$1,Data!$P$3:$P$137,IF(RIGHT(K$2,3)="YTD","&lt;="&amp;LEFT(K$2,2)*1,K$2),Data!$K$3:$K$137,$B24)</f>
        <v>0</v>
      </c>
      <c r="L24" s="462">
        <f>IFERROR(1/L$3,1)*SUMIFS(Data!$S$3:$S$137,Data!$O$3:$O$137,L$1,Data!$P$3:$P$137,IF(RIGHT(L$2,3)="YTD","&lt;="&amp;LEFT(L$2,2)*1,L$2),Data!$K$3:$K$137,$B24)</f>
        <v>0</v>
      </c>
      <c r="M24" s="462">
        <f>IFERROR(1/M$3,1)*SUMIFS(Data!$S$3:$S$137,Data!$O$3:$O$137,M$1,Data!$P$3:$P$137,IF(RIGHT(M$2,3)="YTD","&lt;="&amp;LEFT(M$2,2)*1,M$2),Data!$K$3:$K$137,$B24)</f>
        <v>0</v>
      </c>
      <c r="N24" s="462">
        <f>SUMIFS(Data!$S$3:$S$137,Data!$O$3:$O$137,N$1,Data!$P$3:$P$137,N$2,Data!$K$3:$K$137,$B24)</f>
        <v>0</v>
      </c>
      <c r="O24" s="462">
        <f>SUMIFS(Data!$S$3:$S$137,Data!$O$3:$O$137,O$1,Data!$P$3:$P$137,O$2,Data!$K$3:$K$137,$B24)</f>
        <v>0</v>
      </c>
      <c r="P24" s="462">
        <f>SUMIFS(Data!$S$3:$S$137,Data!$O$3:$O$137,P$1,Data!$P$3:$P$137,P$2,Data!$K$3:$K$137,$B24)</f>
        <v>0</v>
      </c>
      <c r="Q24" s="462">
        <f>SUMIFS(Data!$S$3:$S$137,Data!$O$3:$O$137,Q$1,Data!$P$3:$P$137,Q$2,Data!$K$3:$K$137,$B24)</f>
        <v>0</v>
      </c>
      <c r="R24" s="462">
        <f>SUMIFS(Data!$S$3:$S$137,Data!$O$3:$O$137,R$1,Data!$P$3:$P$137,R$2,Data!$K$3:$K$137,$B24)</f>
        <v>0</v>
      </c>
      <c r="S24" s="462">
        <f>SUMIFS(Data!$S$3:$S$137,Data!$O$3:$O$137,S$1,Data!$P$3:$P$137,S$2,Data!$K$3:$K$137,$B24)</f>
        <v>0</v>
      </c>
      <c r="T24" s="462">
        <f>SUMIFS(Data!$S$3:$S$137,Data!$O$3:$O$137,T$1,Data!$P$3:$P$137,T$2,Data!$K$3:$K$137,$B24)</f>
        <v>0</v>
      </c>
      <c r="U24" s="3"/>
      <c r="V24" s="462">
        <f t="shared" si="3"/>
        <v>0</v>
      </c>
      <c r="W24" s="462">
        <f t="shared" si="4"/>
        <v>0</v>
      </c>
      <c r="X24" s="462">
        <f t="shared" si="4"/>
        <v>0</v>
      </c>
      <c r="Y24" s="462">
        <f t="shared" si="4"/>
        <v>0</v>
      </c>
      <c r="Z24" s="462">
        <f t="shared" si="4"/>
        <v>0</v>
      </c>
      <c r="AA24" s="462">
        <f t="shared" si="4"/>
        <v>0</v>
      </c>
      <c r="AB24" s="462">
        <f t="shared" si="4"/>
        <v>0</v>
      </c>
      <c r="AC24" s="462">
        <f t="shared" si="4"/>
        <v>0</v>
      </c>
      <c r="AD24" s="462">
        <f t="shared" si="4"/>
        <v>0</v>
      </c>
      <c r="AE24" s="462"/>
      <c r="AF24" s="462">
        <f ca="1">IFERROR(1/AF$3,1)*SUMIFS(Data!$S$3:$S$137,Data!$O$3:$O$137,AF$1,Data!$P$3:$P$137,IF(RIGHT(AF$2,3)="YTD","&lt;="&amp;LEFT(AF$2,2)*1,AF$2),Data!$K$3:$K$137,$B24)</f>
        <v>0</v>
      </c>
      <c r="AG24" s="462">
        <f t="shared" ca="1" si="5"/>
        <v>0</v>
      </c>
      <c r="AH24" s="463">
        <f t="shared" ca="1" si="6"/>
        <v>0</v>
      </c>
      <c r="AI24" s="3"/>
      <c r="AJ24" s="462">
        <v>2741614</v>
      </c>
      <c r="AK24" s="462">
        <v>0</v>
      </c>
      <c r="AL24" s="3"/>
      <c r="AM24" s="3"/>
      <c r="AN24" s="3"/>
      <c r="AO24" s="3"/>
      <c r="AP24" s="3"/>
      <c r="AQ24" s="3"/>
      <c r="AR24" s="3"/>
      <c r="AS24" s="3"/>
    </row>
    <row r="25" spans="1:45" ht="19.5" hidden="1" customHeight="1" x14ac:dyDescent="0.3">
      <c r="A25" s="3"/>
      <c r="B25" s="41" t="s">
        <v>552</v>
      </c>
      <c r="C25" s="464"/>
      <c r="D25" s="3"/>
      <c r="E25" s="465"/>
      <c r="F25" s="465"/>
      <c r="G25" s="465"/>
      <c r="H25" s="3"/>
      <c r="I25" s="465">
        <f t="shared" ref="I25:T25" si="7">SUM(I15:I24)</f>
        <v>0</v>
      </c>
      <c r="J25" s="465">
        <f t="shared" si="7"/>
        <v>0</v>
      </c>
      <c r="K25" s="465">
        <f t="shared" si="7"/>
        <v>0</v>
      </c>
      <c r="L25" s="465">
        <f t="shared" si="7"/>
        <v>0</v>
      </c>
      <c r="M25" s="465">
        <f t="shared" si="7"/>
        <v>0</v>
      </c>
      <c r="N25" s="465">
        <f t="shared" si="7"/>
        <v>0</v>
      </c>
      <c r="O25" s="465">
        <f t="shared" si="7"/>
        <v>0</v>
      </c>
      <c r="P25" s="465">
        <f t="shared" si="7"/>
        <v>0</v>
      </c>
      <c r="Q25" s="465">
        <f t="shared" si="7"/>
        <v>0</v>
      </c>
      <c r="R25" s="465">
        <f t="shared" si="7"/>
        <v>0</v>
      </c>
      <c r="S25" s="465">
        <f t="shared" si="7"/>
        <v>0</v>
      </c>
      <c r="T25" s="465">
        <f t="shared" si="7"/>
        <v>0</v>
      </c>
      <c r="U25" s="465"/>
      <c r="V25" s="465">
        <f>SUM(V15:V24)</f>
        <v>76250</v>
      </c>
      <c r="W25" s="465">
        <f>SUM(W15:W24)</f>
        <v>76250</v>
      </c>
      <c r="X25" s="465">
        <f>SUM(X15:X24)</f>
        <v>76250</v>
      </c>
      <c r="Y25" s="465">
        <f>SUM(Y15:Y24)</f>
        <v>76250</v>
      </c>
      <c r="Z25" s="465"/>
      <c r="AA25" s="465"/>
      <c r="AB25" s="465"/>
      <c r="AC25" s="462">
        <f>$G25</f>
        <v>0</v>
      </c>
      <c r="AD25" s="462">
        <f>$G25</f>
        <v>0</v>
      </c>
      <c r="AE25" s="465"/>
      <c r="AF25" s="462">
        <f ca="1">SUM(AF15:AF24)</f>
        <v>0</v>
      </c>
      <c r="AG25" s="462">
        <f ca="1">SUM(AG15:AG24)</f>
        <v>228750</v>
      </c>
      <c r="AH25" s="463">
        <f ca="1">SUM(AH15:AH24)</f>
        <v>-228750</v>
      </c>
      <c r="AI25" s="3"/>
      <c r="AJ25" s="465">
        <f>SUM(AJ15:AJ24)</f>
        <v>4444798</v>
      </c>
      <c r="AK25" s="465">
        <f>SUM(AK15:AK24)</f>
        <v>915000</v>
      </c>
      <c r="AL25" s="3"/>
      <c r="AM25" s="3"/>
      <c r="AN25" s="3"/>
      <c r="AO25" s="3"/>
      <c r="AP25" s="3"/>
      <c r="AQ25" s="3"/>
      <c r="AR25" s="3"/>
      <c r="AS25" s="3"/>
    </row>
    <row r="26" spans="1:45" ht="19.5" hidden="1" customHeight="1" x14ac:dyDescent="0.3">
      <c r="A26" s="3"/>
      <c r="B26" s="466" t="s">
        <v>553</v>
      </c>
      <c r="C26" s="466" t="s">
        <v>535</v>
      </c>
      <c r="D26" s="3"/>
      <c r="E26" s="467">
        <f ca="1">AJ26/12*LEFT($F$2,2)</f>
        <v>685403.5</v>
      </c>
      <c r="F26" s="467">
        <f ca="1">SUM(I26:T26)/LEFT($F$2,2)</f>
        <v>602279.96991060709</v>
      </c>
      <c r="G26" s="467">
        <f>AJ26/12</f>
        <v>228467.83333333334</v>
      </c>
      <c r="H26" s="3"/>
      <c r="I26" s="467">
        <f>Reporting!C65</f>
        <v>340509.95</v>
      </c>
      <c r="J26" s="467">
        <f>Reporting!D65</f>
        <v>85704.559731821166</v>
      </c>
      <c r="K26" s="467">
        <f>Reporting!E65</f>
        <v>533231</v>
      </c>
      <c r="L26" s="467">
        <f>Reporting!F65</f>
        <v>847394.4</v>
      </c>
      <c r="M26" s="467">
        <f>Reporting!G65</f>
        <v>0</v>
      </c>
      <c r="N26" s="467">
        <f>Reporting!H65</f>
        <v>0</v>
      </c>
      <c r="O26" s="467">
        <f>Reporting!I65</f>
        <v>0</v>
      </c>
      <c r="P26" s="467">
        <f>Reporting!J65</f>
        <v>0</v>
      </c>
      <c r="Q26" s="467">
        <f>Reporting!K65</f>
        <v>0</v>
      </c>
      <c r="R26" s="467">
        <f>Reporting!L65</f>
        <v>0</v>
      </c>
      <c r="S26" s="467">
        <f>Reporting!M65</f>
        <v>0</v>
      </c>
      <c r="T26" s="467">
        <f>Reporting!N65</f>
        <v>0</v>
      </c>
      <c r="U26" s="3"/>
      <c r="V26" s="467">
        <f>G27</f>
        <v>0</v>
      </c>
      <c r="W26" s="467">
        <f t="shared" ref="W26:AD26" si="8">$G$26</f>
        <v>228467.83333333334</v>
      </c>
      <c r="X26" s="467">
        <f t="shared" si="8"/>
        <v>228467.83333333334</v>
      </c>
      <c r="Y26" s="467">
        <f t="shared" si="8"/>
        <v>228467.83333333334</v>
      </c>
      <c r="Z26" s="467">
        <f t="shared" si="8"/>
        <v>228467.83333333334</v>
      </c>
      <c r="AA26" s="467">
        <f t="shared" si="8"/>
        <v>228467.83333333334</v>
      </c>
      <c r="AB26" s="467">
        <f t="shared" si="8"/>
        <v>228467.83333333334</v>
      </c>
      <c r="AC26" s="467">
        <f t="shared" si="8"/>
        <v>228467.83333333334</v>
      </c>
      <c r="AD26" s="467">
        <f t="shared" si="8"/>
        <v>228467.83333333334</v>
      </c>
      <c r="AE26" s="467"/>
      <c r="AF26" s="467">
        <f>SUM(I26:T26)</f>
        <v>1806839.9097318212</v>
      </c>
      <c r="AG26" s="467">
        <f ca="1">AK26/12*$C$5</f>
        <v>2210000</v>
      </c>
      <c r="AH26" s="468">
        <f ca="1">AF26-AG26</f>
        <v>-403160.09026817884</v>
      </c>
      <c r="AI26" s="3"/>
      <c r="AJ26" s="467">
        <v>2741614</v>
      </c>
      <c r="AK26" s="486">
        <v>6630000</v>
      </c>
      <c r="AL26" s="3"/>
      <c r="AM26" s="3"/>
      <c r="AN26" s="3"/>
      <c r="AO26" s="3"/>
      <c r="AP26" s="3"/>
      <c r="AQ26" s="3"/>
      <c r="AR26" s="3"/>
      <c r="AS26" s="3"/>
    </row>
    <row r="27" spans="1:45" ht="19.5" hidden="1" customHeight="1" x14ac:dyDescent="0.3">
      <c r="A27" s="3"/>
      <c r="B27" s="41"/>
      <c r="C27" s="41" t="s">
        <v>535</v>
      </c>
      <c r="D27" s="3"/>
      <c r="E27" s="465"/>
      <c r="F27" s="465"/>
      <c r="G27" s="465"/>
      <c r="H27" s="3"/>
      <c r="I27" s="465">
        <f t="shared" ref="I27:T27" si="9">I25+I26</f>
        <v>340509.95</v>
      </c>
      <c r="J27" s="465">
        <f t="shared" si="9"/>
        <v>85704.559731821166</v>
      </c>
      <c r="K27" s="465">
        <f t="shared" si="9"/>
        <v>533231</v>
      </c>
      <c r="L27" s="465">
        <f t="shared" si="9"/>
        <v>847394.4</v>
      </c>
      <c r="M27" s="465">
        <f t="shared" si="9"/>
        <v>0</v>
      </c>
      <c r="N27" s="465">
        <f t="shared" si="9"/>
        <v>0</v>
      </c>
      <c r="O27" s="465">
        <f t="shared" si="9"/>
        <v>0</v>
      </c>
      <c r="P27" s="465">
        <f t="shared" si="9"/>
        <v>0</v>
      </c>
      <c r="Q27" s="465">
        <f t="shared" si="9"/>
        <v>0</v>
      </c>
      <c r="R27" s="465">
        <f t="shared" si="9"/>
        <v>0</v>
      </c>
      <c r="S27" s="465">
        <f t="shared" si="9"/>
        <v>0</v>
      </c>
      <c r="T27" s="465">
        <f t="shared" si="9"/>
        <v>0</v>
      </c>
      <c r="U27" s="465"/>
      <c r="V27" s="465">
        <f>V25+V26</f>
        <v>76250</v>
      </c>
      <c r="W27" s="465">
        <f>W25+W26</f>
        <v>304717.83333333337</v>
      </c>
      <c r="X27" s="465">
        <f>X25+X26</f>
        <v>304717.83333333337</v>
      </c>
      <c r="Y27" s="465">
        <f>Y25+Y26</f>
        <v>304717.83333333337</v>
      </c>
      <c r="Z27" s="469"/>
      <c r="AA27" s="469"/>
      <c r="AB27" s="469"/>
      <c r="AC27" s="469"/>
      <c r="AD27" s="469"/>
      <c r="AE27" s="469"/>
      <c r="AF27" s="465">
        <f>SUM(I27:K27)</f>
        <v>959445.50973182125</v>
      </c>
      <c r="AG27" s="465"/>
      <c r="AH27" s="469"/>
      <c r="AI27" s="3"/>
      <c r="AJ27" s="465">
        <f>SUM(M27:O27)</f>
        <v>0</v>
      </c>
      <c r="AK27" s="469"/>
      <c r="AL27" s="3"/>
      <c r="AM27" s="3"/>
      <c r="AN27" s="3"/>
      <c r="AO27" s="3"/>
      <c r="AP27" s="3"/>
      <c r="AQ27" s="3"/>
      <c r="AR27" s="3"/>
      <c r="AS27" s="3"/>
    </row>
    <row r="28" spans="1:45" ht="19.5" customHeight="1" x14ac:dyDescent="0.3">
      <c r="A28" s="3"/>
      <c r="B28" s="41"/>
      <c r="C28" s="41"/>
      <c r="D28" s="3"/>
      <c r="E28" s="465"/>
      <c r="F28" s="465"/>
      <c r="G28" s="465"/>
      <c r="H28" s="3"/>
      <c r="I28" s="465"/>
      <c r="J28" s="465"/>
      <c r="K28" s="465"/>
      <c r="L28" s="465"/>
      <c r="M28" s="465"/>
      <c r="N28" s="465"/>
      <c r="O28" s="465"/>
      <c r="P28" s="465"/>
      <c r="Q28" s="465"/>
      <c r="R28" s="465"/>
      <c r="S28" s="465"/>
      <c r="T28" s="465"/>
      <c r="U28" s="3"/>
      <c r="V28" s="469"/>
      <c r="W28" s="469"/>
      <c r="X28" s="469"/>
      <c r="Y28" s="469"/>
      <c r="Z28" s="469"/>
      <c r="AA28" s="469"/>
      <c r="AB28" s="469"/>
      <c r="AC28" s="469"/>
      <c r="AD28" s="469"/>
      <c r="AE28" s="469"/>
      <c r="AF28" s="465"/>
      <c r="AG28" s="465"/>
      <c r="AH28" s="469"/>
      <c r="AI28" s="3"/>
      <c r="AJ28" s="465"/>
      <c r="AK28" s="469"/>
      <c r="AL28" s="3"/>
      <c r="AM28" s="3"/>
      <c r="AN28" s="3"/>
      <c r="AO28" s="3"/>
      <c r="AP28" s="3"/>
      <c r="AQ28" s="3"/>
      <c r="AR28" s="3"/>
      <c r="AS28" s="3"/>
    </row>
    <row r="29" spans="1:45" ht="19.5" customHeight="1" x14ac:dyDescent="0.3">
      <c r="A29" s="3"/>
      <c r="B29" s="33"/>
      <c r="C29" s="3"/>
      <c r="D29" s="3"/>
      <c r="E29" s="470"/>
      <c r="F29" s="470"/>
      <c r="G29" s="471"/>
      <c r="H29" s="3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3"/>
      <c r="V29" s="471"/>
      <c r="W29" s="435"/>
      <c r="X29" s="435"/>
      <c r="Y29" s="435"/>
      <c r="Z29" s="435"/>
      <c r="AA29" s="435"/>
      <c r="AB29" s="435"/>
      <c r="AC29" s="435"/>
      <c r="AD29" s="435"/>
      <c r="AE29" s="462"/>
      <c r="AF29" s="435"/>
      <c r="AG29" s="435"/>
      <c r="AH29" s="472"/>
      <c r="AI29" s="3"/>
      <c r="AJ29" s="435"/>
      <c r="AK29" s="435"/>
      <c r="AL29" s="3"/>
      <c r="AM29" s="3"/>
      <c r="AN29" s="3"/>
      <c r="AO29" s="3"/>
      <c r="AP29" s="3"/>
      <c r="AQ29" s="3"/>
      <c r="AR29" s="3"/>
      <c r="AS29" s="3"/>
    </row>
    <row r="30" spans="1:45" ht="19.5" customHeight="1" x14ac:dyDescent="0.3">
      <c r="A30" s="3"/>
      <c r="B30" s="3"/>
      <c r="C30" s="464"/>
      <c r="D30" s="3"/>
      <c r="E30" s="441" t="s">
        <v>513</v>
      </c>
      <c r="F30" s="442" t="s">
        <v>514</v>
      </c>
      <c r="G30" s="443" t="s">
        <v>575</v>
      </c>
      <c r="H30" s="3"/>
      <c r="I30" s="446" t="s">
        <v>557</v>
      </c>
      <c r="J30" s="446" t="s">
        <v>558</v>
      </c>
      <c r="K30" s="446" t="s">
        <v>559</v>
      </c>
      <c r="L30" s="446" t="s">
        <v>560</v>
      </c>
      <c r="M30" s="444" t="s">
        <v>561</v>
      </c>
      <c r="N30" s="444" t="s">
        <v>515</v>
      </c>
      <c r="O30" s="444" t="s">
        <v>516</v>
      </c>
      <c r="P30" s="444" t="s">
        <v>517</v>
      </c>
      <c r="Q30" s="444" t="s">
        <v>518</v>
      </c>
      <c r="R30" s="444" t="s">
        <v>519</v>
      </c>
      <c r="S30" s="444" t="s">
        <v>520</v>
      </c>
      <c r="T30" s="444" t="s">
        <v>521</v>
      </c>
      <c r="U30" s="3"/>
      <c r="V30" s="448" t="s">
        <v>585</v>
      </c>
      <c r="W30" s="448" t="s">
        <v>522</v>
      </c>
      <c r="X30" s="448" t="s">
        <v>523</v>
      </c>
      <c r="Y30" s="448" t="s">
        <v>524</v>
      </c>
      <c r="Z30" s="448" t="s">
        <v>525</v>
      </c>
      <c r="AA30" s="448" t="s">
        <v>526</v>
      </c>
      <c r="AB30" s="448" t="s">
        <v>519</v>
      </c>
      <c r="AC30" s="448" t="s">
        <v>520</v>
      </c>
      <c r="AD30" s="448" t="s">
        <v>521</v>
      </c>
      <c r="AE30" s="465"/>
      <c r="AF30" s="444" t="str">
        <f ca="1">AF$2&amp;" "&amp;AF$1</f>
        <v>3 YTD 2021</v>
      </c>
      <c r="AG30" s="450" t="str">
        <f ca="1">AG$2&amp;" "&amp;AG$1</f>
        <v>3 YTD 2022</v>
      </c>
      <c r="AH30" s="451" t="str">
        <f ca="1">AH$2&amp;" "&amp;AH$1</f>
        <v>3 YTD 2021</v>
      </c>
      <c r="AI30" s="3"/>
      <c r="AJ30" s="452" t="str">
        <f>AJ$2&amp;" "&amp;AJ$1</f>
        <v>12 YTD 2020</v>
      </c>
      <c r="AK30" s="450" t="str">
        <f>AK$2&amp;" "&amp;AK$1</f>
        <v>12 YTD 2022</v>
      </c>
      <c r="AL30" s="3"/>
      <c r="AM30" s="3"/>
      <c r="AN30" s="3"/>
      <c r="AO30" s="3"/>
      <c r="AP30" s="3"/>
      <c r="AQ30" s="3"/>
      <c r="AR30" s="3"/>
      <c r="AS30" s="3"/>
    </row>
    <row r="31" spans="1:45" ht="19.5" customHeight="1" x14ac:dyDescent="0.3">
      <c r="A31" s="3"/>
      <c r="B31" s="33"/>
      <c r="C31" s="191"/>
      <c r="D31" s="3"/>
      <c r="E31" s="441" t="s">
        <v>40</v>
      </c>
      <c r="F31" s="442" t="s">
        <v>40</v>
      </c>
      <c r="G31" s="443" t="s">
        <v>441</v>
      </c>
      <c r="H31" s="3"/>
      <c r="I31" s="446" t="s">
        <v>40</v>
      </c>
      <c r="J31" s="446" t="s">
        <v>40</v>
      </c>
      <c r="K31" s="446" t="s">
        <v>40</v>
      </c>
      <c r="L31" s="446" t="s">
        <v>40</v>
      </c>
      <c r="M31" s="444" t="s">
        <v>40</v>
      </c>
      <c r="N31" s="444" t="s">
        <v>40</v>
      </c>
      <c r="O31" s="444" t="s">
        <v>40</v>
      </c>
      <c r="P31" s="444" t="s">
        <v>40</v>
      </c>
      <c r="Q31" s="444" t="s">
        <v>40</v>
      </c>
      <c r="R31" s="444" t="s">
        <v>40</v>
      </c>
      <c r="S31" s="444" t="s">
        <v>40</v>
      </c>
      <c r="T31" s="444" t="s">
        <v>40</v>
      </c>
      <c r="U31" s="3"/>
      <c r="V31" s="448" t="s">
        <v>528</v>
      </c>
      <c r="W31" s="448" t="s">
        <v>528</v>
      </c>
      <c r="X31" s="448" t="s">
        <v>528</v>
      </c>
      <c r="Y31" s="448" t="s">
        <v>528</v>
      </c>
      <c r="Z31" s="448" t="s">
        <v>528</v>
      </c>
      <c r="AA31" s="448" t="s">
        <v>528</v>
      </c>
      <c r="AB31" s="448" t="s">
        <v>528</v>
      </c>
      <c r="AC31" s="448" t="s">
        <v>528</v>
      </c>
      <c r="AD31" s="448" t="s">
        <v>528</v>
      </c>
      <c r="AE31" s="465"/>
      <c r="AF31" s="444" t="s">
        <v>529</v>
      </c>
      <c r="AG31" s="450" t="s">
        <v>530</v>
      </c>
      <c r="AH31" s="451" t="s">
        <v>531</v>
      </c>
      <c r="AI31" s="3"/>
      <c r="AJ31" s="453" t="s">
        <v>529</v>
      </c>
      <c r="AK31" s="454" t="s">
        <v>530</v>
      </c>
      <c r="AL31" s="3"/>
      <c r="AM31" s="3"/>
      <c r="AN31" s="3"/>
      <c r="AO31" s="3"/>
      <c r="AP31" s="3"/>
      <c r="AQ31" s="3"/>
      <c r="AR31" s="3"/>
      <c r="AS31" s="3"/>
    </row>
    <row r="32" spans="1:45" ht="19.5" customHeight="1" x14ac:dyDescent="0.3">
      <c r="A32" s="3"/>
      <c r="B32" s="474" t="s">
        <v>584</v>
      </c>
      <c r="C32" s="63"/>
      <c r="D32" s="3"/>
      <c r="E32" s="456"/>
      <c r="F32" s="456"/>
      <c r="G32" s="457"/>
      <c r="H32" s="3"/>
      <c r="I32" s="457"/>
      <c r="J32" s="457"/>
      <c r="K32" s="457"/>
      <c r="L32" s="457"/>
      <c r="M32" s="457"/>
      <c r="N32" s="456"/>
      <c r="O32" s="456"/>
      <c r="P32" s="456"/>
      <c r="Q32" s="456"/>
      <c r="R32" s="456"/>
      <c r="S32" s="456"/>
      <c r="T32" s="456"/>
      <c r="U32" s="3"/>
      <c r="V32" s="485"/>
      <c r="W32" s="456"/>
      <c r="X32" s="456"/>
      <c r="Y32" s="456"/>
      <c r="Z32" s="456"/>
      <c r="AA32" s="456"/>
      <c r="AB32" s="456"/>
      <c r="AC32" s="456"/>
      <c r="AD32" s="458"/>
      <c r="AE32" s="458"/>
      <c r="AF32" s="459"/>
      <c r="AG32" s="460"/>
      <c r="AH32" s="436"/>
      <c r="AI32" s="3"/>
      <c r="AJ32" s="459"/>
      <c r="AK32" s="461"/>
      <c r="AL32" s="3"/>
      <c r="AM32" s="3"/>
      <c r="AN32" s="3"/>
      <c r="AO32" s="3"/>
      <c r="AP32" s="3"/>
      <c r="AQ32" s="3"/>
      <c r="AR32" s="3"/>
      <c r="AS32" s="3"/>
    </row>
    <row r="33" spans="1:45" ht="19.5" customHeight="1" x14ac:dyDescent="0.3">
      <c r="A33" s="33" t="s">
        <v>305</v>
      </c>
      <c r="B33" s="33" t="s">
        <v>577</v>
      </c>
      <c r="C33" s="191" t="s">
        <v>535</v>
      </c>
      <c r="D33" s="3"/>
      <c r="E33" s="462">
        <f>$AJ33/E$3</f>
        <v>57441.666666666664</v>
      </c>
      <c r="F33" s="462">
        <f ca="1">IFERROR(1/F$3,1)*SUMIFS(Data!$AD$3:$AD$137,Data!$Y$3:$Y$137,F$1,Data!$Z$3:$Z$137,IF(RIGHT(F$2,3)="YTD","&lt;="&amp;LEFT(F$2,2)*1,F$2),Data!$K$3:$K$137,$B33)</f>
        <v>0</v>
      </c>
      <c r="G33" s="462">
        <f>AK33/12</f>
        <v>0</v>
      </c>
      <c r="H33" s="472"/>
      <c r="I33" s="462">
        <f>IFERROR(1/I$3,1)*SUMIFS(tbl_DCFC[F Montant HT],tbl_DCFC[Revenue_Year],I$1,tbl_DCFC[Revenue_Month],IF(RIGHT(I$2,3)="YTD","&lt;="&amp;LEFT(I$2,2)*1,I$2),tbl_DCFC[BU_Key],$A33)</f>
        <v>0</v>
      </c>
      <c r="J33" s="462">
        <f>IFERROR(1/J$3,1)*SUMIFS(tbl_DCFC[F Montant HT],tbl_DCFC[Revenue_Year],J$1,tbl_DCFC[Revenue_Month],IF(RIGHT(J$2,3)="YTD","&lt;="&amp;LEFT(J$2,2)*1,J$2),tbl_DCFC[BU_Key],$A33)</f>
        <v>0</v>
      </c>
      <c r="K33" s="462">
        <f>IFERROR(1/K$3,1)*SUMIFS(tbl_DCFC[F Montant HT],tbl_DCFC[Revenue_Year],K$1,tbl_DCFC[Revenue_Month],IF(RIGHT(K$2,3)="YTD","&lt;="&amp;LEFT(K$2,2)*1,K$2),tbl_DCFC[BU_Key],$A33)</f>
        <v>0</v>
      </c>
      <c r="L33" s="462">
        <f>IFERROR(1/L$3,1)*SUMIFS(tbl_DCFC[F Montant HT],tbl_DCFC[Revenue_Year],L$1,tbl_DCFC[Revenue_Month],IF(RIGHT(L$2,3)="YTD","&lt;="&amp;LEFT(L$2,2)*1,L$2),tbl_DCFC[BU_Key],$A33)</f>
        <v>0</v>
      </c>
      <c r="M33" s="462">
        <f>IFERROR(1/M$3,1)*SUMIFS(tbl_DCFC[F Montant HT],tbl_DCFC[Revenue_Year],M$1,tbl_DCFC[Revenue_Month],IF(RIGHT(M$2,3)="YTD","&lt;="&amp;LEFT(M$2,2)*1,M$2),tbl_DCFC[BU_Key],$A33)</f>
        <v>0</v>
      </c>
      <c r="N33" s="462">
        <f>IFERROR(1/N$3,1)*SUMIFS(tbl_DCFC[F Montant HT],tbl_DCFC[Revenue_Year],N$1,tbl_DCFC[Revenue_Month],IF(RIGHT(N$2,3)="YTD","&lt;="&amp;LEFT(N$2,2)*1,N$2),tbl_DCFC[BU_Key],$A33)</f>
        <v>0</v>
      </c>
      <c r="O33" s="462">
        <f>IFERROR(1/O$3,1)*SUMIFS(tbl_DCFC[F Montant HT],tbl_DCFC[Revenue_Year],O$1,tbl_DCFC[Revenue_Month],IF(RIGHT(O$2,3)="YTD","&lt;="&amp;LEFT(O$2,2)*1,O$2),tbl_DCFC[BU_Key],$A33)</f>
        <v>0</v>
      </c>
      <c r="P33" s="462">
        <f>IFERROR(1/P$3,1)*SUMIFS(tbl_DCFC[F Montant HT],tbl_DCFC[Revenue_Year],P$1,tbl_DCFC[Revenue_Month],IF(RIGHT(P$2,3)="YTD","&lt;="&amp;LEFT(P$2,2)*1,P$2),tbl_DCFC[BU_Key],$A33)</f>
        <v>0</v>
      </c>
      <c r="Q33" s="462">
        <f>IFERROR(1/Q$3,1)*SUMIFS(tbl_DCFC[F Montant HT],tbl_DCFC[Revenue_Year],Q$1,tbl_DCFC[Revenue_Month],IF(RIGHT(Q$2,3)="YTD","&lt;="&amp;LEFT(Q$2,2)*1,Q$2),tbl_DCFC[BU_Key],$A33)</f>
        <v>0</v>
      </c>
      <c r="R33" s="462">
        <f>IFERROR(1/R$3,1)*SUMIFS(tbl_DCFC[F Montant HT],tbl_DCFC[Revenue_Year],R$1,tbl_DCFC[Revenue_Month],IF(RIGHT(R$2,3)="YTD","&lt;="&amp;LEFT(R$2,2)*1,R$2),tbl_DCFC[BU_Key],$A33)</f>
        <v>0</v>
      </c>
      <c r="S33" s="462">
        <f>IFERROR(1/S$3,1)*SUMIFS(tbl_DCFC[F Montant HT],tbl_DCFC[Revenue_Year],S$1,tbl_DCFC[Revenue_Month],IF(RIGHT(S$2,3)="YTD","&lt;="&amp;LEFT(S$2,2)*1,S$2),tbl_DCFC[BU_Key],$A33)</f>
        <v>0</v>
      </c>
      <c r="T33" s="462">
        <f>IFERROR(1/T$3,1)*SUMIFS(tbl_DCFC[F Montant HT],tbl_DCFC[Revenue_Year],T$1,tbl_DCFC[Revenue_Month],IF(RIGHT(T$2,3)="YTD","&lt;="&amp;LEFT(T$2,2)*1,T$2),tbl_DCFC[BU_Key],$A33)</f>
        <v>0</v>
      </c>
      <c r="U33" s="3"/>
      <c r="V33" s="462">
        <f>G33</f>
        <v>0</v>
      </c>
      <c r="W33" s="462">
        <f t="shared" ref="W33:AD36" si="10">$G33</f>
        <v>0</v>
      </c>
      <c r="X33" s="462">
        <f t="shared" si="10"/>
        <v>0</v>
      </c>
      <c r="Y33" s="462">
        <f t="shared" si="10"/>
        <v>0</v>
      </c>
      <c r="Z33" s="462">
        <f t="shared" si="10"/>
        <v>0</v>
      </c>
      <c r="AA33" s="462">
        <f t="shared" si="10"/>
        <v>0</v>
      </c>
      <c r="AB33" s="462">
        <f t="shared" si="10"/>
        <v>0</v>
      </c>
      <c r="AC33" s="462">
        <f t="shared" si="10"/>
        <v>0</v>
      </c>
      <c r="AD33" s="462">
        <f t="shared" si="10"/>
        <v>0</v>
      </c>
      <c r="AE33" s="462"/>
      <c r="AF33" s="462">
        <f ca="1">IFERROR(1/AF$3,1)*SUMIFS(tbl_DCFC[F Montant HT],tbl_DCFC[Revenue_Year],AF$1,tbl_DCFC[Revenue_Month],IF(RIGHT(AF$2,3)="YTD","&lt;="&amp;LEFT(AF$2,2)*1,AF$2),tbl_DCFC[BU_Key],$A33)</f>
        <v>0</v>
      </c>
      <c r="AG33" s="462">
        <f ca="1">AK33/12*$C$5</f>
        <v>0</v>
      </c>
      <c r="AH33" s="463">
        <f ca="1">AF33-AG33</f>
        <v>0</v>
      </c>
      <c r="AI33" s="3"/>
      <c r="AJ33" s="462">
        <v>689300</v>
      </c>
      <c r="AK33" s="462">
        <v>0</v>
      </c>
      <c r="AL33" s="3"/>
      <c r="AM33" s="3"/>
      <c r="AN33" s="3"/>
      <c r="AO33" s="3"/>
      <c r="AP33" s="3"/>
      <c r="AQ33" s="3"/>
      <c r="AR33" s="3"/>
      <c r="AS33" s="3"/>
    </row>
    <row r="34" spans="1:45" ht="19.5" customHeight="1" x14ac:dyDescent="0.3">
      <c r="A34" s="3" t="s">
        <v>578</v>
      </c>
      <c r="B34" s="33" t="s">
        <v>579</v>
      </c>
      <c r="C34" s="191" t="s">
        <v>535</v>
      </c>
      <c r="D34" s="3"/>
      <c r="E34" s="462">
        <f>$AJ34/E$3</f>
        <v>0</v>
      </c>
      <c r="F34" s="462">
        <f ca="1">IFERROR(1/F$3,1)*SUMIFS(Data!$S$3:$S$137,Data!$O$3:$O$137,F$1,Data!$P$3:$P$137,IF(RIGHT(F$2,3)="YTD","&lt;="&amp;LEFT(F$2,2)*1,F$2),Data!$K$3:$K$137,$B34)</f>
        <v>0</v>
      </c>
      <c r="G34" s="462">
        <f>AK34/12</f>
        <v>0</v>
      </c>
      <c r="H34" s="3"/>
      <c r="I34" s="462">
        <f>IFERROR(1/I$3,1)*SUMIFS(tbl_DCFC[F Montant HT],tbl_DCFC[Revenue_Year],I$1,tbl_DCFC[Revenue_Month],IF(RIGHT(I$2,3)="YTD","&lt;="&amp;LEFT(I$2,2)*1,I$2),tbl_DCFC[BU_Key],$A34)</f>
        <v>0</v>
      </c>
      <c r="J34" s="462">
        <f>IFERROR(1/J$3,1)*SUMIFS(tbl_DCFC[F Montant HT],tbl_DCFC[Revenue_Year],J$1,tbl_DCFC[Revenue_Month],IF(RIGHT(J$2,3)="YTD","&lt;="&amp;LEFT(J$2,2)*1,J$2),tbl_DCFC[BU_Key],$A34)</f>
        <v>0</v>
      </c>
      <c r="K34" s="462">
        <f>IFERROR(1/K$3,1)*SUMIFS(tbl_DCFC[F Montant HT],tbl_DCFC[Revenue_Year],K$1,tbl_DCFC[Revenue_Month],IF(RIGHT(K$2,3)="YTD","&lt;="&amp;LEFT(K$2,2)*1,K$2),tbl_DCFC[BU_Key],$A34)</f>
        <v>0</v>
      </c>
      <c r="L34" s="462">
        <f>IFERROR(1/L$3,1)*SUMIFS(tbl_DCFC[F Montant HT],tbl_DCFC[Revenue_Year],L$1,tbl_DCFC[Revenue_Month],IF(RIGHT(L$2,3)="YTD","&lt;="&amp;LEFT(L$2,2)*1,L$2),tbl_DCFC[BU_Key],$A34)</f>
        <v>0</v>
      </c>
      <c r="M34" s="462">
        <f>IFERROR(1/M$3,1)*SUMIFS(tbl_DCFC[F Montant HT],tbl_DCFC[Revenue_Year],M$1,tbl_DCFC[Revenue_Month],IF(RIGHT(M$2,3)="YTD","&lt;="&amp;LEFT(M$2,2)*1,M$2),tbl_DCFC[BU_Key],$A34)</f>
        <v>0</v>
      </c>
      <c r="N34" s="462">
        <f>IFERROR(1/N$3,1)*SUMIFS(tbl_DCFC[F Montant HT],tbl_DCFC[Revenue_Year],N$1,tbl_DCFC[Revenue_Month],IF(RIGHT(N$2,3)="YTD","&lt;="&amp;LEFT(N$2,2)*1,N$2),tbl_DCFC[BU_Key],$A34)</f>
        <v>0</v>
      </c>
      <c r="O34" s="462">
        <f>IFERROR(1/O$3,1)*SUMIFS(tbl_DCFC[F Montant HT],tbl_DCFC[Revenue_Year],O$1,tbl_DCFC[Revenue_Month],IF(RIGHT(O$2,3)="YTD","&lt;="&amp;LEFT(O$2,2)*1,O$2),tbl_DCFC[BU_Key],$A34)</f>
        <v>0</v>
      </c>
      <c r="P34" s="462">
        <f>IFERROR(1/P$3,1)*SUMIFS(tbl_DCFC[F Montant HT],tbl_DCFC[Revenue_Year],P$1,tbl_DCFC[Revenue_Month],IF(RIGHT(P$2,3)="YTD","&lt;="&amp;LEFT(P$2,2)*1,P$2),tbl_DCFC[BU_Key],$A34)</f>
        <v>0</v>
      </c>
      <c r="Q34" s="462">
        <f>IFERROR(1/Q$3,1)*SUMIFS(tbl_DCFC[F Montant HT],tbl_DCFC[Revenue_Year],Q$1,tbl_DCFC[Revenue_Month],IF(RIGHT(Q$2,3)="YTD","&lt;="&amp;LEFT(Q$2,2)*1,Q$2),tbl_DCFC[BU_Key],$A34)</f>
        <v>0</v>
      </c>
      <c r="R34" s="462">
        <f>IFERROR(1/R$3,1)*SUMIFS(tbl_DCFC[F Montant HT],tbl_DCFC[Revenue_Year],R$1,tbl_DCFC[Revenue_Month],IF(RIGHT(R$2,3)="YTD","&lt;="&amp;LEFT(R$2,2)*1,R$2),tbl_DCFC[BU_Key],$A34)</f>
        <v>0</v>
      </c>
      <c r="S34" s="462">
        <f>IFERROR(1/S$3,1)*SUMIFS(tbl_DCFC[F Montant HT],tbl_DCFC[Revenue_Year],S$1,tbl_DCFC[Revenue_Month],IF(RIGHT(S$2,3)="YTD","&lt;="&amp;LEFT(S$2,2)*1,S$2),tbl_DCFC[BU_Key],$A34)</f>
        <v>0</v>
      </c>
      <c r="T34" s="462">
        <f>IFERROR(1/T$3,1)*SUMIFS(tbl_DCFC[F Montant HT],tbl_DCFC[Revenue_Year],T$1,tbl_DCFC[Revenue_Month],IF(RIGHT(T$2,3)="YTD","&lt;="&amp;LEFT(T$2,2)*1,T$2),tbl_DCFC[BU_Key],$A34)</f>
        <v>0</v>
      </c>
      <c r="U34" s="3"/>
      <c r="V34" s="462">
        <f>G34</f>
        <v>0</v>
      </c>
      <c r="W34" s="462">
        <f t="shared" si="10"/>
        <v>0</v>
      </c>
      <c r="X34" s="462">
        <f t="shared" si="10"/>
        <v>0</v>
      </c>
      <c r="Y34" s="462">
        <f t="shared" si="10"/>
        <v>0</v>
      </c>
      <c r="Z34" s="462">
        <f t="shared" si="10"/>
        <v>0</v>
      </c>
      <c r="AA34" s="462">
        <f t="shared" si="10"/>
        <v>0</v>
      </c>
      <c r="AB34" s="462">
        <f t="shared" si="10"/>
        <v>0</v>
      </c>
      <c r="AC34" s="462">
        <f t="shared" si="10"/>
        <v>0</v>
      </c>
      <c r="AD34" s="462">
        <f t="shared" si="10"/>
        <v>0</v>
      </c>
      <c r="AE34" s="462"/>
      <c r="AF34" s="462">
        <f ca="1">IFERROR(1/AF$3,1)*SUMIFS(tbl_DCFC[F Montant HT],tbl_DCFC[Revenue_Year],AF$1,tbl_DCFC[Revenue_Month],IF(RIGHT(AF$2,3)="YTD","&lt;="&amp;LEFT(AF$2,2)*1,AF$2),tbl_DCFC[BU_Key],$A34)</f>
        <v>0</v>
      </c>
      <c r="AG34" s="462">
        <f ca="1">AK34/12*LEFT(AG$2,2)*1</f>
        <v>0</v>
      </c>
      <c r="AH34" s="463">
        <f ca="1">AF34-AG34</f>
        <v>0</v>
      </c>
      <c r="AI34" s="3"/>
      <c r="AJ34" s="462"/>
      <c r="AK34" s="462">
        <v>0</v>
      </c>
      <c r="AL34" s="3"/>
      <c r="AM34" s="3"/>
      <c r="AN34" s="3"/>
      <c r="AO34" s="3"/>
      <c r="AP34" s="3"/>
      <c r="AQ34" s="3"/>
      <c r="AR34" s="3"/>
      <c r="AS34" s="3"/>
    </row>
    <row r="35" spans="1:45" ht="19.5" customHeight="1" x14ac:dyDescent="0.3">
      <c r="A35" s="33" t="s">
        <v>580</v>
      </c>
      <c r="B35" s="33" t="s">
        <v>581</v>
      </c>
      <c r="C35" s="191" t="s">
        <v>535</v>
      </c>
      <c r="D35" s="3"/>
      <c r="E35" s="462">
        <f>$AJ35/E$3</f>
        <v>0</v>
      </c>
      <c r="F35" s="462">
        <f ca="1">IFERROR(1/F$3,1)*SUMIFS(Data!$S$3:$S$137,Data!$O$3:$O$137,F$1,Data!$P$3:$P$137,IF(RIGHT(F$2,3)="YTD","&lt;="&amp;LEFT(F$2,2)*1,F$2),Data!$K$3:$K$137,$B35)</f>
        <v>0</v>
      </c>
      <c r="G35" s="462">
        <f>AK35/12</f>
        <v>58333.333333333336</v>
      </c>
      <c r="H35" s="3"/>
      <c r="I35" s="462">
        <f>IFERROR(1/I$3,1)*SUMIFS(tbl_DCFC[F Montant HT],tbl_DCFC[Revenue_Year],I$1,tbl_DCFC[Revenue_Month],IF(RIGHT(I$2,3)="YTD","&lt;="&amp;LEFT(I$2,2)*1,I$2),tbl_DCFC[BU_Key],$A35)</f>
        <v>0</v>
      </c>
      <c r="J35" s="462">
        <f>IFERROR(1/J$3,1)*SUMIFS(tbl_DCFC[F Montant HT],tbl_DCFC[Revenue_Year],J$1,tbl_DCFC[Revenue_Month],IF(RIGHT(J$2,3)="YTD","&lt;="&amp;LEFT(J$2,2)*1,J$2),tbl_DCFC[BU_Key],$A35)</f>
        <v>0</v>
      </c>
      <c r="K35" s="462">
        <f>IFERROR(1/K$3,1)*SUMIFS(tbl_DCFC[F Montant HT],tbl_DCFC[Revenue_Year],K$1,tbl_DCFC[Revenue_Month],IF(RIGHT(K$2,3)="YTD","&lt;="&amp;LEFT(K$2,2)*1,K$2),tbl_DCFC[BU_Key],$A35)</f>
        <v>0</v>
      </c>
      <c r="L35" s="462">
        <f>IFERROR(1/L$3,1)*SUMIFS(tbl_DCFC[F Montant HT],tbl_DCFC[Revenue_Year],L$1,tbl_DCFC[Revenue_Month],IF(RIGHT(L$2,3)="YTD","&lt;="&amp;LEFT(L$2,2)*1,L$2),tbl_DCFC[BU_Key],$A35)</f>
        <v>0</v>
      </c>
      <c r="M35" s="462">
        <f>IFERROR(1/M$3,1)*SUMIFS(tbl_DCFC[F Montant HT],tbl_DCFC[Revenue_Year],M$1,tbl_DCFC[Revenue_Month],IF(RIGHT(M$2,3)="YTD","&lt;="&amp;LEFT(M$2,2)*1,M$2),tbl_DCFC[BU_Key],$A35)</f>
        <v>0</v>
      </c>
      <c r="N35" s="462">
        <f>IFERROR(1/N$3,1)*SUMIFS(tbl_DCFC[F Montant HT],tbl_DCFC[Revenue_Year],N$1,tbl_DCFC[Revenue_Month],IF(RIGHT(N$2,3)="YTD","&lt;="&amp;LEFT(N$2,2)*1,N$2),tbl_DCFC[BU_Key],$A35)</f>
        <v>0</v>
      </c>
      <c r="O35" s="462">
        <f>IFERROR(1/O$3,1)*SUMIFS(tbl_DCFC[F Montant HT],tbl_DCFC[Revenue_Year],O$1,tbl_DCFC[Revenue_Month],IF(RIGHT(O$2,3)="YTD","&lt;="&amp;LEFT(O$2,2)*1,O$2),tbl_DCFC[BU_Key],$A35)</f>
        <v>0</v>
      </c>
      <c r="P35" s="462">
        <f>IFERROR(1/P$3,1)*SUMIFS(tbl_DCFC[F Montant HT],tbl_DCFC[Revenue_Year],P$1,tbl_DCFC[Revenue_Month],IF(RIGHT(P$2,3)="YTD","&lt;="&amp;LEFT(P$2,2)*1,P$2),tbl_DCFC[BU_Key],$A35)</f>
        <v>0</v>
      </c>
      <c r="Q35" s="462">
        <f>IFERROR(1/Q$3,1)*SUMIFS(tbl_DCFC[F Montant HT],tbl_DCFC[Revenue_Year],Q$1,tbl_DCFC[Revenue_Month],IF(RIGHT(Q$2,3)="YTD","&lt;="&amp;LEFT(Q$2,2)*1,Q$2),tbl_DCFC[BU_Key],$A35)</f>
        <v>0</v>
      </c>
      <c r="R35" s="462">
        <f>IFERROR(1/R$3,1)*SUMIFS(tbl_DCFC[F Montant HT],tbl_DCFC[Revenue_Year],R$1,tbl_DCFC[Revenue_Month],IF(RIGHT(R$2,3)="YTD","&lt;="&amp;LEFT(R$2,2)*1,R$2),tbl_DCFC[BU_Key],$A35)</f>
        <v>0</v>
      </c>
      <c r="S35" s="462">
        <f>IFERROR(1/S$3,1)*SUMIFS(tbl_DCFC[F Montant HT],tbl_DCFC[Revenue_Year],S$1,tbl_DCFC[Revenue_Month],IF(RIGHT(S$2,3)="YTD","&lt;="&amp;LEFT(S$2,2)*1,S$2),tbl_DCFC[BU_Key],$A35)</f>
        <v>0</v>
      </c>
      <c r="T35" s="462">
        <f>IFERROR(1/T$3,1)*SUMIFS(tbl_DCFC[F Montant HT],tbl_DCFC[Revenue_Year],T$1,tbl_DCFC[Revenue_Month],IF(RIGHT(T$2,3)="YTD","&lt;="&amp;LEFT(T$2,2)*1,T$2),tbl_DCFC[BU_Key],$A35)</f>
        <v>0</v>
      </c>
      <c r="U35" s="3"/>
      <c r="V35" s="462">
        <f>G35</f>
        <v>58333.333333333336</v>
      </c>
      <c r="W35" s="462">
        <f t="shared" si="10"/>
        <v>58333.333333333336</v>
      </c>
      <c r="X35" s="462">
        <f t="shared" si="10"/>
        <v>58333.333333333336</v>
      </c>
      <c r="Y35" s="462">
        <f t="shared" si="10"/>
        <v>58333.333333333336</v>
      </c>
      <c r="Z35" s="462">
        <f t="shared" si="10"/>
        <v>58333.333333333336</v>
      </c>
      <c r="AA35" s="462">
        <f t="shared" si="10"/>
        <v>58333.333333333336</v>
      </c>
      <c r="AB35" s="462">
        <f t="shared" si="10"/>
        <v>58333.333333333336</v>
      </c>
      <c r="AC35" s="462">
        <f t="shared" si="10"/>
        <v>58333.333333333336</v>
      </c>
      <c r="AD35" s="462">
        <f t="shared" si="10"/>
        <v>58333.333333333336</v>
      </c>
      <c r="AE35" s="462"/>
      <c r="AF35" s="462">
        <f ca="1">IFERROR(1/AF$3,1)*SUMIFS(tbl_DCFC[F Montant HT],tbl_DCFC[Revenue_Year],AF$1,tbl_DCFC[Revenue_Month],IF(RIGHT(AF$2,3)="YTD","&lt;="&amp;LEFT(AF$2,2)*1,AF$2),tbl_DCFC[BU_Key],$A35)</f>
        <v>0</v>
      </c>
      <c r="AG35" s="462">
        <f ca="1">AK35/12*LEFT(AG$2,2)*1</f>
        <v>175000</v>
      </c>
      <c r="AH35" s="463">
        <f ca="1">AF35-AG35</f>
        <v>-175000</v>
      </c>
      <c r="AI35" s="3"/>
      <c r="AJ35" s="462"/>
      <c r="AK35" s="462">
        <v>700000</v>
      </c>
      <c r="AL35" s="3"/>
      <c r="AM35" s="3"/>
      <c r="AN35" s="3"/>
      <c r="AO35" s="3"/>
      <c r="AP35" s="3"/>
      <c r="AQ35" s="3"/>
      <c r="AR35" s="3"/>
      <c r="AS35" s="3"/>
    </row>
    <row r="36" spans="1:45" ht="19.5" customHeight="1" x14ac:dyDescent="0.3">
      <c r="A36" s="41" t="s">
        <v>582</v>
      </c>
      <c r="B36" s="33" t="s">
        <v>458</v>
      </c>
      <c r="C36" s="63"/>
      <c r="D36" s="3"/>
      <c r="E36" s="462">
        <f>$AJ36/E$3</f>
        <v>0</v>
      </c>
      <c r="F36" s="462">
        <f ca="1">IFERROR(1/F$3,1)*SUMIFS(Data!$S$3:$S$137,Data!$O$3:$O$137,F$1,Data!$P$3:$P$137,IF(RIGHT(F$2,3)="YTD","&lt;="&amp;LEFT(F$2,2)*1,F$2),Data!$K$3:$K$137,$B36)</f>
        <v>0</v>
      </c>
      <c r="G36" s="462">
        <f>AK36/12</f>
        <v>0</v>
      </c>
      <c r="H36" s="3"/>
      <c r="I36" s="462">
        <f>IFERROR(1/I$3,1)*SUMIFS(tbl_DCFC[F Montant HT],tbl_DCFC[Revenue_Year],I$1,tbl_DCFC[Revenue_Month],IF(RIGHT(I$2,3)="YTD","&lt;="&amp;LEFT(I$2,2)*1,I$2),tbl_DCFC[BU_Key],$A36)</f>
        <v>0</v>
      </c>
      <c r="J36" s="462">
        <f>IFERROR(1/J$3,1)*SUMIFS(tbl_DCFC[F Montant HT],tbl_DCFC[Revenue_Year],J$1,tbl_DCFC[Revenue_Month],IF(RIGHT(J$2,3)="YTD","&lt;="&amp;LEFT(J$2,2)*1,J$2),tbl_DCFC[BU_Key],$A36)</f>
        <v>0</v>
      </c>
      <c r="K36" s="462">
        <f>IFERROR(1/K$3,1)*SUMIFS(tbl_DCFC[F Montant HT],tbl_DCFC[Revenue_Year],K$1,tbl_DCFC[Revenue_Month],IF(RIGHT(K$2,3)="YTD","&lt;="&amp;LEFT(K$2,2)*1,K$2),tbl_DCFC[BU_Key],$A36)</f>
        <v>0</v>
      </c>
      <c r="L36" s="462">
        <f>IFERROR(1/L$3,1)*SUMIFS(tbl_DCFC[F Montant HT],tbl_DCFC[Revenue_Year],L$1,tbl_DCFC[Revenue_Month],IF(RIGHT(L$2,3)="YTD","&lt;="&amp;LEFT(L$2,2)*1,L$2),tbl_DCFC[BU_Key],$A36)</f>
        <v>0</v>
      </c>
      <c r="M36" s="462">
        <f>IFERROR(1/M$3,1)*SUMIFS(tbl_DCFC[F Montant HT],tbl_DCFC[Revenue_Year],M$1,tbl_DCFC[Revenue_Month],IF(RIGHT(M$2,3)="YTD","&lt;="&amp;LEFT(M$2,2)*1,M$2),tbl_DCFC[BU_Key],$A36)</f>
        <v>0</v>
      </c>
      <c r="N36" s="462">
        <f>IFERROR(1/N$3,1)*SUMIFS(tbl_DCFC[F Montant HT],tbl_DCFC[Revenue_Year],N$1,tbl_DCFC[Revenue_Month],IF(RIGHT(N$2,3)="YTD","&lt;="&amp;LEFT(N$2,2)*1,N$2),tbl_DCFC[BU_Key],$A36)</f>
        <v>0</v>
      </c>
      <c r="O36" s="462">
        <f>IFERROR(1/O$3,1)*SUMIFS(tbl_DCFC[F Montant HT],tbl_DCFC[Revenue_Year],O$1,tbl_DCFC[Revenue_Month],IF(RIGHT(O$2,3)="YTD","&lt;="&amp;LEFT(O$2,2)*1,O$2),tbl_DCFC[BU_Key],$A36)</f>
        <v>0</v>
      </c>
      <c r="P36" s="462">
        <f>IFERROR(1/P$3,1)*SUMIFS(tbl_DCFC[F Montant HT],tbl_DCFC[Revenue_Year],P$1,tbl_DCFC[Revenue_Month],IF(RIGHT(P$2,3)="YTD","&lt;="&amp;LEFT(P$2,2)*1,P$2),tbl_DCFC[BU_Key],$A36)</f>
        <v>0</v>
      </c>
      <c r="Q36" s="462">
        <f>IFERROR(1/Q$3,1)*SUMIFS(tbl_DCFC[F Montant HT],tbl_DCFC[Revenue_Year],Q$1,tbl_DCFC[Revenue_Month],IF(RIGHT(Q$2,3)="YTD","&lt;="&amp;LEFT(Q$2,2)*1,Q$2),tbl_DCFC[BU_Key],$A36)</f>
        <v>0</v>
      </c>
      <c r="R36" s="462">
        <f>IFERROR(1/R$3,1)*SUMIFS(tbl_DCFC[F Montant HT],tbl_DCFC[Revenue_Year],R$1,tbl_DCFC[Revenue_Month],IF(RIGHT(R$2,3)="YTD","&lt;="&amp;LEFT(R$2,2)*1,R$2),tbl_DCFC[BU_Key],$A36)</f>
        <v>0</v>
      </c>
      <c r="S36" s="462">
        <f>IFERROR(1/S$3,1)*SUMIFS(tbl_DCFC[F Montant HT],tbl_DCFC[Revenue_Year],S$1,tbl_DCFC[Revenue_Month],IF(RIGHT(S$2,3)="YTD","&lt;="&amp;LEFT(S$2,2)*1,S$2),tbl_DCFC[BU_Key],$A36)</f>
        <v>0</v>
      </c>
      <c r="T36" s="462">
        <f>IFERROR(1/T$3,1)*SUMIFS(tbl_DCFC[F Montant HT],tbl_DCFC[Revenue_Year],T$1,tbl_DCFC[Revenue_Month],IF(RIGHT(T$2,3)="YTD","&lt;="&amp;LEFT(T$2,2)*1,T$2),tbl_DCFC[BU_Key],$A36)</f>
        <v>0</v>
      </c>
      <c r="U36" s="3"/>
      <c r="V36" s="462">
        <f>G36</f>
        <v>0</v>
      </c>
      <c r="W36" s="462">
        <f t="shared" si="10"/>
        <v>0</v>
      </c>
      <c r="X36" s="462">
        <f t="shared" si="10"/>
        <v>0</v>
      </c>
      <c r="Y36" s="462">
        <f t="shared" si="10"/>
        <v>0</v>
      </c>
      <c r="Z36" s="462">
        <f t="shared" si="10"/>
        <v>0</v>
      </c>
      <c r="AA36" s="462">
        <f t="shared" si="10"/>
        <v>0</v>
      </c>
      <c r="AB36" s="462">
        <f t="shared" si="10"/>
        <v>0</v>
      </c>
      <c r="AC36" s="462">
        <f t="shared" si="10"/>
        <v>0</v>
      </c>
      <c r="AD36" s="462">
        <f t="shared" si="10"/>
        <v>0</v>
      </c>
      <c r="AE36" s="462"/>
      <c r="AF36" s="462">
        <f ca="1">IFERROR(1/AF$3,1)*SUMIFS(tbl_DCFC[F Montant HT],tbl_DCFC[Revenue_Year],AF$1,tbl_DCFC[Revenue_Month],IF(RIGHT(AF$2,3)="YTD","&lt;="&amp;LEFT(AF$2,2)*1,AF$2),tbl_DCFC[BU_Key],$A36)</f>
        <v>0</v>
      </c>
      <c r="AG36" s="462">
        <f ca="1">AK36/12*LEFT(AG$2,2)*1</f>
        <v>0</v>
      </c>
      <c r="AH36" s="463">
        <f ca="1">AF36-AG36</f>
        <v>0</v>
      </c>
      <c r="AI36" s="3"/>
      <c r="AJ36" s="462"/>
      <c r="AK36" s="465">
        <v>0</v>
      </c>
      <c r="AL36" s="3"/>
      <c r="AM36" s="3"/>
      <c r="AN36" s="3"/>
      <c r="AO36" s="3"/>
      <c r="AP36" s="3"/>
      <c r="AQ36" s="3"/>
      <c r="AR36" s="3"/>
      <c r="AS36" s="3"/>
    </row>
    <row r="37" spans="1:45" ht="19.5" customHeight="1" x14ac:dyDescent="0.3">
      <c r="A37" s="3"/>
      <c r="B37" s="455"/>
      <c r="C37" s="63"/>
      <c r="D37" s="3"/>
      <c r="E37" s="456"/>
      <c r="F37" s="456"/>
      <c r="G37" s="457"/>
      <c r="H37" s="3"/>
      <c r="I37" s="457"/>
      <c r="J37" s="457"/>
      <c r="K37" s="457"/>
      <c r="L37" s="457"/>
      <c r="M37" s="457"/>
      <c r="N37" s="456"/>
      <c r="O37" s="456"/>
      <c r="P37" s="456"/>
      <c r="Q37" s="456"/>
      <c r="R37" s="456"/>
      <c r="S37" s="456"/>
      <c r="T37" s="456"/>
      <c r="U37" s="3"/>
      <c r="V37" s="485"/>
      <c r="W37" s="456"/>
      <c r="X37" s="456"/>
      <c r="Y37" s="456"/>
      <c r="Z37" s="456"/>
      <c r="AA37" s="456"/>
      <c r="AB37" s="456"/>
      <c r="AC37" s="456"/>
      <c r="AD37" s="458"/>
      <c r="AE37" s="458"/>
      <c r="AF37" s="459"/>
      <c r="AG37" s="460"/>
      <c r="AH37" s="436"/>
      <c r="AI37" s="3"/>
      <c r="AJ37" s="459"/>
      <c r="AK37" s="461"/>
      <c r="AL37" s="3"/>
      <c r="AM37" s="3"/>
      <c r="AN37" s="3"/>
      <c r="AO37" s="3"/>
      <c r="AP37" s="3"/>
      <c r="AQ37" s="3"/>
      <c r="AR37" s="3"/>
      <c r="AS37" s="3"/>
    </row>
    <row r="38" spans="1:45" ht="19.5" hidden="1" customHeight="1" x14ac:dyDescent="0.3">
      <c r="A38" s="3"/>
      <c r="B38" s="455" t="s">
        <v>446</v>
      </c>
      <c r="C38" s="464"/>
      <c r="D38" s="3"/>
      <c r="E38" s="473"/>
      <c r="F38" s="473"/>
      <c r="G38" s="473"/>
      <c r="H38" s="3"/>
      <c r="I38" s="473"/>
      <c r="J38" s="473"/>
      <c r="K38" s="473"/>
      <c r="L38" s="473"/>
      <c r="M38" s="473"/>
      <c r="N38" s="473"/>
      <c r="O38" s="473"/>
      <c r="P38" s="473"/>
      <c r="Q38" s="473"/>
      <c r="R38" s="473"/>
      <c r="S38" s="473"/>
      <c r="T38" s="473"/>
      <c r="U38" s="3"/>
      <c r="V38" s="473"/>
      <c r="W38" s="465"/>
      <c r="X38" s="465"/>
      <c r="Y38" s="465"/>
      <c r="Z38" s="465"/>
      <c r="AA38" s="465"/>
      <c r="AB38" s="465"/>
      <c r="AC38" s="465"/>
      <c r="AD38" s="465"/>
      <c r="AE38" s="465"/>
      <c r="AF38" s="465"/>
      <c r="AG38" s="465"/>
      <c r="AH38" s="469"/>
      <c r="AI38" s="3"/>
      <c r="AJ38" s="465"/>
      <c r="AK38" s="465"/>
      <c r="AL38" s="3"/>
      <c r="AM38" s="3"/>
      <c r="AN38" s="3"/>
      <c r="AO38" s="3"/>
      <c r="AP38" s="3"/>
      <c r="AQ38" s="3"/>
      <c r="AR38" s="3"/>
      <c r="AS38" s="3"/>
    </row>
    <row r="39" spans="1:45" ht="19.5" hidden="1" customHeight="1" x14ac:dyDescent="0.3">
      <c r="A39" s="33" t="s">
        <v>533</v>
      </c>
      <c r="B39" s="474" t="s">
        <v>534</v>
      </c>
      <c r="C39" s="464" t="s">
        <v>535</v>
      </c>
      <c r="D39" s="3"/>
      <c r="E39" s="462">
        <f t="shared" ref="E39:E48" si="11">$AJ39/E$3</f>
        <v>57441.666666666664</v>
      </c>
      <c r="F39" s="462">
        <f ca="1">IFERROR(1/F$3,1)*SUMIFS(Data!$AD$3:$AD$137,Data!$Y$3:$Y$137,F$1,Data!$Z$3:$Z$137,IF(RIGHT(F$2,3)="YTD","&lt;="&amp;LEFT(F$2,2)*1,F$2),Data!$K$3:$K$137,$B39)</f>
        <v>0</v>
      </c>
      <c r="G39" s="462">
        <f t="shared" ref="G39:G48" si="12">AK39/12</f>
        <v>30833.333333333332</v>
      </c>
      <c r="H39" s="472"/>
      <c r="I39" s="462">
        <f>IFERROR(1/I$3,1)*SUMIFS(Data!$AD$3:$AD$137,Data!$Y$3:$Y$137,I$1,Data!$Z$3:$Z$137,IF(RIGHT(I$2,3)="YTD","&lt;="&amp;LEFT(I$2,2)*1,I$2),Data!$K$3:$K$137,$B39)</f>
        <v>0</v>
      </c>
      <c r="J39" s="462">
        <f>IFERROR(1/J$3,1)*SUMIFS(Data!$AD$3:$AD$137,Data!$Y$3:$Y$137,J$1,Data!$Z$3:$Z$137,IF(RIGHT(J$2,3)="YTD","&lt;="&amp;LEFT(J$2,2)*1,J$2),Data!$K$3:$K$137,$B39)</f>
        <v>0</v>
      </c>
      <c r="K39" s="462">
        <f>IFERROR(1/K$3,1)*SUMIFS(Data!$AD$3:$AD$137,Data!$Y$3:$Y$137,K$1,Data!$Z$3:$Z$137,IF(RIGHT(K$2,3)="YTD","&lt;="&amp;LEFT(K$2,2)*1,K$2),Data!$K$3:$K$137,$B39)</f>
        <v>0</v>
      </c>
      <c r="L39" s="462">
        <f>IFERROR(1/L$3,1)*SUMIFS(Data!$AD$3:$AD$137,Data!$Y$3:$Y$137,L$1,Data!$Z$3:$Z$137,IF(RIGHT(L$2,3)="YTD","&lt;="&amp;LEFT(L$2,2)*1,L$2),Data!$K$3:$K$137,$B39)</f>
        <v>0</v>
      </c>
      <c r="M39" s="462">
        <f>IFERROR(1/M$3,1)*SUMIFS(Data!$AD$3:$AD$137,Data!$Y$3:$Y$137,M$1,Data!$Z$3:$Z$137,IF(RIGHT(M$2,3)="YTD","&lt;="&amp;LEFT(M$2,2)*1,M$2),Data!$K$3:$K$137,$B39)</f>
        <v>0</v>
      </c>
      <c r="N39" s="462">
        <f>IFERROR(1/N$3,1)*SUMIFS(Data!$AD$3:$AD$137,Data!$Y$3:$Y$137,N$1,Data!$Z$3:$Z$137,IF(RIGHT(N$2,3)="YTD","&lt;="&amp;LEFT(N$2,2)*1,N$2),Data!$K$3:$K$137,$B39)</f>
        <v>0</v>
      </c>
      <c r="O39" s="462">
        <f>IFERROR(1/O$3,1)*SUMIFS(Data!$AD$3:$AD$137,Data!$Y$3:$Y$137,O$1,Data!$Z$3:$Z$137,IF(RIGHT(O$2,3)="YTD","&lt;="&amp;LEFT(O$2,2)*1,O$2),Data!$K$3:$K$137,$B39)</f>
        <v>0</v>
      </c>
      <c r="P39" s="462">
        <f>IFERROR(1/P$3,1)*SUMIFS(Data!$AD$3:$AD$137,Data!$Y$3:$Y$137,P$1,Data!$Z$3:$Z$137,IF(RIGHT(P$2,3)="YTD","&lt;="&amp;LEFT(P$2,2)*1,P$2),Data!$K$3:$K$137,$B39)</f>
        <v>0</v>
      </c>
      <c r="Q39" s="462">
        <f>IFERROR(1/Q$3,1)*SUMIFS(Data!$AD$3:$AD$137,Data!$Y$3:$Y$137,Q$1,Data!$Z$3:$Z$137,IF(RIGHT(Q$2,3)="YTD","&lt;="&amp;LEFT(Q$2,2)*1,Q$2),Data!$K$3:$K$137,$B39)</f>
        <v>0</v>
      </c>
      <c r="R39" s="462">
        <f>IFERROR(1/R$3,1)*SUMIFS(Data!$AD$3:$AD$137,Data!$Y$3:$Y$137,R$1,Data!$Z$3:$Z$137,IF(RIGHT(R$2,3)="YTD","&lt;="&amp;LEFT(R$2,2)*1,R$2),Data!$K$3:$K$137,$B39)</f>
        <v>0</v>
      </c>
      <c r="S39" s="462">
        <f>IFERROR(1/S$3,1)*SUMIFS(Data!$AD$3:$AD$137,Data!$Y$3:$Y$137,S$1,Data!$Z$3:$Z$137,IF(RIGHT(S$2,3)="YTD","&lt;="&amp;LEFT(S$2,2)*1,S$2),Data!$K$3:$K$137,$B39)</f>
        <v>0</v>
      </c>
      <c r="T39" s="462">
        <f>IFERROR(1/T$3,1)*SUMIFS(Data!$AD$3:$AD$137,Data!$Y$3:$Y$137,T$1,Data!$Z$3:$Z$137,IF(RIGHT(T$2,3)="YTD","&lt;="&amp;LEFT(T$2,2)*1,T$2),Data!$K$3:$K$137,$B39)</f>
        <v>0</v>
      </c>
      <c r="U39" s="3"/>
      <c r="V39" s="462">
        <f t="shared" ref="V39:V48" si="13">G39</f>
        <v>30833.333333333332</v>
      </c>
      <c r="W39" s="462">
        <f t="shared" ref="W39:AD48" si="14">$G39</f>
        <v>30833.333333333332</v>
      </c>
      <c r="X39" s="462">
        <f t="shared" si="14"/>
        <v>30833.333333333332</v>
      </c>
      <c r="Y39" s="462">
        <f t="shared" si="14"/>
        <v>30833.333333333332</v>
      </c>
      <c r="Z39" s="462">
        <f t="shared" si="14"/>
        <v>30833.333333333332</v>
      </c>
      <c r="AA39" s="462">
        <f t="shared" si="14"/>
        <v>30833.333333333332</v>
      </c>
      <c r="AB39" s="462">
        <f t="shared" si="14"/>
        <v>30833.333333333332</v>
      </c>
      <c r="AC39" s="462">
        <f t="shared" si="14"/>
        <v>30833.333333333332</v>
      </c>
      <c r="AD39" s="462">
        <f t="shared" si="14"/>
        <v>30833.333333333332</v>
      </c>
      <c r="AE39" s="462"/>
      <c r="AF39" s="462">
        <f ca="1">IFERROR(1/AF$3,1)*SUMIFS(Data!$AD$3:$AD$137,Data!$Y$3:$Y$137,AF$1,Data!$Z$3:$Z$137,IF(RIGHT(AF$2,3)="YTD","&lt;="&amp;LEFT(AF$2,2)*1,AF$2),Data!$K$3:$K$137,$B15)</f>
        <v>0</v>
      </c>
      <c r="AG39" s="462">
        <f t="shared" ref="AG39:AG48" ca="1" si="15">AK39/12*$C$5</f>
        <v>123333.33333333333</v>
      </c>
      <c r="AH39" s="463">
        <f t="shared" ref="AH39:AH48" ca="1" si="16">AF39-AG39</f>
        <v>-123333.33333333333</v>
      </c>
      <c r="AI39" s="3"/>
      <c r="AJ39" s="462">
        <v>689300</v>
      </c>
      <c r="AK39" s="465">
        <v>370000</v>
      </c>
      <c r="AL39" s="3"/>
      <c r="AM39" s="3"/>
      <c r="AN39" s="3"/>
      <c r="AO39" s="3"/>
      <c r="AP39" s="3"/>
      <c r="AQ39" s="3"/>
      <c r="AR39" s="3"/>
      <c r="AS39" s="3"/>
    </row>
    <row r="40" spans="1:45" ht="19.5" hidden="1" customHeight="1" x14ac:dyDescent="0.3">
      <c r="A40" s="3" t="s">
        <v>536</v>
      </c>
      <c r="B40" s="474" t="s">
        <v>537</v>
      </c>
      <c r="C40" s="464" t="s">
        <v>535</v>
      </c>
      <c r="D40" s="3"/>
      <c r="E40" s="462">
        <f t="shared" si="11"/>
        <v>1674.6666666666667</v>
      </c>
      <c r="F40" s="462">
        <f ca="1">IFERROR(1/F$3,1)*SUMIFS(Data!$AD$3:$AD$137,Data!$Y$3:$Y$137,F$1,Data!$Z$3:$Z$137,IF(RIGHT(F$2,3)="YTD","&lt;="&amp;LEFT(F$2,2)*1,F$2),Data!$K$3:$K$137,$B40)</f>
        <v>0</v>
      </c>
      <c r="G40" s="462">
        <f t="shared" si="12"/>
        <v>0</v>
      </c>
      <c r="H40" s="472"/>
      <c r="I40" s="462">
        <f>IFERROR(1/I$3,1)*SUMIFS(Data!$AD$3:$AD$137,Data!$Y$3:$Y$137,I$1,Data!$Z$3:$Z$137,IF(RIGHT(I$2,3)="YTD","&lt;="&amp;LEFT(I$2,2)*1,I$2),Data!$K$3:$K$137,$B40)</f>
        <v>0</v>
      </c>
      <c r="J40" s="462">
        <f>IFERROR(1/J$3,1)*SUMIFS(Data!$AD$3:$AD$137,Data!$Y$3:$Y$137,J$1,Data!$Z$3:$Z$137,IF(RIGHT(J$2,3)="YTD","&lt;="&amp;LEFT(J$2,2)*1,J$2),Data!$K$3:$K$137,$B40)</f>
        <v>0</v>
      </c>
      <c r="K40" s="462">
        <f>IFERROR(1/K$3,1)*SUMIFS(Data!$AD$3:$AD$137,Data!$Y$3:$Y$137,K$1,Data!$Z$3:$Z$137,IF(RIGHT(K$2,3)="YTD","&lt;="&amp;LEFT(K$2,2)*1,K$2),Data!$K$3:$K$137,$B40)</f>
        <v>0</v>
      </c>
      <c r="L40" s="462">
        <f>IFERROR(1/L$3,1)*SUMIFS(Data!$AD$3:$AD$137,Data!$Y$3:$Y$137,L$1,Data!$Z$3:$Z$137,IF(RIGHT(L$2,3)="YTD","&lt;="&amp;LEFT(L$2,2)*1,L$2),Data!$K$3:$K$137,$B40)</f>
        <v>0</v>
      </c>
      <c r="M40" s="462">
        <f>IFERROR(1/M$3,1)*SUMIFS(Data!$AD$3:$AD$137,Data!$Y$3:$Y$137,M$1,Data!$Z$3:$Z$137,IF(RIGHT(M$2,3)="YTD","&lt;="&amp;LEFT(M$2,2)*1,M$2),Data!$K$3:$K$137,$B40)</f>
        <v>0</v>
      </c>
      <c r="N40" s="462">
        <f>IFERROR(1/N$3,1)*SUMIFS(Data!$AD$3:$AD$137,Data!$Y$3:$Y$137,N$1,Data!$Z$3:$Z$137,IF(RIGHT(N$2,3)="YTD","&lt;="&amp;LEFT(N$2,2)*1,N$2),Data!$K$3:$K$137,$B40)</f>
        <v>0</v>
      </c>
      <c r="O40" s="462">
        <f>IFERROR(1/O$3,1)*SUMIFS(Data!$AD$3:$AD$137,Data!$Y$3:$Y$137,O$1,Data!$Z$3:$Z$137,IF(RIGHT(O$2,3)="YTD","&lt;="&amp;LEFT(O$2,2)*1,O$2),Data!$K$3:$K$137,$B40)</f>
        <v>0</v>
      </c>
      <c r="P40" s="462">
        <f>IFERROR(1/P$3,1)*SUMIFS(Data!$AD$3:$AD$137,Data!$Y$3:$Y$137,P$1,Data!$Z$3:$Z$137,IF(RIGHT(P$2,3)="YTD","&lt;="&amp;LEFT(P$2,2)*1,P$2),Data!$K$3:$K$137,$B40)</f>
        <v>0</v>
      </c>
      <c r="Q40" s="462">
        <f>IFERROR(1/Q$3,1)*SUMIFS(Data!$AD$3:$AD$137,Data!$Y$3:$Y$137,Q$1,Data!$Z$3:$Z$137,IF(RIGHT(Q$2,3)="YTD","&lt;="&amp;LEFT(Q$2,2)*1,Q$2),Data!$K$3:$K$137,$B40)</f>
        <v>0</v>
      </c>
      <c r="R40" s="462">
        <f>IFERROR(1/R$3,1)*SUMIFS(Data!$AD$3:$AD$137,Data!$Y$3:$Y$137,R$1,Data!$Z$3:$Z$137,IF(RIGHT(R$2,3)="YTD","&lt;="&amp;LEFT(R$2,2)*1,R$2),Data!$K$3:$K$137,$B40)</f>
        <v>0</v>
      </c>
      <c r="S40" s="462">
        <f>IFERROR(1/S$3,1)*SUMIFS(Data!$AD$3:$AD$137,Data!$Y$3:$Y$137,S$1,Data!$Z$3:$Z$137,IF(RIGHT(S$2,3)="YTD","&lt;="&amp;LEFT(S$2,2)*1,S$2),Data!$K$3:$K$137,$B40)</f>
        <v>0</v>
      </c>
      <c r="T40" s="462">
        <f>IFERROR(1/T$3,1)*SUMIFS(Data!$AD$3:$AD$137,Data!$Y$3:$Y$137,T$1,Data!$Z$3:$Z$137,IF(RIGHT(T$2,3)="YTD","&lt;="&amp;LEFT(T$2,2)*1,T$2),Data!$K$3:$K$137,$B40)</f>
        <v>0</v>
      </c>
      <c r="U40" s="3"/>
      <c r="V40" s="462">
        <f t="shared" si="13"/>
        <v>0</v>
      </c>
      <c r="W40" s="462">
        <f t="shared" si="14"/>
        <v>0</v>
      </c>
      <c r="X40" s="462">
        <f t="shared" si="14"/>
        <v>0</v>
      </c>
      <c r="Y40" s="462">
        <f t="shared" si="14"/>
        <v>0</v>
      </c>
      <c r="Z40" s="462">
        <f t="shared" si="14"/>
        <v>0</v>
      </c>
      <c r="AA40" s="462">
        <f t="shared" si="14"/>
        <v>0</v>
      </c>
      <c r="AB40" s="462">
        <f t="shared" si="14"/>
        <v>0</v>
      </c>
      <c r="AC40" s="462">
        <f t="shared" si="14"/>
        <v>0</v>
      </c>
      <c r="AD40" s="462">
        <f t="shared" si="14"/>
        <v>0</v>
      </c>
      <c r="AE40" s="462"/>
      <c r="AF40" s="462">
        <f ca="1">IFERROR(1/AF$3,1)*SUMIFS(Data!$AD$3:$AD$137,Data!$Y$3:$Y$137,AF$1,Data!$Z$3:$Z$137,IF(RIGHT(AF$2,3)="YTD","&lt;="&amp;LEFT(AF$2,2)*1,AF$2),Data!$K$3:$K$137,$B16)</f>
        <v>0</v>
      </c>
      <c r="AG40" s="462">
        <f t="shared" ca="1" si="15"/>
        <v>0</v>
      </c>
      <c r="AH40" s="463">
        <f t="shared" ca="1" si="16"/>
        <v>0</v>
      </c>
      <c r="AI40" s="3"/>
      <c r="AJ40" s="462">
        <v>20096</v>
      </c>
      <c r="AK40" s="462">
        <v>0</v>
      </c>
      <c r="AL40" s="3"/>
      <c r="AM40" s="3"/>
      <c r="AN40" s="3"/>
      <c r="AO40" s="3"/>
      <c r="AP40" s="3"/>
      <c r="AQ40" s="3"/>
      <c r="AR40" s="3"/>
      <c r="AS40" s="3"/>
    </row>
    <row r="41" spans="1:45" ht="19.5" hidden="1" customHeight="1" x14ac:dyDescent="0.3">
      <c r="A41" s="3"/>
      <c r="B41" s="474" t="s">
        <v>538</v>
      </c>
      <c r="C41" s="464" t="s">
        <v>535</v>
      </c>
      <c r="D41" s="3"/>
      <c r="E41" s="462">
        <f t="shared" si="11"/>
        <v>422.91666666666669</v>
      </c>
      <c r="F41" s="462">
        <f ca="1">IFERROR(1/F$3,1)*SUMIFS(Data!$AD$3:$AD$137,Data!$Y$3:$Y$137,F$1,Data!$Z$3:$Z$137,IF(RIGHT(F$2,3)="YTD","&lt;="&amp;LEFT(F$2,2)*1,F$2),Data!$K$3:$K$137,$B41)</f>
        <v>0</v>
      </c>
      <c r="G41" s="462">
        <f t="shared" si="12"/>
        <v>0</v>
      </c>
      <c r="H41" s="472"/>
      <c r="I41" s="462">
        <f>IFERROR(1/I$3,1)*SUMIFS(Data!$AD$3:$AD$137,Data!$Y$3:$Y$137,I$1,Data!$Z$3:$Z$137,IF(RIGHT(I$2,3)="YTD","&lt;="&amp;LEFT(I$2,2)*1,I$2),Data!$K$3:$K$137,$B41)</f>
        <v>0</v>
      </c>
      <c r="J41" s="462">
        <f>IFERROR(1/J$3,1)*SUMIFS(Data!$AD$3:$AD$137,Data!$Y$3:$Y$137,J$1,Data!$Z$3:$Z$137,IF(RIGHT(J$2,3)="YTD","&lt;="&amp;LEFT(J$2,2)*1,J$2),Data!$K$3:$K$137,$B41)</f>
        <v>0</v>
      </c>
      <c r="K41" s="462">
        <f>IFERROR(1/K$3,1)*SUMIFS(Data!$AD$3:$AD$137,Data!$Y$3:$Y$137,K$1,Data!$Z$3:$Z$137,IF(RIGHT(K$2,3)="YTD","&lt;="&amp;LEFT(K$2,2)*1,K$2),Data!$K$3:$K$137,$B41)</f>
        <v>0</v>
      </c>
      <c r="L41" s="462">
        <f>IFERROR(1/L$3,1)*SUMIFS(Data!$AD$3:$AD$137,Data!$Y$3:$Y$137,L$1,Data!$Z$3:$Z$137,IF(RIGHT(L$2,3)="YTD","&lt;="&amp;LEFT(L$2,2)*1,L$2),Data!$K$3:$K$137,$B41)</f>
        <v>0</v>
      </c>
      <c r="M41" s="462">
        <f>IFERROR(1/M$3,1)*SUMIFS(Data!$AD$3:$AD$137,Data!$Y$3:$Y$137,M$1,Data!$Z$3:$Z$137,IF(RIGHT(M$2,3)="YTD","&lt;="&amp;LEFT(M$2,2)*1,M$2),Data!$K$3:$K$137,$B41)</f>
        <v>0</v>
      </c>
      <c r="N41" s="462">
        <f>IFERROR(1/N$3,1)*SUMIFS(Data!$AD$3:$AD$137,Data!$Y$3:$Y$137,N$1,Data!$Z$3:$Z$137,IF(RIGHT(N$2,3)="YTD","&lt;="&amp;LEFT(N$2,2)*1,N$2),Data!$K$3:$K$137,$B41)</f>
        <v>0</v>
      </c>
      <c r="O41" s="462">
        <f>IFERROR(1/O$3,1)*SUMIFS(Data!$AD$3:$AD$137,Data!$Y$3:$Y$137,O$1,Data!$Z$3:$Z$137,IF(RIGHT(O$2,3)="YTD","&lt;="&amp;LEFT(O$2,2)*1,O$2),Data!$K$3:$K$137,$B41)</f>
        <v>0</v>
      </c>
      <c r="P41" s="462">
        <f>IFERROR(1/P$3,1)*SUMIFS(Data!$AD$3:$AD$137,Data!$Y$3:$Y$137,P$1,Data!$Z$3:$Z$137,IF(RIGHT(P$2,3)="YTD","&lt;="&amp;LEFT(P$2,2)*1,P$2),Data!$K$3:$K$137,$B41)</f>
        <v>0</v>
      </c>
      <c r="Q41" s="462">
        <f>IFERROR(1/Q$3,1)*SUMIFS(Data!$AD$3:$AD$137,Data!$Y$3:$Y$137,Q$1,Data!$Z$3:$Z$137,IF(RIGHT(Q$2,3)="YTD","&lt;="&amp;LEFT(Q$2,2)*1,Q$2),Data!$K$3:$K$137,$B41)</f>
        <v>0</v>
      </c>
      <c r="R41" s="462">
        <f>IFERROR(1/R$3,1)*SUMIFS(Data!$AD$3:$AD$137,Data!$Y$3:$Y$137,R$1,Data!$Z$3:$Z$137,IF(RIGHT(R$2,3)="YTD","&lt;="&amp;LEFT(R$2,2)*1,R$2),Data!$K$3:$K$137,$B41)</f>
        <v>0</v>
      </c>
      <c r="S41" s="462">
        <f>IFERROR(1/S$3,1)*SUMIFS(Data!$AD$3:$AD$137,Data!$Y$3:$Y$137,S$1,Data!$Z$3:$Z$137,IF(RIGHT(S$2,3)="YTD","&lt;="&amp;LEFT(S$2,2)*1,S$2),Data!$K$3:$K$137,$B41)</f>
        <v>0</v>
      </c>
      <c r="T41" s="462">
        <f>IFERROR(1/T$3,1)*SUMIFS(Data!$AD$3:$AD$137,Data!$Y$3:$Y$137,T$1,Data!$Z$3:$Z$137,IF(RIGHT(T$2,3)="YTD","&lt;="&amp;LEFT(T$2,2)*1,T$2),Data!$K$3:$K$137,$B41)</f>
        <v>0</v>
      </c>
      <c r="U41" s="3"/>
      <c r="V41" s="462">
        <f t="shared" si="13"/>
        <v>0</v>
      </c>
      <c r="W41" s="462">
        <f t="shared" si="14"/>
        <v>0</v>
      </c>
      <c r="X41" s="462">
        <f t="shared" si="14"/>
        <v>0</v>
      </c>
      <c r="Y41" s="462">
        <f t="shared" si="14"/>
        <v>0</v>
      </c>
      <c r="Z41" s="462">
        <f t="shared" si="14"/>
        <v>0</v>
      </c>
      <c r="AA41" s="462">
        <f t="shared" si="14"/>
        <v>0</v>
      </c>
      <c r="AB41" s="462">
        <f t="shared" si="14"/>
        <v>0</v>
      </c>
      <c r="AC41" s="462">
        <f t="shared" si="14"/>
        <v>0</v>
      </c>
      <c r="AD41" s="462">
        <f t="shared" si="14"/>
        <v>0</v>
      </c>
      <c r="AE41" s="462"/>
      <c r="AF41" s="462">
        <f ca="1">IFERROR(1/AF$3,1)*SUMIFS(Data!$AD$3:$AD$137,Data!$Y$3:$Y$137,AF$1,Data!$Z$3:$Z$137,IF(RIGHT(AF$2,3)="YTD","&lt;="&amp;LEFT(AF$2,2)*1,AF$2),Data!$K$3:$K$137,$B17)</f>
        <v>0</v>
      </c>
      <c r="AG41" s="462">
        <f t="shared" ca="1" si="15"/>
        <v>0</v>
      </c>
      <c r="AH41" s="463">
        <f t="shared" ca="1" si="16"/>
        <v>0</v>
      </c>
      <c r="AI41" s="3"/>
      <c r="AJ41" s="462">
        <v>5075</v>
      </c>
      <c r="AK41" s="462">
        <v>0</v>
      </c>
      <c r="AL41" s="3"/>
      <c r="AM41" s="3"/>
      <c r="AN41" s="3"/>
      <c r="AO41" s="3"/>
      <c r="AP41" s="3"/>
      <c r="AQ41" s="3"/>
      <c r="AR41" s="3"/>
      <c r="AS41" s="3"/>
    </row>
    <row r="42" spans="1:45" ht="19.5" hidden="1" customHeight="1" x14ac:dyDescent="0.3">
      <c r="A42" s="3" t="s">
        <v>539</v>
      </c>
      <c r="B42" s="474" t="s">
        <v>540</v>
      </c>
      <c r="C42" s="464" t="s">
        <v>535</v>
      </c>
      <c r="D42" s="3"/>
      <c r="E42" s="462">
        <f t="shared" si="11"/>
        <v>3145.2083333333335</v>
      </c>
      <c r="F42" s="462">
        <f ca="1">IFERROR(1/F$3,1)*SUMIFS(Data!$AD$3:$AD$137,Data!$Y$3:$Y$137,F$1,Data!$Z$3:$Z$137,IF(RIGHT(F$2,3)="YTD","&lt;="&amp;LEFT(F$2,2)*1,F$2),Data!$K$3:$K$137,$B42)</f>
        <v>0</v>
      </c>
      <c r="G42" s="462">
        <f t="shared" si="12"/>
        <v>0</v>
      </c>
      <c r="H42" s="472"/>
      <c r="I42" s="462">
        <f>IFERROR(1/I$3,1)*SUMIFS(Data!$AD$3:$AD$137,Data!$Y$3:$Y$137,I$1,Data!$Z$3:$Z$137,IF(RIGHT(I$2,3)="YTD","&lt;="&amp;LEFT(I$2,2)*1,I$2),Data!$K$3:$K$137,$B42)</f>
        <v>0</v>
      </c>
      <c r="J42" s="462">
        <f>IFERROR(1/J$3,1)*SUMIFS(Data!$AD$3:$AD$137,Data!$Y$3:$Y$137,J$1,Data!$Z$3:$Z$137,IF(RIGHT(J$2,3)="YTD","&lt;="&amp;LEFT(J$2,2)*1,J$2),Data!$K$3:$K$137,$B42)</f>
        <v>0</v>
      </c>
      <c r="K42" s="462">
        <f>IFERROR(1/K$3,1)*SUMIFS(Data!$AD$3:$AD$137,Data!$Y$3:$Y$137,K$1,Data!$Z$3:$Z$137,IF(RIGHT(K$2,3)="YTD","&lt;="&amp;LEFT(K$2,2)*1,K$2),Data!$K$3:$K$137,$B42)</f>
        <v>0</v>
      </c>
      <c r="L42" s="462">
        <f>IFERROR(1/L$3,1)*SUMIFS(Data!$AD$3:$AD$137,Data!$Y$3:$Y$137,L$1,Data!$Z$3:$Z$137,IF(RIGHT(L$2,3)="YTD","&lt;="&amp;LEFT(L$2,2)*1,L$2),Data!$K$3:$K$137,$B42)</f>
        <v>0</v>
      </c>
      <c r="M42" s="462">
        <f>IFERROR(1/M$3,1)*SUMIFS(Data!$AD$3:$AD$137,Data!$Y$3:$Y$137,M$1,Data!$Z$3:$Z$137,IF(RIGHT(M$2,3)="YTD","&lt;="&amp;LEFT(M$2,2)*1,M$2),Data!$K$3:$K$137,$B42)</f>
        <v>0</v>
      </c>
      <c r="N42" s="462">
        <f>IFERROR(1/N$3,1)*SUMIFS(Data!$AD$3:$AD$137,Data!$Y$3:$Y$137,N$1,Data!$Z$3:$Z$137,IF(RIGHT(N$2,3)="YTD","&lt;="&amp;LEFT(N$2,2)*1,N$2),Data!$K$3:$K$137,$B42)</f>
        <v>0</v>
      </c>
      <c r="O42" s="462">
        <f>IFERROR(1/O$3,1)*SUMIFS(Data!$AD$3:$AD$137,Data!$Y$3:$Y$137,O$1,Data!$Z$3:$Z$137,IF(RIGHT(O$2,3)="YTD","&lt;="&amp;LEFT(O$2,2)*1,O$2),Data!$K$3:$K$137,$B42)</f>
        <v>0</v>
      </c>
      <c r="P42" s="462">
        <f>IFERROR(1/P$3,1)*SUMIFS(Data!$AD$3:$AD$137,Data!$Y$3:$Y$137,P$1,Data!$Z$3:$Z$137,IF(RIGHT(P$2,3)="YTD","&lt;="&amp;LEFT(P$2,2)*1,P$2),Data!$K$3:$K$137,$B42)</f>
        <v>0</v>
      </c>
      <c r="Q42" s="462">
        <f>IFERROR(1/Q$3,1)*SUMIFS(Data!$AD$3:$AD$137,Data!$Y$3:$Y$137,Q$1,Data!$Z$3:$Z$137,IF(RIGHT(Q$2,3)="YTD","&lt;="&amp;LEFT(Q$2,2)*1,Q$2),Data!$K$3:$K$137,$B42)</f>
        <v>0</v>
      </c>
      <c r="R42" s="462">
        <f>IFERROR(1/R$3,1)*SUMIFS(Data!$AD$3:$AD$137,Data!$Y$3:$Y$137,R$1,Data!$Z$3:$Z$137,IF(RIGHT(R$2,3)="YTD","&lt;="&amp;LEFT(R$2,2)*1,R$2),Data!$K$3:$K$137,$B42)</f>
        <v>0</v>
      </c>
      <c r="S42" s="462">
        <f>IFERROR(1/S$3,1)*SUMIFS(Data!$AD$3:$AD$137,Data!$Y$3:$Y$137,S$1,Data!$Z$3:$Z$137,IF(RIGHT(S$2,3)="YTD","&lt;="&amp;LEFT(S$2,2)*1,S$2),Data!$K$3:$K$137,$B42)</f>
        <v>0</v>
      </c>
      <c r="T42" s="462">
        <f>IFERROR(1/T$3,1)*SUMIFS(Data!$AD$3:$AD$137,Data!$Y$3:$Y$137,T$1,Data!$Z$3:$Z$137,IF(RIGHT(T$2,3)="YTD","&lt;="&amp;LEFT(T$2,2)*1,T$2),Data!$K$3:$K$137,$B42)</f>
        <v>0</v>
      </c>
      <c r="U42" s="3"/>
      <c r="V42" s="462">
        <f t="shared" si="13"/>
        <v>0</v>
      </c>
      <c r="W42" s="462">
        <f t="shared" si="14"/>
        <v>0</v>
      </c>
      <c r="X42" s="462">
        <f t="shared" si="14"/>
        <v>0</v>
      </c>
      <c r="Y42" s="462">
        <f t="shared" si="14"/>
        <v>0</v>
      </c>
      <c r="Z42" s="462">
        <f t="shared" si="14"/>
        <v>0</v>
      </c>
      <c r="AA42" s="462">
        <f t="shared" si="14"/>
        <v>0</v>
      </c>
      <c r="AB42" s="462">
        <f t="shared" si="14"/>
        <v>0</v>
      </c>
      <c r="AC42" s="462">
        <f t="shared" si="14"/>
        <v>0</v>
      </c>
      <c r="AD42" s="462">
        <f t="shared" si="14"/>
        <v>0</v>
      </c>
      <c r="AE42" s="462"/>
      <c r="AF42" s="462">
        <f ca="1">IFERROR(1/AF$3,1)*SUMIFS(Data!$AD$3:$AD$137,Data!$Y$3:$Y$137,AF$1,Data!$Z$3:$Z$137,IF(RIGHT(AF$2,3)="YTD","&lt;="&amp;LEFT(AF$2,2)*1,AF$2),Data!$K$3:$K$137,$B18)</f>
        <v>0</v>
      </c>
      <c r="AG42" s="462">
        <f t="shared" ca="1" si="15"/>
        <v>0</v>
      </c>
      <c r="AH42" s="463">
        <f t="shared" ca="1" si="16"/>
        <v>0</v>
      </c>
      <c r="AI42" s="3"/>
      <c r="AJ42" s="462">
        <v>37742.5</v>
      </c>
      <c r="AK42" s="462">
        <v>0</v>
      </c>
      <c r="AL42" s="3"/>
      <c r="AM42" s="3"/>
      <c r="AN42" s="3"/>
      <c r="AO42" s="3"/>
      <c r="AP42" s="3"/>
      <c r="AQ42" s="3"/>
      <c r="AR42" s="3"/>
      <c r="AS42" s="3"/>
    </row>
    <row r="43" spans="1:45" ht="19.5" hidden="1" customHeight="1" x14ac:dyDescent="0.3">
      <c r="A43" s="3" t="s">
        <v>541</v>
      </c>
      <c r="B43" s="474" t="s">
        <v>542</v>
      </c>
      <c r="C43" s="464" t="s">
        <v>535</v>
      </c>
      <c r="D43" s="3"/>
      <c r="E43" s="462">
        <f t="shared" si="11"/>
        <v>22610</v>
      </c>
      <c r="F43" s="462">
        <f ca="1">IFERROR(1/F$3,1)*SUMIFS(Data!$AD$3:$AD$137,Data!$Y$3:$Y$137,F$1,Data!$Z$3:$Z$137,IF(RIGHT(F$2,3)="YTD","&lt;="&amp;LEFT(F$2,2)*1,F$2),Data!$K$3:$K$137,$B43)</f>
        <v>0</v>
      </c>
      <c r="G43" s="462">
        <f t="shared" si="12"/>
        <v>0</v>
      </c>
      <c r="H43" s="472"/>
      <c r="I43" s="462">
        <f>IFERROR(1/I$3,1)*SUMIFS(Data!$AD$3:$AD$137,Data!$Y$3:$Y$137,I$1,Data!$Z$3:$Z$137,IF(RIGHT(I$2,3)="YTD","&lt;="&amp;LEFT(I$2,2)*1,I$2),Data!$K$3:$K$137,$B43)</f>
        <v>0</v>
      </c>
      <c r="J43" s="462">
        <f>IFERROR(1/J$3,1)*SUMIFS(Data!$AD$3:$AD$137,Data!$Y$3:$Y$137,J$1,Data!$Z$3:$Z$137,IF(RIGHT(J$2,3)="YTD","&lt;="&amp;LEFT(J$2,2)*1,J$2),Data!$K$3:$K$137,$B43)</f>
        <v>0</v>
      </c>
      <c r="K43" s="462">
        <f>IFERROR(1/K$3,1)*SUMIFS(Data!$AD$3:$AD$137,Data!$Y$3:$Y$137,K$1,Data!$Z$3:$Z$137,IF(RIGHT(K$2,3)="YTD","&lt;="&amp;LEFT(K$2,2)*1,K$2),Data!$K$3:$K$137,$B43)</f>
        <v>0</v>
      </c>
      <c r="L43" s="462">
        <f>IFERROR(1/L$3,1)*SUMIFS(Data!$AD$3:$AD$137,Data!$Y$3:$Y$137,L$1,Data!$Z$3:$Z$137,IF(RIGHT(L$2,3)="YTD","&lt;="&amp;LEFT(L$2,2)*1,L$2),Data!$K$3:$K$137,$B43)</f>
        <v>0</v>
      </c>
      <c r="M43" s="462">
        <f>IFERROR(1/M$3,1)*SUMIFS(Data!$AD$3:$AD$137,Data!$Y$3:$Y$137,M$1,Data!$Z$3:$Z$137,IF(RIGHT(M$2,3)="YTD","&lt;="&amp;LEFT(M$2,2)*1,M$2),Data!$K$3:$K$137,$B43)</f>
        <v>0</v>
      </c>
      <c r="N43" s="462">
        <f>IFERROR(1/N$3,1)*SUMIFS(Data!$AD$3:$AD$137,Data!$Y$3:$Y$137,N$1,Data!$Z$3:$Z$137,IF(RIGHT(N$2,3)="YTD","&lt;="&amp;LEFT(N$2,2)*1,N$2),Data!$K$3:$K$137,$B43)</f>
        <v>0</v>
      </c>
      <c r="O43" s="462">
        <f>IFERROR(1/O$3,1)*SUMIFS(Data!$AD$3:$AD$137,Data!$Y$3:$Y$137,O$1,Data!$Z$3:$Z$137,IF(RIGHT(O$2,3)="YTD","&lt;="&amp;LEFT(O$2,2)*1,O$2),Data!$K$3:$K$137,$B43)</f>
        <v>0</v>
      </c>
      <c r="P43" s="462">
        <f>IFERROR(1/P$3,1)*SUMIFS(Data!$AD$3:$AD$137,Data!$Y$3:$Y$137,P$1,Data!$Z$3:$Z$137,IF(RIGHT(P$2,3)="YTD","&lt;="&amp;LEFT(P$2,2)*1,P$2),Data!$K$3:$K$137,$B43)</f>
        <v>0</v>
      </c>
      <c r="Q43" s="462">
        <f>IFERROR(1/Q$3,1)*SUMIFS(Data!$AD$3:$AD$137,Data!$Y$3:$Y$137,Q$1,Data!$Z$3:$Z$137,IF(RIGHT(Q$2,3)="YTD","&lt;="&amp;LEFT(Q$2,2)*1,Q$2),Data!$K$3:$K$137,$B43)</f>
        <v>0</v>
      </c>
      <c r="R43" s="462">
        <f>IFERROR(1/R$3,1)*SUMIFS(Data!$AD$3:$AD$137,Data!$Y$3:$Y$137,R$1,Data!$Z$3:$Z$137,IF(RIGHT(R$2,3)="YTD","&lt;="&amp;LEFT(R$2,2)*1,R$2),Data!$K$3:$K$137,$B43)</f>
        <v>0</v>
      </c>
      <c r="S43" s="462">
        <f>IFERROR(1/S$3,1)*SUMIFS(Data!$AD$3:$AD$137,Data!$Y$3:$Y$137,S$1,Data!$Z$3:$Z$137,IF(RIGHT(S$2,3)="YTD","&lt;="&amp;LEFT(S$2,2)*1,S$2),Data!$K$3:$K$137,$B43)</f>
        <v>0</v>
      </c>
      <c r="T43" s="462">
        <f>IFERROR(1/T$3,1)*SUMIFS(Data!$AD$3:$AD$137,Data!$Y$3:$Y$137,T$1,Data!$Z$3:$Z$137,IF(RIGHT(T$2,3)="YTD","&lt;="&amp;LEFT(T$2,2)*1,T$2),Data!$K$3:$K$137,$B43)</f>
        <v>0</v>
      </c>
      <c r="U43" s="3"/>
      <c r="V43" s="462">
        <f t="shared" si="13"/>
        <v>0</v>
      </c>
      <c r="W43" s="462">
        <f t="shared" si="14"/>
        <v>0</v>
      </c>
      <c r="X43" s="462">
        <f t="shared" si="14"/>
        <v>0</v>
      </c>
      <c r="Y43" s="462">
        <f t="shared" si="14"/>
        <v>0</v>
      </c>
      <c r="Z43" s="462">
        <f t="shared" si="14"/>
        <v>0</v>
      </c>
      <c r="AA43" s="462">
        <f t="shared" si="14"/>
        <v>0</v>
      </c>
      <c r="AB43" s="462">
        <f t="shared" si="14"/>
        <v>0</v>
      </c>
      <c r="AC43" s="462">
        <f t="shared" si="14"/>
        <v>0</v>
      </c>
      <c r="AD43" s="462">
        <f t="shared" si="14"/>
        <v>0</v>
      </c>
      <c r="AE43" s="462"/>
      <c r="AF43" s="462">
        <f ca="1">IFERROR(1/AF$3,1)*SUMIFS(Data!$AD$3:$AD$137,Data!$Y$3:$Y$137,AF$1,Data!$Z$3:$Z$137,IF(RIGHT(AF$2,3)="YTD","&lt;="&amp;LEFT(AF$2,2)*1,AF$2),Data!$K$3:$K$137,$B19)</f>
        <v>0</v>
      </c>
      <c r="AG43" s="462">
        <f t="shared" ca="1" si="15"/>
        <v>0</v>
      </c>
      <c r="AH43" s="463">
        <f t="shared" ca="1" si="16"/>
        <v>0</v>
      </c>
      <c r="AI43" s="3"/>
      <c r="AJ43" s="462">
        <v>271320</v>
      </c>
      <c r="AK43" s="462">
        <v>0</v>
      </c>
      <c r="AL43" s="3"/>
      <c r="AM43" s="3"/>
      <c r="AN43" s="3"/>
      <c r="AO43" s="3"/>
      <c r="AP43" s="3"/>
      <c r="AQ43" s="3"/>
      <c r="AR43" s="3"/>
      <c r="AS43" s="3"/>
    </row>
    <row r="44" spans="1:45" ht="19.5" hidden="1" customHeight="1" x14ac:dyDescent="0.3">
      <c r="A44" s="3" t="s">
        <v>543</v>
      </c>
      <c r="B44" s="474" t="s">
        <v>544</v>
      </c>
      <c r="C44" s="464" t="s">
        <v>535</v>
      </c>
      <c r="D44" s="3"/>
      <c r="E44" s="462">
        <f t="shared" si="11"/>
        <v>3760.8333333333335</v>
      </c>
      <c r="F44" s="462">
        <f ca="1">IFERROR(1/F$3,1)*SUMIFS(Data!$AD$3:$AD$137,Data!$Y$3:$Y$137,F$1,Data!$Z$3:$Z$137,IF(RIGHT(F$2,3)="YTD","&lt;="&amp;LEFT(F$2,2)*1,F$2),Data!$K$3:$K$137,$B44)</f>
        <v>0</v>
      </c>
      <c r="G44" s="462">
        <f t="shared" si="12"/>
        <v>20833.333333333332</v>
      </c>
      <c r="H44" s="472"/>
      <c r="I44" s="462">
        <f>IFERROR(1/I$3,1)*SUMIFS(Data!$AD$3:$AD$137,Data!$Y$3:$Y$137,I$1,Data!$Z$3:$Z$137,IF(RIGHT(I$2,3)="YTD","&lt;="&amp;LEFT(I$2,2)*1,I$2),Data!$K$3:$K$137,$B44)</f>
        <v>0</v>
      </c>
      <c r="J44" s="462">
        <f>IFERROR(1/J$3,1)*SUMIFS(Data!$AD$3:$AD$137,Data!$Y$3:$Y$137,J$1,Data!$Z$3:$Z$137,IF(RIGHT(J$2,3)="YTD","&lt;="&amp;LEFT(J$2,2)*1,J$2),Data!$K$3:$K$137,$B44)</f>
        <v>0</v>
      </c>
      <c r="K44" s="462">
        <f>IFERROR(1/K$3,1)*SUMIFS(Data!$AD$3:$AD$137,Data!$Y$3:$Y$137,K$1,Data!$Z$3:$Z$137,IF(RIGHT(K$2,3)="YTD","&lt;="&amp;LEFT(K$2,2)*1,K$2),Data!$K$3:$K$137,$B44)</f>
        <v>0</v>
      </c>
      <c r="L44" s="462">
        <f>IFERROR(1/L$3,1)*SUMIFS(Data!$AD$3:$AD$137,Data!$Y$3:$Y$137,L$1,Data!$Z$3:$Z$137,IF(RIGHT(L$2,3)="YTD","&lt;="&amp;LEFT(L$2,2)*1,L$2),Data!$K$3:$K$137,$B44)</f>
        <v>0</v>
      </c>
      <c r="M44" s="462">
        <f>IFERROR(1/M$3,1)*SUMIFS(Data!$AD$3:$AD$137,Data!$Y$3:$Y$137,M$1,Data!$Z$3:$Z$137,IF(RIGHT(M$2,3)="YTD","&lt;="&amp;LEFT(M$2,2)*1,M$2),Data!$K$3:$K$137,$B44)</f>
        <v>0</v>
      </c>
      <c r="N44" s="462">
        <f>IFERROR(1/N$3,1)*SUMIFS(Data!$AD$3:$AD$137,Data!$Y$3:$Y$137,N$1,Data!$Z$3:$Z$137,IF(RIGHT(N$2,3)="YTD","&lt;="&amp;LEFT(N$2,2)*1,N$2),Data!$K$3:$K$137,$B44)</f>
        <v>0</v>
      </c>
      <c r="O44" s="462">
        <f>IFERROR(1/O$3,1)*SUMIFS(Data!$AD$3:$AD$137,Data!$Y$3:$Y$137,O$1,Data!$Z$3:$Z$137,IF(RIGHT(O$2,3)="YTD","&lt;="&amp;LEFT(O$2,2)*1,O$2),Data!$K$3:$K$137,$B44)</f>
        <v>0</v>
      </c>
      <c r="P44" s="462">
        <f>IFERROR(1/P$3,1)*SUMIFS(Data!$AD$3:$AD$137,Data!$Y$3:$Y$137,P$1,Data!$Z$3:$Z$137,IF(RIGHT(P$2,3)="YTD","&lt;="&amp;LEFT(P$2,2)*1,P$2),Data!$K$3:$K$137,$B44)</f>
        <v>0</v>
      </c>
      <c r="Q44" s="462">
        <f>IFERROR(1/Q$3,1)*SUMIFS(Data!$AD$3:$AD$137,Data!$Y$3:$Y$137,Q$1,Data!$Z$3:$Z$137,IF(RIGHT(Q$2,3)="YTD","&lt;="&amp;LEFT(Q$2,2)*1,Q$2),Data!$K$3:$K$137,$B44)</f>
        <v>0</v>
      </c>
      <c r="R44" s="462">
        <f>IFERROR(1/R$3,1)*SUMIFS(Data!$AD$3:$AD$137,Data!$Y$3:$Y$137,R$1,Data!$Z$3:$Z$137,IF(RIGHT(R$2,3)="YTD","&lt;="&amp;LEFT(R$2,2)*1,R$2),Data!$K$3:$K$137,$B44)</f>
        <v>0</v>
      </c>
      <c r="S44" s="462">
        <f>IFERROR(1/S$3,1)*SUMIFS(Data!$AD$3:$AD$137,Data!$Y$3:$Y$137,S$1,Data!$Z$3:$Z$137,IF(RIGHT(S$2,3)="YTD","&lt;="&amp;LEFT(S$2,2)*1,S$2),Data!$K$3:$K$137,$B44)</f>
        <v>0</v>
      </c>
      <c r="T44" s="462">
        <f>IFERROR(1/T$3,1)*SUMIFS(Data!$AD$3:$AD$137,Data!$Y$3:$Y$137,T$1,Data!$Z$3:$Z$137,IF(RIGHT(T$2,3)="YTD","&lt;="&amp;LEFT(T$2,2)*1,T$2),Data!$K$3:$K$137,$B44)</f>
        <v>0</v>
      </c>
      <c r="U44" s="3"/>
      <c r="V44" s="462">
        <f t="shared" si="13"/>
        <v>20833.333333333332</v>
      </c>
      <c r="W44" s="462">
        <f t="shared" si="14"/>
        <v>20833.333333333332</v>
      </c>
      <c r="X44" s="462">
        <f t="shared" si="14"/>
        <v>20833.333333333332</v>
      </c>
      <c r="Y44" s="462">
        <f t="shared" si="14"/>
        <v>20833.333333333332</v>
      </c>
      <c r="Z44" s="462">
        <f t="shared" si="14"/>
        <v>20833.333333333332</v>
      </c>
      <c r="AA44" s="462">
        <f t="shared" si="14"/>
        <v>20833.333333333332</v>
      </c>
      <c r="AB44" s="462">
        <f t="shared" si="14"/>
        <v>20833.333333333332</v>
      </c>
      <c r="AC44" s="462">
        <f t="shared" si="14"/>
        <v>20833.333333333332</v>
      </c>
      <c r="AD44" s="462">
        <f t="shared" si="14"/>
        <v>20833.333333333332</v>
      </c>
      <c r="AE44" s="462"/>
      <c r="AF44" s="462">
        <f ca="1">IFERROR(1/AF$3,1)*SUMIFS(Data!$AD$3:$AD$137,Data!$Y$3:$Y$137,AF$1,Data!$Z$3:$Z$137,IF(RIGHT(AF$2,3)="YTD","&lt;="&amp;LEFT(AF$2,2)*1,AF$2),Data!$K$3:$K$137,$B20)</f>
        <v>0</v>
      </c>
      <c r="AG44" s="462">
        <f t="shared" ca="1" si="15"/>
        <v>83333.333333333328</v>
      </c>
      <c r="AH44" s="463">
        <f t="shared" ca="1" si="16"/>
        <v>-83333.333333333328</v>
      </c>
      <c r="AI44" s="3"/>
      <c r="AJ44" s="462">
        <v>45130</v>
      </c>
      <c r="AK44" s="465">
        <v>250000</v>
      </c>
      <c r="AL44" s="3"/>
      <c r="AM44" s="3"/>
      <c r="AN44" s="3"/>
      <c r="AO44" s="3"/>
      <c r="AP44" s="3"/>
      <c r="AQ44" s="3"/>
      <c r="AR44" s="3"/>
      <c r="AS44" s="3"/>
    </row>
    <row r="45" spans="1:45" ht="19.5" hidden="1" customHeight="1" x14ac:dyDescent="0.3">
      <c r="A45" s="33" t="s">
        <v>545</v>
      </c>
      <c r="B45" s="474" t="s">
        <v>546</v>
      </c>
      <c r="C45" s="464" t="s">
        <v>535</v>
      </c>
      <c r="D45" s="3"/>
      <c r="E45" s="462">
        <f t="shared" si="11"/>
        <v>10592.833333333334</v>
      </c>
      <c r="F45" s="462">
        <f ca="1">IFERROR(1/F$3,1)*SUMIFS(Data!$AD$3:$AD$137,Data!$Y$3:$Y$137,F$1,Data!$Z$3:$Z$137,IF(RIGHT(F$2,3)="YTD","&lt;="&amp;LEFT(F$2,2)*1,F$2),Data!$K$3:$K$137,$B45)</f>
        <v>0</v>
      </c>
      <c r="G45" s="462">
        <f t="shared" si="12"/>
        <v>3750</v>
      </c>
      <c r="H45" s="472"/>
      <c r="I45" s="462">
        <f>IFERROR(1/I$3,1)*SUMIFS(Data!$AD$3:$AD$137,Data!$Y$3:$Y$137,I$1,Data!$Z$3:$Z$137,IF(RIGHT(I$2,3)="YTD","&lt;="&amp;LEFT(I$2,2)*1,I$2),Data!$K$3:$K$137,$B45)</f>
        <v>0</v>
      </c>
      <c r="J45" s="462">
        <f>IFERROR(1/J$3,1)*SUMIFS(Data!$AD$3:$AD$137,Data!$Y$3:$Y$137,J$1,Data!$Z$3:$Z$137,IF(RIGHT(J$2,3)="YTD","&lt;="&amp;LEFT(J$2,2)*1,J$2),Data!$K$3:$K$137,$B45)</f>
        <v>0</v>
      </c>
      <c r="K45" s="462">
        <f>IFERROR(1/K$3,1)*SUMIFS(Data!$AD$3:$AD$137,Data!$Y$3:$Y$137,K$1,Data!$Z$3:$Z$137,IF(RIGHT(K$2,3)="YTD","&lt;="&amp;LEFT(K$2,2)*1,K$2),Data!$K$3:$K$137,$B45)</f>
        <v>0</v>
      </c>
      <c r="L45" s="462">
        <f>IFERROR(1/L$3,1)*SUMIFS(Data!$AD$3:$AD$137,Data!$Y$3:$Y$137,L$1,Data!$Z$3:$Z$137,IF(RIGHT(L$2,3)="YTD","&lt;="&amp;LEFT(L$2,2)*1,L$2),Data!$K$3:$K$137,$B45)</f>
        <v>0</v>
      </c>
      <c r="M45" s="462">
        <f>IFERROR(1/M$3,1)*SUMIFS(Data!$AD$3:$AD$137,Data!$Y$3:$Y$137,M$1,Data!$Z$3:$Z$137,IF(RIGHT(M$2,3)="YTD","&lt;="&amp;LEFT(M$2,2)*1,M$2),Data!$K$3:$K$137,$B45)</f>
        <v>0</v>
      </c>
      <c r="N45" s="462">
        <f>IFERROR(1/N$3,1)*SUMIFS(Data!$AD$3:$AD$137,Data!$Y$3:$Y$137,N$1,Data!$Z$3:$Z$137,IF(RIGHT(N$2,3)="YTD","&lt;="&amp;LEFT(N$2,2)*1,N$2),Data!$K$3:$K$137,$B45)</f>
        <v>0</v>
      </c>
      <c r="O45" s="462">
        <f>IFERROR(1/O$3,1)*SUMIFS(Data!$AD$3:$AD$137,Data!$Y$3:$Y$137,O$1,Data!$Z$3:$Z$137,IF(RIGHT(O$2,3)="YTD","&lt;="&amp;LEFT(O$2,2)*1,O$2),Data!$K$3:$K$137,$B45)</f>
        <v>0</v>
      </c>
      <c r="P45" s="462">
        <f>IFERROR(1/P$3,1)*SUMIFS(Data!$AD$3:$AD$137,Data!$Y$3:$Y$137,P$1,Data!$Z$3:$Z$137,IF(RIGHT(P$2,3)="YTD","&lt;="&amp;LEFT(P$2,2)*1,P$2),Data!$K$3:$K$137,$B45)</f>
        <v>0</v>
      </c>
      <c r="Q45" s="462">
        <f>IFERROR(1/Q$3,1)*SUMIFS(Data!$AD$3:$AD$137,Data!$Y$3:$Y$137,Q$1,Data!$Z$3:$Z$137,IF(RIGHT(Q$2,3)="YTD","&lt;="&amp;LEFT(Q$2,2)*1,Q$2),Data!$K$3:$K$137,$B45)</f>
        <v>0</v>
      </c>
      <c r="R45" s="462">
        <f>IFERROR(1/R$3,1)*SUMIFS(Data!$AD$3:$AD$137,Data!$Y$3:$Y$137,R$1,Data!$Z$3:$Z$137,IF(RIGHT(R$2,3)="YTD","&lt;="&amp;LEFT(R$2,2)*1,R$2),Data!$K$3:$K$137,$B45)</f>
        <v>0</v>
      </c>
      <c r="S45" s="462">
        <f>IFERROR(1/S$3,1)*SUMIFS(Data!$AD$3:$AD$137,Data!$Y$3:$Y$137,S$1,Data!$Z$3:$Z$137,IF(RIGHT(S$2,3)="YTD","&lt;="&amp;LEFT(S$2,2)*1,S$2),Data!$K$3:$K$137,$B45)</f>
        <v>0</v>
      </c>
      <c r="T45" s="462">
        <f>IFERROR(1/T$3,1)*SUMIFS(Data!$AD$3:$AD$137,Data!$Y$3:$Y$137,T$1,Data!$Z$3:$Z$137,IF(RIGHT(T$2,3)="YTD","&lt;="&amp;LEFT(T$2,2)*1,T$2),Data!$K$3:$K$137,$B45)</f>
        <v>0</v>
      </c>
      <c r="U45" s="3"/>
      <c r="V45" s="462">
        <f t="shared" si="13"/>
        <v>3750</v>
      </c>
      <c r="W45" s="462">
        <f t="shared" si="14"/>
        <v>3750</v>
      </c>
      <c r="X45" s="462">
        <f t="shared" si="14"/>
        <v>3750</v>
      </c>
      <c r="Y45" s="462">
        <f t="shared" si="14"/>
        <v>3750</v>
      </c>
      <c r="Z45" s="462">
        <f t="shared" si="14"/>
        <v>3750</v>
      </c>
      <c r="AA45" s="462">
        <f t="shared" si="14"/>
        <v>3750</v>
      </c>
      <c r="AB45" s="462">
        <f t="shared" si="14"/>
        <v>3750</v>
      </c>
      <c r="AC45" s="462">
        <f t="shared" si="14"/>
        <v>3750</v>
      </c>
      <c r="AD45" s="462">
        <f t="shared" si="14"/>
        <v>3750</v>
      </c>
      <c r="AE45" s="462"/>
      <c r="AF45" s="462">
        <f ca="1">IFERROR(1/AF$3,1)*SUMIFS(Data!$AD$3:$AD$137,Data!$Y$3:$Y$137,AF$1,Data!$Z$3:$Z$137,IF(RIGHT(AF$2,3)="YTD","&lt;="&amp;LEFT(AF$2,2)*1,AF$2),Data!$K$3:$K$137,$B21)</f>
        <v>0</v>
      </c>
      <c r="AG45" s="462">
        <f t="shared" ca="1" si="15"/>
        <v>15000</v>
      </c>
      <c r="AH45" s="463">
        <f t="shared" ca="1" si="16"/>
        <v>-15000</v>
      </c>
      <c r="AI45" s="3"/>
      <c r="AJ45" s="462">
        <v>127114</v>
      </c>
      <c r="AK45" s="465">
        <v>45000</v>
      </c>
      <c r="AL45" s="3"/>
      <c r="AM45" s="3"/>
      <c r="AN45" s="3"/>
      <c r="AO45" s="3"/>
      <c r="AP45" s="3"/>
      <c r="AQ45" s="3"/>
      <c r="AR45" s="3"/>
      <c r="AS45" s="3"/>
    </row>
    <row r="46" spans="1:45" ht="19.5" hidden="1" customHeight="1" x14ac:dyDescent="0.3">
      <c r="A46" s="33" t="s">
        <v>547</v>
      </c>
      <c r="B46" s="474" t="s">
        <v>548</v>
      </c>
      <c r="C46" s="464" t="s">
        <v>535</v>
      </c>
      <c r="D46" s="3"/>
      <c r="E46" s="462">
        <f t="shared" si="11"/>
        <v>10881.333333333334</v>
      </c>
      <c r="F46" s="462">
        <f ca="1">IFERROR(1/F$3,1)*SUMIFS(Data!$AD$3:$AD$137,Data!$Y$3:$Y$137,F$1,Data!$Z$3:$Z$137,IF(RIGHT(F$2,3)="YTD","&lt;="&amp;LEFT(F$2,2)*1,F$2),Data!$K$3:$K$137,$B46)</f>
        <v>0</v>
      </c>
      <c r="G46" s="462">
        <f t="shared" si="12"/>
        <v>20833.333333333332</v>
      </c>
      <c r="H46" s="472"/>
      <c r="I46" s="462">
        <f>IFERROR(1/I$3,1)*SUMIFS(Data!$AD$3:$AD$137,Data!$Y$3:$Y$137,I$1,Data!$Z$3:$Z$137,IF(RIGHT(I$2,3)="YTD","&lt;="&amp;LEFT(I$2,2)*1,I$2),Data!$K$3:$K$137,$B46)</f>
        <v>0</v>
      </c>
      <c r="J46" s="462">
        <f>IFERROR(1/J$3,1)*SUMIFS(Data!$AD$3:$AD$137,Data!$Y$3:$Y$137,J$1,Data!$Z$3:$Z$137,IF(RIGHT(J$2,3)="YTD","&lt;="&amp;LEFT(J$2,2)*1,J$2),Data!$K$3:$K$137,$B46)</f>
        <v>0</v>
      </c>
      <c r="K46" s="462">
        <f>IFERROR(1/K$3,1)*SUMIFS(Data!$AD$3:$AD$137,Data!$Y$3:$Y$137,K$1,Data!$Z$3:$Z$137,IF(RIGHT(K$2,3)="YTD","&lt;="&amp;LEFT(K$2,2)*1,K$2),Data!$K$3:$K$137,$B46)</f>
        <v>0</v>
      </c>
      <c r="L46" s="462">
        <f>IFERROR(1/L$3,1)*SUMIFS(Data!$AD$3:$AD$137,Data!$Y$3:$Y$137,L$1,Data!$Z$3:$Z$137,IF(RIGHT(L$2,3)="YTD","&lt;="&amp;LEFT(L$2,2)*1,L$2),Data!$K$3:$K$137,$B46)</f>
        <v>0</v>
      </c>
      <c r="M46" s="462">
        <f>IFERROR(1/M$3,1)*SUMIFS(Data!$AD$3:$AD$137,Data!$Y$3:$Y$137,M$1,Data!$Z$3:$Z$137,IF(RIGHT(M$2,3)="YTD","&lt;="&amp;LEFT(M$2,2)*1,M$2),Data!$K$3:$K$137,$B46)</f>
        <v>0</v>
      </c>
      <c r="N46" s="462">
        <f>IFERROR(1/N$3,1)*SUMIFS(Data!$AD$3:$AD$137,Data!$Y$3:$Y$137,N$1,Data!$Z$3:$Z$137,IF(RIGHT(N$2,3)="YTD","&lt;="&amp;LEFT(N$2,2)*1,N$2),Data!$K$3:$K$137,$B46)</f>
        <v>0</v>
      </c>
      <c r="O46" s="462">
        <f>IFERROR(1/O$3,1)*SUMIFS(Data!$AD$3:$AD$137,Data!$Y$3:$Y$137,O$1,Data!$Z$3:$Z$137,IF(RIGHT(O$2,3)="YTD","&lt;="&amp;LEFT(O$2,2)*1,O$2),Data!$K$3:$K$137,$B46)</f>
        <v>0</v>
      </c>
      <c r="P46" s="462">
        <f>IFERROR(1/P$3,1)*SUMIFS(Data!$AD$3:$AD$137,Data!$Y$3:$Y$137,P$1,Data!$Z$3:$Z$137,IF(RIGHT(P$2,3)="YTD","&lt;="&amp;LEFT(P$2,2)*1,P$2),Data!$K$3:$K$137,$B46)</f>
        <v>0</v>
      </c>
      <c r="Q46" s="462">
        <f>IFERROR(1/Q$3,1)*SUMIFS(Data!$AD$3:$AD$137,Data!$Y$3:$Y$137,Q$1,Data!$Z$3:$Z$137,IF(RIGHT(Q$2,3)="YTD","&lt;="&amp;LEFT(Q$2,2)*1,Q$2),Data!$K$3:$K$137,$B46)</f>
        <v>0</v>
      </c>
      <c r="R46" s="462">
        <f>IFERROR(1/R$3,1)*SUMIFS(Data!$AD$3:$AD$137,Data!$Y$3:$Y$137,R$1,Data!$Z$3:$Z$137,IF(RIGHT(R$2,3)="YTD","&lt;="&amp;LEFT(R$2,2)*1,R$2),Data!$K$3:$K$137,$B46)</f>
        <v>0</v>
      </c>
      <c r="S46" s="462">
        <f>IFERROR(1/S$3,1)*SUMIFS(Data!$AD$3:$AD$137,Data!$Y$3:$Y$137,S$1,Data!$Z$3:$Z$137,IF(RIGHT(S$2,3)="YTD","&lt;="&amp;LEFT(S$2,2)*1,S$2),Data!$K$3:$K$137,$B46)</f>
        <v>0</v>
      </c>
      <c r="T46" s="462">
        <f>IFERROR(1/T$3,1)*SUMIFS(Data!$AD$3:$AD$137,Data!$Y$3:$Y$137,T$1,Data!$Z$3:$Z$137,IF(RIGHT(T$2,3)="YTD","&lt;="&amp;LEFT(T$2,2)*1,T$2),Data!$K$3:$K$137,$B46)</f>
        <v>0</v>
      </c>
      <c r="U46" s="3"/>
      <c r="V46" s="462">
        <f t="shared" si="13"/>
        <v>20833.333333333332</v>
      </c>
      <c r="W46" s="462">
        <f t="shared" si="14"/>
        <v>20833.333333333332</v>
      </c>
      <c r="X46" s="462">
        <f t="shared" si="14"/>
        <v>20833.333333333332</v>
      </c>
      <c r="Y46" s="462">
        <f t="shared" si="14"/>
        <v>20833.333333333332</v>
      </c>
      <c r="Z46" s="462">
        <f t="shared" si="14"/>
        <v>20833.333333333332</v>
      </c>
      <c r="AA46" s="462">
        <f t="shared" si="14"/>
        <v>20833.333333333332</v>
      </c>
      <c r="AB46" s="462">
        <f t="shared" si="14"/>
        <v>20833.333333333332</v>
      </c>
      <c r="AC46" s="462">
        <f t="shared" si="14"/>
        <v>20833.333333333332</v>
      </c>
      <c r="AD46" s="462">
        <f t="shared" si="14"/>
        <v>20833.333333333332</v>
      </c>
      <c r="AE46" s="462"/>
      <c r="AF46" s="462">
        <f ca="1">IFERROR(1/AF$3,1)*SUMIFS(Data!$AD$3:$AD$137,Data!$Y$3:$Y$137,AF$1,Data!$Z$3:$Z$137,IF(RIGHT(AF$2,3)="YTD","&lt;="&amp;LEFT(AF$2,2)*1,AF$2),Data!$K$3:$K$137,$B22)</f>
        <v>0</v>
      </c>
      <c r="AG46" s="462">
        <f t="shared" ca="1" si="15"/>
        <v>83333.333333333328</v>
      </c>
      <c r="AH46" s="463">
        <f t="shared" ca="1" si="16"/>
        <v>-83333.333333333328</v>
      </c>
      <c r="AI46" s="3"/>
      <c r="AJ46" s="462">
        <v>130576</v>
      </c>
      <c r="AK46" s="465">
        <v>250000</v>
      </c>
      <c r="AL46" s="3"/>
      <c r="AM46" s="3"/>
      <c r="AN46" s="3"/>
      <c r="AO46" s="3"/>
      <c r="AP46" s="3"/>
      <c r="AQ46" s="3"/>
      <c r="AR46" s="3"/>
      <c r="AS46" s="3"/>
    </row>
    <row r="47" spans="1:45" ht="19.5" hidden="1" customHeight="1" x14ac:dyDescent="0.3">
      <c r="A47" s="3" t="s">
        <v>549</v>
      </c>
      <c r="B47" s="474" t="s">
        <v>550</v>
      </c>
      <c r="C47" s="464" t="s">
        <v>535</v>
      </c>
      <c r="D47" s="3"/>
      <c r="E47" s="462">
        <f t="shared" si="11"/>
        <v>742</v>
      </c>
      <c r="F47" s="462">
        <f ca="1">IFERROR(1/F$3,1)*SUMIFS(Data!$AD$3:$AD$137,Data!$Y$3:$Y$137,F$1,Data!$Z$3:$Z$137,IF(RIGHT(F$2,3)="YTD","&lt;="&amp;LEFT(F$2,2)*1,F$2),Data!$K$3:$K$137,$B47)</f>
        <v>0</v>
      </c>
      <c r="G47" s="462">
        <f t="shared" si="12"/>
        <v>0</v>
      </c>
      <c r="H47" s="472"/>
      <c r="I47" s="462">
        <f>IFERROR(1/I$3,1)*SUMIFS(Data!$AD$3:$AD$137,Data!$Y$3:$Y$137,I$1,Data!$Z$3:$Z$137,IF(RIGHT(I$2,3)="YTD","&lt;="&amp;LEFT(I$2,2)*1,I$2),Data!$K$3:$K$137,$B47)</f>
        <v>0</v>
      </c>
      <c r="J47" s="462">
        <f>IFERROR(1/J$3,1)*SUMIFS(Data!$AD$3:$AD$137,Data!$Y$3:$Y$137,J$1,Data!$Z$3:$Z$137,IF(RIGHT(J$2,3)="YTD","&lt;="&amp;LEFT(J$2,2)*1,J$2),Data!$K$3:$K$137,$B47)</f>
        <v>0</v>
      </c>
      <c r="K47" s="462">
        <f>IFERROR(1/K$3,1)*SUMIFS(Data!$AD$3:$AD$137,Data!$Y$3:$Y$137,K$1,Data!$Z$3:$Z$137,IF(RIGHT(K$2,3)="YTD","&lt;="&amp;LEFT(K$2,2)*1,K$2),Data!$K$3:$K$137,$B47)</f>
        <v>0</v>
      </c>
      <c r="L47" s="462">
        <f>IFERROR(1/L$3,1)*SUMIFS(Data!$AD$3:$AD$137,Data!$Y$3:$Y$137,L$1,Data!$Z$3:$Z$137,IF(RIGHT(L$2,3)="YTD","&lt;="&amp;LEFT(L$2,2)*1,L$2),Data!$K$3:$K$137,$B47)</f>
        <v>0</v>
      </c>
      <c r="M47" s="462">
        <f>IFERROR(1/M$3,1)*SUMIFS(Data!$AD$3:$AD$137,Data!$Y$3:$Y$137,M$1,Data!$Z$3:$Z$137,IF(RIGHT(M$2,3)="YTD","&lt;="&amp;LEFT(M$2,2)*1,M$2),Data!$K$3:$K$137,$B47)</f>
        <v>0</v>
      </c>
      <c r="N47" s="462">
        <f>IFERROR(1/N$3,1)*SUMIFS(Data!$AD$3:$AD$137,Data!$Y$3:$Y$137,N$1,Data!$Z$3:$Z$137,IF(RIGHT(N$2,3)="YTD","&lt;="&amp;LEFT(N$2,2)*1,N$2),Data!$K$3:$K$137,$B47)</f>
        <v>0</v>
      </c>
      <c r="O47" s="462">
        <f>IFERROR(1/O$3,1)*SUMIFS(Data!$AD$3:$AD$137,Data!$Y$3:$Y$137,O$1,Data!$Z$3:$Z$137,IF(RIGHT(O$2,3)="YTD","&lt;="&amp;LEFT(O$2,2)*1,O$2),Data!$K$3:$K$137,$B47)</f>
        <v>0</v>
      </c>
      <c r="P47" s="462">
        <f>IFERROR(1/P$3,1)*SUMIFS(Data!$AD$3:$AD$137,Data!$Y$3:$Y$137,P$1,Data!$Z$3:$Z$137,IF(RIGHT(P$2,3)="YTD","&lt;="&amp;LEFT(P$2,2)*1,P$2),Data!$K$3:$K$137,$B47)</f>
        <v>0</v>
      </c>
      <c r="Q47" s="462">
        <f>IFERROR(1/Q$3,1)*SUMIFS(Data!$AD$3:$AD$137,Data!$Y$3:$Y$137,Q$1,Data!$Z$3:$Z$137,IF(RIGHT(Q$2,3)="YTD","&lt;="&amp;LEFT(Q$2,2)*1,Q$2),Data!$K$3:$K$137,$B47)</f>
        <v>0</v>
      </c>
      <c r="R47" s="462">
        <f>IFERROR(1/R$3,1)*SUMIFS(Data!$AD$3:$AD$137,Data!$Y$3:$Y$137,R$1,Data!$Z$3:$Z$137,IF(RIGHT(R$2,3)="YTD","&lt;="&amp;LEFT(R$2,2)*1,R$2),Data!$K$3:$K$137,$B47)</f>
        <v>0</v>
      </c>
      <c r="S47" s="462">
        <f>IFERROR(1/S$3,1)*SUMIFS(Data!$AD$3:$AD$137,Data!$Y$3:$Y$137,S$1,Data!$Z$3:$Z$137,IF(RIGHT(S$2,3)="YTD","&lt;="&amp;LEFT(S$2,2)*1,S$2),Data!$K$3:$K$137,$B47)</f>
        <v>0</v>
      </c>
      <c r="T47" s="462">
        <f>IFERROR(1/T$3,1)*SUMIFS(Data!$AD$3:$AD$137,Data!$Y$3:$Y$137,T$1,Data!$Z$3:$Z$137,IF(RIGHT(T$2,3)="YTD","&lt;="&amp;LEFT(T$2,2)*1,T$2),Data!$K$3:$K$137,$B47)</f>
        <v>0</v>
      </c>
      <c r="U47" s="3"/>
      <c r="V47" s="462">
        <f t="shared" si="13"/>
        <v>0</v>
      </c>
      <c r="W47" s="462">
        <f t="shared" si="14"/>
        <v>0</v>
      </c>
      <c r="X47" s="462">
        <f t="shared" si="14"/>
        <v>0</v>
      </c>
      <c r="Y47" s="462">
        <f t="shared" si="14"/>
        <v>0</v>
      </c>
      <c r="Z47" s="462">
        <f t="shared" si="14"/>
        <v>0</v>
      </c>
      <c r="AA47" s="462">
        <f t="shared" si="14"/>
        <v>0</v>
      </c>
      <c r="AB47" s="462">
        <f t="shared" si="14"/>
        <v>0</v>
      </c>
      <c r="AC47" s="462">
        <f t="shared" si="14"/>
        <v>0</v>
      </c>
      <c r="AD47" s="462">
        <f t="shared" si="14"/>
        <v>0</v>
      </c>
      <c r="AE47" s="462"/>
      <c r="AF47" s="462">
        <f ca="1">IFERROR(1/AF$3,1)*SUMIFS(Data!$AD$3:$AD$137,Data!$Y$3:$Y$137,AF$1,Data!$Z$3:$Z$137,IF(RIGHT(AF$2,3)="YTD","&lt;="&amp;LEFT(AF$2,2)*1,AF$2),Data!$K$3:$K$137,$B23)</f>
        <v>0</v>
      </c>
      <c r="AG47" s="462">
        <f t="shared" ca="1" si="15"/>
        <v>0</v>
      </c>
      <c r="AH47" s="463">
        <f t="shared" ca="1" si="16"/>
        <v>0</v>
      </c>
      <c r="AI47" s="3"/>
      <c r="AJ47" s="462">
        <v>8904</v>
      </c>
      <c r="AK47" s="462">
        <v>0</v>
      </c>
      <c r="AL47" s="3"/>
      <c r="AM47" s="3"/>
      <c r="AN47" s="3"/>
      <c r="AO47" s="3"/>
      <c r="AP47" s="3"/>
      <c r="AQ47" s="3"/>
      <c r="AR47" s="3"/>
      <c r="AS47" s="3"/>
    </row>
    <row r="48" spans="1:45" ht="19.5" hidden="1" customHeight="1" x14ac:dyDescent="0.3">
      <c r="A48" s="3"/>
      <c r="B48" s="474" t="s">
        <v>551</v>
      </c>
      <c r="C48" s="464" t="s">
        <v>535</v>
      </c>
      <c r="D48" s="3"/>
      <c r="E48" s="462">
        <f t="shared" si="11"/>
        <v>22610</v>
      </c>
      <c r="F48" s="462">
        <f ca="1">IFERROR(1/F$3,1)*SUMIFS(Data!$AD$3:$AD$137,Data!$Y$3:$Y$137,F$1,Data!$Z$3:$Z$137,IF(RIGHT(F$2,3)="YTD","&lt;="&amp;LEFT(F$2,2)*1,F$2),Data!$K$3:$K$137,$B48)</f>
        <v>0</v>
      </c>
      <c r="G48" s="462">
        <f t="shared" si="12"/>
        <v>0</v>
      </c>
      <c r="H48" s="472"/>
      <c r="I48" s="462">
        <f>IFERROR(1/I$3,1)*SUMIFS(Data!$AD$3:$AD$137,Data!$Y$3:$Y$137,I$1,Data!$Z$3:$Z$137,IF(RIGHT(I$2,3)="YTD","&lt;="&amp;LEFT(I$2,2)*1,I$2),Data!$K$3:$K$137,$B48)</f>
        <v>0</v>
      </c>
      <c r="J48" s="462">
        <f>IFERROR(1/J$3,1)*SUMIFS(Data!$AD$3:$AD$137,Data!$Y$3:$Y$137,J$1,Data!$Z$3:$Z$137,IF(RIGHT(J$2,3)="YTD","&lt;="&amp;LEFT(J$2,2)*1,J$2),Data!$K$3:$K$137,$B48)</f>
        <v>0</v>
      </c>
      <c r="K48" s="462">
        <f>IFERROR(1/K$3,1)*SUMIFS(Data!$AD$3:$AD$137,Data!$Y$3:$Y$137,K$1,Data!$Z$3:$Z$137,IF(RIGHT(K$2,3)="YTD","&lt;="&amp;LEFT(K$2,2)*1,K$2),Data!$K$3:$K$137,$B48)</f>
        <v>0</v>
      </c>
      <c r="L48" s="462">
        <f>IFERROR(1/L$3,1)*SUMIFS(Data!$AD$3:$AD$137,Data!$Y$3:$Y$137,L$1,Data!$Z$3:$Z$137,IF(RIGHT(L$2,3)="YTD","&lt;="&amp;LEFT(L$2,2)*1,L$2),Data!$K$3:$K$137,$B48)</f>
        <v>0</v>
      </c>
      <c r="M48" s="462">
        <f>IFERROR(1/M$3,1)*SUMIFS(Data!$AD$3:$AD$137,Data!$Y$3:$Y$137,M$1,Data!$Z$3:$Z$137,IF(RIGHT(M$2,3)="YTD","&lt;="&amp;LEFT(M$2,2)*1,M$2),Data!$K$3:$K$137,$B48)</f>
        <v>0</v>
      </c>
      <c r="N48" s="462">
        <f>IFERROR(1/N$3,1)*SUMIFS(Data!$AD$3:$AD$137,Data!$Y$3:$Y$137,N$1,Data!$Z$3:$Z$137,IF(RIGHT(N$2,3)="YTD","&lt;="&amp;LEFT(N$2,2)*1,N$2),Data!$K$3:$K$137,$B48)</f>
        <v>0</v>
      </c>
      <c r="O48" s="462">
        <f>IFERROR(1/O$3,1)*SUMIFS(Data!$AD$3:$AD$137,Data!$Y$3:$Y$137,O$1,Data!$Z$3:$Z$137,IF(RIGHT(O$2,3)="YTD","&lt;="&amp;LEFT(O$2,2)*1,O$2),Data!$K$3:$K$137,$B48)</f>
        <v>0</v>
      </c>
      <c r="P48" s="462">
        <f>IFERROR(1/P$3,1)*SUMIFS(Data!$AD$3:$AD$137,Data!$Y$3:$Y$137,P$1,Data!$Z$3:$Z$137,IF(RIGHT(P$2,3)="YTD","&lt;="&amp;LEFT(P$2,2)*1,P$2),Data!$K$3:$K$137,$B48)</f>
        <v>0</v>
      </c>
      <c r="Q48" s="462">
        <f>IFERROR(1/Q$3,1)*SUMIFS(Data!$AD$3:$AD$137,Data!$Y$3:$Y$137,Q$1,Data!$Z$3:$Z$137,IF(RIGHT(Q$2,3)="YTD","&lt;="&amp;LEFT(Q$2,2)*1,Q$2),Data!$K$3:$K$137,$B48)</f>
        <v>0</v>
      </c>
      <c r="R48" s="462">
        <f>IFERROR(1/R$3,1)*SUMIFS(Data!$AD$3:$AD$137,Data!$Y$3:$Y$137,R$1,Data!$Z$3:$Z$137,IF(RIGHT(R$2,3)="YTD","&lt;="&amp;LEFT(R$2,2)*1,R$2),Data!$K$3:$K$137,$B48)</f>
        <v>0</v>
      </c>
      <c r="S48" s="462">
        <f>IFERROR(1/S$3,1)*SUMIFS(Data!$AD$3:$AD$137,Data!$Y$3:$Y$137,S$1,Data!$Z$3:$Z$137,IF(RIGHT(S$2,3)="YTD","&lt;="&amp;LEFT(S$2,2)*1,S$2),Data!$K$3:$K$137,$B48)</f>
        <v>0</v>
      </c>
      <c r="T48" s="462">
        <f>IFERROR(1/T$3,1)*SUMIFS(Data!$AD$3:$AD$137,Data!$Y$3:$Y$137,T$1,Data!$Z$3:$Z$137,IF(RIGHT(T$2,3)="YTD","&lt;="&amp;LEFT(T$2,2)*1,T$2),Data!$K$3:$K$137,$B48)</f>
        <v>0</v>
      </c>
      <c r="U48" s="3"/>
      <c r="V48" s="462">
        <f t="shared" si="13"/>
        <v>0</v>
      </c>
      <c r="W48" s="462">
        <f t="shared" si="14"/>
        <v>0</v>
      </c>
      <c r="X48" s="462">
        <f t="shared" si="14"/>
        <v>0</v>
      </c>
      <c r="Y48" s="462">
        <f t="shared" si="14"/>
        <v>0</v>
      </c>
      <c r="Z48" s="462">
        <f t="shared" si="14"/>
        <v>0</v>
      </c>
      <c r="AA48" s="462">
        <f t="shared" si="14"/>
        <v>0</v>
      </c>
      <c r="AB48" s="462">
        <f t="shared" si="14"/>
        <v>0</v>
      </c>
      <c r="AC48" s="462">
        <f t="shared" si="14"/>
        <v>0</v>
      </c>
      <c r="AD48" s="462">
        <f t="shared" si="14"/>
        <v>0</v>
      </c>
      <c r="AE48" s="462"/>
      <c r="AF48" s="462">
        <f ca="1">IFERROR(1/AF$3,1)*SUMIFS(Data!$AD$3:$AD$137,Data!$Y$3:$Y$137,AF$1,Data!$Z$3:$Z$137,IF(RIGHT(AF$2,3)="YTD","&lt;="&amp;LEFT(AF$2,2)*1,AF$2),Data!$K$3:$K$137,$B24)</f>
        <v>0</v>
      </c>
      <c r="AG48" s="462">
        <f t="shared" ca="1" si="15"/>
        <v>0</v>
      </c>
      <c r="AH48" s="463">
        <f t="shared" ca="1" si="16"/>
        <v>0</v>
      </c>
      <c r="AI48" s="3"/>
      <c r="AJ48" s="462">
        <v>271320</v>
      </c>
      <c r="AK48" s="462">
        <v>0</v>
      </c>
      <c r="AL48" s="3"/>
      <c r="AM48" s="3"/>
      <c r="AN48" s="3"/>
      <c r="AO48" s="3"/>
      <c r="AP48" s="3"/>
      <c r="AQ48" s="3"/>
      <c r="AR48" s="3"/>
      <c r="AS48" s="3"/>
    </row>
    <row r="49" spans="1:45" ht="19.5" hidden="1" customHeight="1" x14ac:dyDescent="0.3">
      <c r="A49" s="3"/>
      <c r="B49" s="41" t="s">
        <v>552</v>
      </c>
      <c r="C49" s="464" t="s">
        <v>535</v>
      </c>
      <c r="D49" s="3"/>
      <c r="E49" s="465"/>
      <c r="F49" s="465"/>
      <c r="G49" s="462"/>
      <c r="H49" s="472"/>
      <c r="I49" s="465">
        <f t="shared" ref="I49:T49" si="17">SUM(I39:I48)</f>
        <v>0</v>
      </c>
      <c r="J49" s="465">
        <f t="shared" si="17"/>
        <v>0</v>
      </c>
      <c r="K49" s="465">
        <f t="shared" si="17"/>
        <v>0</v>
      </c>
      <c r="L49" s="465">
        <f t="shared" si="17"/>
        <v>0</v>
      </c>
      <c r="M49" s="465">
        <f t="shared" si="17"/>
        <v>0</v>
      </c>
      <c r="N49" s="465">
        <f t="shared" si="17"/>
        <v>0</v>
      </c>
      <c r="O49" s="465">
        <f t="shared" si="17"/>
        <v>0</v>
      </c>
      <c r="P49" s="465">
        <f t="shared" si="17"/>
        <v>0</v>
      </c>
      <c r="Q49" s="465">
        <f t="shared" si="17"/>
        <v>0</v>
      </c>
      <c r="R49" s="465">
        <f t="shared" si="17"/>
        <v>0</v>
      </c>
      <c r="S49" s="465">
        <f t="shared" si="17"/>
        <v>0</v>
      </c>
      <c r="T49" s="465">
        <f t="shared" si="17"/>
        <v>0</v>
      </c>
      <c r="U49" s="465"/>
      <c r="V49" s="465">
        <f>SUM(V39:V48)</f>
        <v>76250</v>
      </c>
      <c r="W49" s="465">
        <f>SUM(W39:W48)</f>
        <v>76250</v>
      </c>
      <c r="X49" s="465">
        <f>SUM(X39:X48)</f>
        <v>76250</v>
      </c>
      <c r="Y49" s="465">
        <f>SUM(Y39:Y48)</f>
        <v>76250</v>
      </c>
      <c r="Z49" s="465"/>
      <c r="AA49" s="465"/>
      <c r="AB49" s="465"/>
      <c r="AC49" s="465"/>
      <c r="AD49" s="465"/>
      <c r="AE49" s="465"/>
      <c r="AF49" s="465">
        <f ca="1">SUM(AF39:AF48)</f>
        <v>0</v>
      </c>
      <c r="AG49" s="465">
        <f ca="1">SUM(AG39:AG48)</f>
        <v>305000</v>
      </c>
      <c r="AH49" s="465">
        <f ca="1">SUM(AH39:AH48)</f>
        <v>-305000</v>
      </c>
      <c r="AI49" s="3"/>
      <c r="AJ49" s="465">
        <v>1606577.5</v>
      </c>
      <c r="AK49" s="465">
        <f>SUM(AK39:AK48)</f>
        <v>915000</v>
      </c>
      <c r="AL49" s="3"/>
      <c r="AM49" s="3"/>
      <c r="AN49" s="3"/>
      <c r="AO49" s="3"/>
      <c r="AP49" s="3"/>
      <c r="AQ49" s="3"/>
      <c r="AR49" s="3"/>
      <c r="AS49" s="3"/>
    </row>
    <row r="50" spans="1:45" ht="19.5" hidden="1" customHeight="1" x14ac:dyDescent="0.3">
      <c r="A50" s="3"/>
      <c r="B50" s="466" t="s">
        <v>553</v>
      </c>
      <c r="C50" s="464" t="s">
        <v>535</v>
      </c>
      <c r="D50" s="3"/>
      <c r="E50" s="467">
        <f>$AJ50/E$3</f>
        <v>245265.98583333334</v>
      </c>
      <c r="F50" s="467">
        <f ca="1">SUM(I50:T50)/LEFT($F$2,2)</f>
        <v>291979.6366666666</v>
      </c>
      <c r="G50" s="467">
        <f>AK50/12</f>
        <v>552500</v>
      </c>
      <c r="H50" s="472"/>
      <c r="I50" s="467">
        <f>Reporting!C74</f>
        <v>387460</v>
      </c>
      <c r="J50" s="467">
        <f>Reporting!D74</f>
        <v>296375.80999999988</v>
      </c>
      <c r="K50" s="467">
        <f>Reporting!E74</f>
        <v>176379.5</v>
      </c>
      <c r="L50" s="467">
        <f>Reporting!F74</f>
        <v>15723.6</v>
      </c>
      <c r="M50" s="467">
        <f>Reporting!G74</f>
        <v>0</v>
      </c>
      <c r="N50" s="475">
        <f>Reporting!H74</f>
        <v>0</v>
      </c>
      <c r="O50" s="475">
        <f>Reporting!I74</f>
        <v>0</v>
      </c>
      <c r="P50" s="475">
        <f>Reporting!J74</f>
        <v>0</v>
      </c>
      <c r="Q50" s="475">
        <f>Reporting!K74</f>
        <v>0</v>
      </c>
      <c r="R50" s="475">
        <f>Reporting!L74</f>
        <v>0</v>
      </c>
      <c r="S50" s="475">
        <f>Reporting!M74</f>
        <v>0</v>
      </c>
      <c r="T50" s="475">
        <f>Reporting!N74</f>
        <v>0</v>
      </c>
      <c r="U50" s="3"/>
      <c r="V50" s="475">
        <f>G50</f>
        <v>552500</v>
      </c>
      <c r="W50" s="467">
        <f>G50</f>
        <v>552500</v>
      </c>
      <c r="X50" s="467">
        <f>G50</f>
        <v>552500</v>
      </c>
      <c r="Y50" s="467">
        <f>G50</f>
        <v>552500</v>
      </c>
      <c r="Z50" s="467">
        <f>V50</f>
        <v>552500</v>
      </c>
      <c r="AA50" s="467">
        <f>V50</f>
        <v>552500</v>
      </c>
      <c r="AB50" s="467">
        <f>V50</f>
        <v>552500</v>
      </c>
      <c r="AC50" s="467">
        <f>V50</f>
        <v>552500</v>
      </c>
      <c r="AD50" s="467">
        <f>Z50</f>
        <v>552500</v>
      </c>
      <c r="AE50" s="467"/>
      <c r="AF50" s="467">
        <f>SUM(I50:T50)</f>
        <v>875938.9099999998</v>
      </c>
      <c r="AG50" s="467">
        <f ca="1">AK50/12*$C$5</f>
        <v>2210000</v>
      </c>
      <c r="AH50" s="468"/>
      <c r="AI50" s="3"/>
      <c r="AJ50" s="467">
        <v>2943191.83</v>
      </c>
      <c r="AK50" s="486">
        <v>6630000</v>
      </c>
      <c r="AL50" s="3"/>
      <c r="AM50" s="3"/>
      <c r="AN50" s="3"/>
      <c r="AO50" s="3"/>
      <c r="AP50" s="3"/>
      <c r="AQ50" s="3"/>
      <c r="AR50" s="3"/>
      <c r="AS50" s="3"/>
    </row>
    <row r="51" spans="1:45" ht="19.5" hidden="1" customHeight="1" x14ac:dyDescent="0.3">
      <c r="A51" s="3"/>
      <c r="B51" s="41" t="s">
        <v>554</v>
      </c>
      <c r="C51" s="464" t="s">
        <v>535</v>
      </c>
      <c r="D51" s="3"/>
      <c r="E51" s="465"/>
      <c r="F51" s="465"/>
      <c r="G51" s="462"/>
      <c r="H51" s="472"/>
      <c r="I51" s="465">
        <f t="shared" ref="I51:T51" si="18">I49+I50</f>
        <v>387460</v>
      </c>
      <c r="J51" s="465">
        <f t="shared" si="18"/>
        <v>296375.80999999988</v>
      </c>
      <c r="K51" s="465">
        <f t="shared" si="18"/>
        <v>176379.5</v>
      </c>
      <c r="L51" s="465">
        <f t="shared" si="18"/>
        <v>15723.6</v>
      </c>
      <c r="M51" s="465">
        <f t="shared" si="18"/>
        <v>0</v>
      </c>
      <c r="N51" s="465">
        <f t="shared" si="18"/>
        <v>0</v>
      </c>
      <c r="O51" s="465">
        <f t="shared" si="18"/>
        <v>0</v>
      </c>
      <c r="P51" s="465">
        <f t="shared" si="18"/>
        <v>0</v>
      </c>
      <c r="Q51" s="465">
        <f t="shared" si="18"/>
        <v>0</v>
      </c>
      <c r="R51" s="465">
        <f t="shared" si="18"/>
        <v>0</v>
      </c>
      <c r="S51" s="465">
        <f t="shared" si="18"/>
        <v>0</v>
      </c>
      <c r="T51" s="465">
        <f t="shared" si="18"/>
        <v>0</v>
      </c>
      <c r="U51" s="465"/>
      <c r="V51" s="465">
        <f>V49+V50</f>
        <v>628750</v>
      </c>
      <c r="W51" s="465">
        <f>W49+W50</f>
        <v>628750</v>
      </c>
      <c r="X51" s="465">
        <f>X49+X50</f>
        <v>628750</v>
      </c>
      <c r="Y51" s="465">
        <f>Y49+Y50</f>
        <v>628750</v>
      </c>
      <c r="Z51" s="465">
        <f>W51</f>
        <v>628750</v>
      </c>
      <c r="AA51" s="465">
        <f>X51</f>
        <v>628750</v>
      </c>
      <c r="AB51" s="465">
        <f>X51</f>
        <v>628750</v>
      </c>
      <c r="AC51" s="465">
        <f>X51</f>
        <v>628750</v>
      </c>
      <c r="AD51" s="465">
        <f>X51</f>
        <v>628750</v>
      </c>
      <c r="AE51" s="465"/>
      <c r="AF51" s="465">
        <f>SUM(I51:S51)</f>
        <v>875938.9099999998</v>
      </c>
      <c r="AG51" s="465">
        <f ca="1">AD51*C5</f>
        <v>2515000</v>
      </c>
      <c r="AH51" s="469"/>
      <c r="AI51" s="3"/>
      <c r="AJ51" s="465">
        <f>SUM(M51:W51)</f>
        <v>1257500</v>
      </c>
      <c r="AK51" s="465"/>
      <c r="AL51" s="474"/>
      <c r="AM51" s="474"/>
      <c r="AN51" s="474"/>
      <c r="AO51" s="474"/>
      <c r="AP51" s="474"/>
      <c r="AQ51" s="474"/>
      <c r="AR51" s="474"/>
      <c r="AS51" s="474"/>
    </row>
    <row r="52" spans="1:45" ht="19.5" customHeight="1" x14ac:dyDescent="0.3">
      <c r="A52" s="3"/>
      <c r="B52" s="41"/>
      <c r="C52" s="464"/>
      <c r="D52" s="3"/>
      <c r="E52" s="465"/>
      <c r="F52" s="465"/>
      <c r="G52" s="462"/>
      <c r="H52" s="472"/>
      <c r="I52" s="465"/>
      <c r="J52" s="465"/>
      <c r="K52" s="465"/>
      <c r="L52" s="465"/>
      <c r="M52" s="465"/>
      <c r="N52" s="473"/>
      <c r="O52" s="473"/>
      <c r="P52" s="473"/>
      <c r="Q52" s="473"/>
      <c r="R52" s="473"/>
      <c r="S52" s="473"/>
      <c r="T52" s="473"/>
      <c r="U52" s="3"/>
      <c r="V52" s="473"/>
      <c r="W52" s="465"/>
      <c r="X52" s="465"/>
      <c r="Y52" s="465"/>
      <c r="Z52" s="465"/>
      <c r="AA52" s="465"/>
      <c r="AB52" s="465"/>
      <c r="AC52" s="465"/>
      <c r="AD52" s="465"/>
      <c r="AE52" s="465"/>
      <c r="AF52" s="465"/>
      <c r="AG52" s="465"/>
      <c r="AH52" s="469"/>
      <c r="AI52" s="3"/>
      <c r="AJ52" s="465"/>
      <c r="AK52" s="465"/>
      <c r="AL52" s="474"/>
      <c r="AM52" s="474"/>
      <c r="AN52" s="474"/>
      <c r="AO52" s="474"/>
      <c r="AP52" s="474"/>
      <c r="AQ52" s="474"/>
      <c r="AR52" s="474"/>
      <c r="AS52" s="474"/>
    </row>
    <row r="53" spans="1:45" ht="19.5" hidden="1" customHeight="1" x14ac:dyDescent="0.3">
      <c r="A53" s="3"/>
      <c r="B53" s="194"/>
      <c r="C53" s="30"/>
      <c r="D53" s="3"/>
      <c r="E53" s="471"/>
      <c r="F53" s="471"/>
      <c r="G53" s="471"/>
      <c r="H53" s="3"/>
      <c r="I53" s="471"/>
      <c r="J53" s="471"/>
      <c r="K53" s="471"/>
      <c r="L53" s="471"/>
      <c r="M53" s="471"/>
      <c r="N53" s="471"/>
      <c r="O53" s="471"/>
      <c r="P53" s="471"/>
      <c r="Q53" s="471"/>
      <c r="R53" s="471"/>
      <c r="S53" s="471"/>
      <c r="T53" s="471"/>
      <c r="U53" s="3"/>
      <c r="V53" s="471"/>
      <c r="W53" s="471"/>
      <c r="X53" s="471"/>
      <c r="Y53" s="471"/>
      <c r="Z53" s="471"/>
      <c r="AA53" s="471"/>
      <c r="AB53" s="471"/>
      <c r="AC53" s="471"/>
      <c r="AD53" s="436"/>
      <c r="AE53" s="436"/>
      <c r="AF53" s="436"/>
      <c r="AG53" s="436"/>
      <c r="AH53" s="436"/>
      <c r="AI53" s="3"/>
      <c r="AJ53" s="476"/>
      <c r="AK53" s="483"/>
      <c r="AL53" s="3"/>
      <c r="AM53" s="3"/>
      <c r="AN53" s="3"/>
      <c r="AO53" s="3"/>
      <c r="AP53" s="3"/>
      <c r="AQ53" s="3"/>
      <c r="AR53" s="3"/>
      <c r="AS53" s="3"/>
    </row>
    <row r="54" spans="1:45" ht="19.5" hidden="1" customHeight="1" x14ac:dyDescent="0.3">
      <c r="A54" s="3"/>
      <c r="B54" s="3"/>
      <c r="C54" s="464"/>
      <c r="D54" s="474"/>
      <c r="E54" s="441" t="s">
        <v>513</v>
      </c>
      <c r="F54" s="442" t="s">
        <v>514</v>
      </c>
      <c r="G54" s="443" t="s">
        <v>575</v>
      </c>
      <c r="H54" s="33"/>
      <c r="I54" s="444" t="str">
        <f t="shared" ref="I54:T54" si="19">TEXT(I$2,"00")&amp;" "&amp;I$1</f>
        <v>01 2021</v>
      </c>
      <c r="J54" s="444" t="str">
        <f t="shared" si="19"/>
        <v>02 2021</v>
      </c>
      <c r="K54" s="444" t="str">
        <f t="shared" si="19"/>
        <v>03 2021</v>
      </c>
      <c r="L54" s="444" t="str">
        <f t="shared" si="19"/>
        <v>04 2021</v>
      </c>
      <c r="M54" s="444" t="str">
        <f t="shared" si="19"/>
        <v>05 2021</v>
      </c>
      <c r="N54" s="444" t="str">
        <f t="shared" si="19"/>
        <v>06 2021</v>
      </c>
      <c r="O54" s="444" t="str">
        <f t="shared" si="19"/>
        <v>07 2021</v>
      </c>
      <c r="P54" s="444" t="str">
        <f t="shared" si="19"/>
        <v>08 2021</v>
      </c>
      <c r="Q54" s="444" t="str">
        <f t="shared" si="19"/>
        <v>09 2021</v>
      </c>
      <c r="R54" s="444" t="str">
        <f t="shared" si="19"/>
        <v>10 2021</v>
      </c>
      <c r="S54" s="444" t="str">
        <f t="shared" si="19"/>
        <v>11 2021</v>
      </c>
      <c r="T54" s="444" t="str">
        <f t="shared" si="19"/>
        <v>12 2021</v>
      </c>
      <c r="U54" s="33"/>
      <c r="V54" s="448" t="s">
        <v>585</v>
      </c>
      <c r="W54" s="448" t="s">
        <v>522</v>
      </c>
      <c r="X54" s="448" t="s">
        <v>522</v>
      </c>
      <c r="Y54" s="448" t="s">
        <v>522</v>
      </c>
      <c r="Z54" s="448" t="s">
        <v>522</v>
      </c>
      <c r="AA54" s="448" t="s">
        <v>522</v>
      </c>
      <c r="AB54" s="448" t="s">
        <v>522</v>
      </c>
      <c r="AC54" s="448" t="s">
        <v>522</v>
      </c>
      <c r="AD54" s="448" t="s">
        <v>522</v>
      </c>
      <c r="AE54" s="477"/>
      <c r="AF54" s="444" t="str">
        <f ca="1">AF$2&amp;" "&amp;AF$1</f>
        <v>3 YTD 2021</v>
      </c>
      <c r="AG54" s="450" t="str">
        <f ca="1">AG$2&amp;" "&amp;AG$1</f>
        <v>3 YTD 2022</v>
      </c>
      <c r="AH54" s="451" t="str">
        <f ca="1">AH$2&amp;" "&amp;AH$1</f>
        <v>3 YTD 2021</v>
      </c>
      <c r="AI54" s="33"/>
      <c r="AJ54" s="452" t="str">
        <f>AJ$2&amp;" "&amp;AJ$1</f>
        <v>12 YTD 2020</v>
      </c>
      <c r="AK54" s="450" t="str">
        <f>AK$2&amp;" "&amp;AK$1</f>
        <v>12 YTD 2022</v>
      </c>
      <c r="AL54" s="3"/>
      <c r="AM54" s="3"/>
      <c r="AN54" s="3"/>
      <c r="AO54" s="3"/>
      <c r="AP54" s="3"/>
      <c r="AQ54" s="3"/>
      <c r="AR54" s="3"/>
      <c r="AS54" s="3"/>
    </row>
    <row r="55" spans="1:45" ht="19.5" hidden="1" customHeight="1" x14ac:dyDescent="0.3">
      <c r="A55" s="3"/>
      <c r="B55" s="3"/>
      <c r="C55" s="191"/>
      <c r="D55" s="33"/>
      <c r="E55" s="441" t="s">
        <v>40</v>
      </c>
      <c r="F55" s="442" t="s">
        <v>40</v>
      </c>
      <c r="G55" s="443" t="s">
        <v>441</v>
      </c>
      <c r="H55" s="33"/>
      <c r="I55" s="446" t="s">
        <v>40</v>
      </c>
      <c r="J55" s="446" t="s">
        <v>40</v>
      </c>
      <c r="K55" s="446" t="s">
        <v>40</v>
      </c>
      <c r="L55" s="446" t="s">
        <v>40</v>
      </c>
      <c r="M55" s="444" t="s">
        <v>40</v>
      </c>
      <c r="N55" s="444" t="s">
        <v>40</v>
      </c>
      <c r="O55" s="444" t="s">
        <v>40</v>
      </c>
      <c r="P55" s="444" t="s">
        <v>40</v>
      </c>
      <c r="Q55" s="444" t="s">
        <v>40</v>
      </c>
      <c r="R55" s="444" t="s">
        <v>40</v>
      </c>
      <c r="S55" s="444" t="s">
        <v>40</v>
      </c>
      <c r="T55" s="444" t="s">
        <v>40</v>
      </c>
      <c r="U55" s="33"/>
      <c r="V55" s="448" t="s">
        <v>528</v>
      </c>
      <c r="W55" s="448" t="s">
        <v>528</v>
      </c>
      <c r="X55" s="448" t="s">
        <v>528</v>
      </c>
      <c r="Y55" s="448" t="s">
        <v>528</v>
      </c>
      <c r="Z55" s="448" t="s">
        <v>528</v>
      </c>
      <c r="AA55" s="448" t="s">
        <v>528</v>
      </c>
      <c r="AB55" s="448" t="s">
        <v>528</v>
      </c>
      <c r="AC55" s="448" t="s">
        <v>528</v>
      </c>
      <c r="AD55" s="448" t="s">
        <v>528</v>
      </c>
      <c r="AE55" s="477"/>
      <c r="AF55" s="444" t="s">
        <v>529</v>
      </c>
      <c r="AG55" s="450" t="s">
        <v>530</v>
      </c>
      <c r="AH55" s="451" t="s">
        <v>531</v>
      </c>
      <c r="AI55" s="33"/>
      <c r="AJ55" s="453" t="s">
        <v>529</v>
      </c>
      <c r="AK55" s="454" t="s">
        <v>530</v>
      </c>
      <c r="AL55" s="3"/>
      <c r="AM55" s="3"/>
      <c r="AN55" s="3"/>
      <c r="AO55" s="3"/>
      <c r="AP55" s="3"/>
      <c r="AQ55" s="3"/>
      <c r="AR55" s="3"/>
      <c r="AS55" s="3"/>
    </row>
    <row r="56" spans="1:45" ht="19.5" hidden="1" customHeight="1" x14ac:dyDescent="0.3">
      <c r="A56" s="3"/>
      <c r="B56" s="455" t="s">
        <v>563</v>
      </c>
      <c r="C56" s="3"/>
      <c r="D56" s="3"/>
      <c r="E56" s="8"/>
      <c r="F56" s="8"/>
      <c r="G56" s="8"/>
      <c r="H56" s="3"/>
      <c r="I56" s="483"/>
      <c r="J56" s="483"/>
      <c r="K56" s="483"/>
      <c r="L56" s="483"/>
      <c r="M56" s="436"/>
      <c r="N56" s="436"/>
      <c r="O56" s="436"/>
      <c r="P56" s="436"/>
      <c r="Q56" s="436"/>
      <c r="R56" s="436"/>
      <c r="S56" s="436"/>
      <c r="T56" s="436"/>
      <c r="U56" s="3"/>
      <c r="V56" s="436"/>
      <c r="W56" s="436"/>
      <c r="X56" s="436"/>
      <c r="Y56" s="436"/>
      <c r="Z56" s="436"/>
      <c r="AA56" s="436"/>
      <c r="AB56" s="436"/>
      <c r="AC56" s="436"/>
      <c r="AD56" s="436"/>
      <c r="AE56" s="436"/>
      <c r="AF56" s="436"/>
      <c r="AG56" s="436"/>
      <c r="AH56" s="436"/>
      <c r="AI56" s="3"/>
      <c r="AJ56" s="483"/>
      <c r="AK56" s="483"/>
      <c r="AL56" s="3"/>
      <c r="AM56" s="3"/>
      <c r="AN56" s="3"/>
      <c r="AO56" s="3"/>
      <c r="AP56" s="3"/>
      <c r="AQ56" s="3"/>
      <c r="AR56" s="3"/>
      <c r="AS56" s="3"/>
    </row>
    <row r="57" spans="1:45" ht="19.5" hidden="1" customHeight="1" x14ac:dyDescent="0.3">
      <c r="A57" s="3"/>
      <c r="B57" s="474" t="s">
        <v>564</v>
      </c>
      <c r="C57" s="464" t="s">
        <v>565</v>
      </c>
      <c r="D57" s="3"/>
      <c r="E57" s="465"/>
      <c r="F57" s="465">
        <f ca="1">IFERROR(1/F$3,1)*SUM(I57:T57)</f>
        <v>54.333333333333329</v>
      </c>
      <c r="G57" s="465">
        <f>AK57/12</f>
        <v>95.75</v>
      </c>
      <c r="H57" s="469"/>
      <c r="I57" s="465">
        <v>46</v>
      </c>
      <c r="J57" s="465">
        <v>44</v>
      </c>
      <c r="K57" s="465">
        <v>61</v>
      </c>
      <c r="L57" s="465">
        <v>12</v>
      </c>
      <c r="M57" s="465"/>
      <c r="N57" s="465"/>
      <c r="O57" s="465"/>
      <c r="P57" s="465"/>
      <c r="Q57" s="465"/>
      <c r="R57" s="465"/>
      <c r="S57" s="465"/>
      <c r="T57" s="465"/>
      <c r="U57" s="469"/>
      <c r="V57" s="465">
        <f>G57</f>
        <v>95.75</v>
      </c>
      <c r="W57" s="465">
        <f>G57</f>
        <v>95.75</v>
      </c>
      <c r="X57" s="465">
        <f>G57</f>
        <v>95.75</v>
      </c>
      <c r="Y57" s="465">
        <f>G57</f>
        <v>95.75</v>
      </c>
      <c r="Z57" s="465">
        <f>G57</f>
        <v>95.75</v>
      </c>
      <c r="AA57" s="465">
        <f t="shared" ref="AA57:AD59" si="20">W57</f>
        <v>95.75</v>
      </c>
      <c r="AB57" s="465">
        <f t="shared" si="20"/>
        <v>95.75</v>
      </c>
      <c r="AC57" s="465">
        <f t="shared" si="20"/>
        <v>95.75</v>
      </c>
      <c r="AD57" s="465">
        <f t="shared" si="20"/>
        <v>95.75</v>
      </c>
      <c r="AE57" s="465"/>
      <c r="AF57" s="465">
        <f>SUM(I57:L57)</f>
        <v>163</v>
      </c>
      <c r="AG57" s="465">
        <f ca="1">AD57*C5</f>
        <v>383</v>
      </c>
      <c r="AH57" s="469"/>
      <c r="AI57" s="469"/>
      <c r="AJ57" s="465">
        <f>SUM(M57:P57)</f>
        <v>0</v>
      </c>
      <c r="AK57" s="465">
        <v>1149</v>
      </c>
      <c r="AL57" s="3"/>
      <c r="AM57" s="3"/>
      <c r="AN57" s="3"/>
      <c r="AO57" s="3"/>
      <c r="AP57" s="3"/>
      <c r="AQ57" s="3"/>
      <c r="AR57" s="3"/>
      <c r="AS57" s="3"/>
    </row>
    <row r="58" spans="1:45" ht="19.5" hidden="1" customHeight="1" x14ac:dyDescent="0.3">
      <c r="A58" s="3"/>
      <c r="B58" s="474" t="s">
        <v>568</v>
      </c>
      <c r="C58" s="464" t="s">
        <v>569</v>
      </c>
      <c r="D58" s="3"/>
      <c r="E58" s="465"/>
      <c r="F58" s="465">
        <f ca="1">IFERROR(1/F$3,1)*SUM(I58:T58)</f>
        <v>6302.2599999999993</v>
      </c>
      <c r="G58" s="465">
        <f>AK58/12</f>
        <v>17833.333333333332</v>
      </c>
      <c r="H58" s="469"/>
      <c r="I58" s="465">
        <v>8169.79</v>
      </c>
      <c r="J58" s="465">
        <v>7471.4</v>
      </c>
      <c r="K58" s="465">
        <v>-410.41</v>
      </c>
      <c r="L58" s="465">
        <v>3676</v>
      </c>
      <c r="M58" s="465"/>
      <c r="N58" s="465"/>
      <c r="O58" s="465"/>
      <c r="P58" s="465"/>
      <c r="Q58" s="465"/>
      <c r="R58" s="465"/>
      <c r="S58" s="465"/>
      <c r="T58" s="465"/>
      <c r="U58" s="469"/>
      <c r="V58" s="465">
        <f>G58</f>
        <v>17833.333333333332</v>
      </c>
      <c r="W58" s="465">
        <f>G58</f>
        <v>17833.333333333332</v>
      </c>
      <c r="X58" s="465">
        <f>G58</f>
        <v>17833.333333333332</v>
      </c>
      <c r="Y58" s="465">
        <f>G58</f>
        <v>17833.333333333332</v>
      </c>
      <c r="Z58" s="465">
        <f>G58</f>
        <v>17833.333333333332</v>
      </c>
      <c r="AA58" s="465">
        <f t="shared" si="20"/>
        <v>17833.333333333332</v>
      </c>
      <c r="AB58" s="465">
        <f t="shared" si="20"/>
        <v>17833.333333333332</v>
      </c>
      <c r="AC58" s="465">
        <f t="shared" si="20"/>
        <v>17833.333333333332</v>
      </c>
      <c r="AD58" s="465">
        <f t="shared" si="20"/>
        <v>17833.333333333332</v>
      </c>
      <c r="AE58" s="465"/>
      <c r="AF58" s="465">
        <f>SUM(I58:K58)</f>
        <v>15230.779999999999</v>
      </c>
      <c r="AG58" s="465">
        <f ca="1">AD58*C5</f>
        <v>71333.333333333328</v>
      </c>
      <c r="AH58" s="469"/>
      <c r="AI58" s="469"/>
      <c r="AJ58" s="465">
        <f>SUM(M58:O58)</f>
        <v>0</v>
      </c>
      <c r="AK58" s="465">
        <v>214000</v>
      </c>
      <c r="AL58" s="3"/>
      <c r="AM58" s="3"/>
      <c r="AN58" s="3"/>
      <c r="AO58" s="3"/>
      <c r="AP58" s="3"/>
      <c r="AQ58" s="3"/>
      <c r="AR58" s="3"/>
      <c r="AS58" s="3"/>
    </row>
    <row r="59" spans="1:45" ht="19.5" hidden="1" customHeight="1" x14ac:dyDescent="0.3">
      <c r="A59" s="3"/>
      <c r="B59" s="474" t="s">
        <v>572</v>
      </c>
      <c r="C59" s="464" t="s">
        <v>569</v>
      </c>
      <c r="D59" s="3"/>
      <c r="E59" s="465"/>
      <c r="F59" s="465">
        <f ca="1">IFERROR(1/F$3,1)*SUM(I59:T59)</f>
        <v>10738.866666666665</v>
      </c>
      <c r="G59" s="465">
        <f>AK59/12</f>
        <v>41666.666666666664</v>
      </c>
      <c r="H59" s="469"/>
      <c r="I59" s="465">
        <v>11726</v>
      </c>
      <c r="J59" s="465">
        <v>11843.6</v>
      </c>
      <c r="K59" s="465">
        <v>3296</v>
      </c>
      <c r="L59" s="465">
        <v>5351</v>
      </c>
      <c r="M59" s="465"/>
      <c r="N59" s="465"/>
      <c r="O59" s="465"/>
      <c r="P59" s="465"/>
      <c r="Q59" s="465"/>
      <c r="R59" s="465"/>
      <c r="S59" s="465"/>
      <c r="T59" s="465"/>
      <c r="U59" s="469"/>
      <c r="V59" s="465">
        <f>G59</f>
        <v>41666.666666666664</v>
      </c>
      <c r="W59" s="465">
        <f>G59</f>
        <v>41666.666666666664</v>
      </c>
      <c r="X59" s="465">
        <f>G59</f>
        <v>41666.666666666664</v>
      </c>
      <c r="Y59" s="465">
        <f>G59</f>
        <v>41666.666666666664</v>
      </c>
      <c r="Z59" s="465">
        <f>G59</f>
        <v>41666.666666666664</v>
      </c>
      <c r="AA59" s="465">
        <f t="shared" si="20"/>
        <v>41666.666666666664</v>
      </c>
      <c r="AB59" s="465">
        <f t="shared" si="20"/>
        <v>41666.666666666664</v>
      </c>
      <c r="AC59" s="465">
        <f t="shared" si="20"/>
        <v>41666.666666666664</v>
      </c>
      <c r="AD59" s="465">
        <f t="shared" si="20"/>
        <v>41666.666666666664</v>
      </c>
      <c r="AE59" s="465"/>
      <c r="AF59" s="465">
        <f>SUM(I59:K59)</f>
        <v>26865.599999999999</v>
      </c>
      <c r="AG59" s="465">
        <f ca="1">AD59*C5</f>
        <v>166666.66666666666</v>
      </c>
      <c r="AH59" s="469"/>
      <c r="AI59" s="469"/>
      <c r="AJ59" s="465">
        <f>SUM(M59:O59)</f>
        <v>0</v>
      </c>
      <c r="AK59" s="465">
        <v>500000</v>
      </c>
      <c r="AL59" s="3"/>
      <c r="AM59" s="3"/>
      <c r="AN59" s="3"/>
      <c r="AO59" s="3"/>
      <c r="AP59" s="3"/>
      <c r="AQ59" s="3"/>
      <c r="AR59" s="3"/>
      <c r="AS59" s="3"/>
    </row>
    <row r="60" spans="1:45" ht="19.5" hidden="1" customHeight="1" x14ac:dyDescent="0.3">
      <c r="A60" s="3"/>
      <c r="B60" s="33"/>
      <c r="C60" s="3"/>
      <c r="D60" s="3"/>
      <c r="E60" s="8"/>
      <c r="F60" s="8"/>
      <c r="G60" s="8"/>
      <c r="H60" s="3"/>
      <c r="I60" s="483"/>
      <c r="J60" s="483"/>
      <c r="K60" s="483"/>
      <c r="L60" s="483"/>
      <c r="M60" s="436"/>
      <c r="N60" s="436"/>
      <c r="O60" s="436"/>
      <c r="P60" s="436"/>
      <c r="Q60" s="436"/>
      <c r="R60" s="436"/>
      <c r="S60" s="436"/>
      <c r="T60" s="436"/>
      <c r="U60" s="3"/>
      <c r="V60" s="436"/>
      <c r="W60" s="436"/>
      <c r="X60" s="436"/>
      <c r="Y60" s="436"/>
      <c r="Z60" s="436"/>
      <c r="AA60" s="436"/>
      <c r="AB60" s="436"/>
      <c r="AC60" s="436"/>
      <c r="AD60" s="436"/>
      <c r="AE60" s="436"/>
      <c r="AF60" s="436"/>
      <c r="AG60" s="436"/>
      <c r="AH60" s="436"/>
      <c r="AI60" s="3"/>
      <c r="AJ60" s="483"/>
      <c r="AK60" s="483"/>
      <c r="AL60" s="3"/>
      <c r="AM60" s="3"/>
      <c r="AN60" s="3"/>
      <c r="AO60" s="3"/>
      <c r="AP60" s="3"/>
      <c r="AQ60" s="3"/>
      <c r="AR60" s="3"/>
      <c r="AS60" s="3"/>
    </row>
    <row r="61" spans="1:45" ht="19.5" hidden="1" customHeight="1" x14ac:dyDescent="0.3">
      <c r="A61" s="3"/>
      <c r="B61" s="3"/>
      <c r="C61" s="3"/>
      <c r="D61" s="3"/>
      <c r="E61" s="8"/>
      <c r="F61" s="8"/>
      <c r="G61" s="8"/>
      <c r="H61" s="3"/>
      <c r="I61" s="483"/>
      <c r="J61" s="483"/>
      <c r="K61" s="483"/>
      <c r="L61" s="483"/>
      <c r="M61" s="436"/>
      <c r="N61" s="436"/>
      <c r="O61" s="436"/>
      <c r="P61" s="436"/>
      <c r="Q61" s="436"/>
      <c r="R61" s="436"/>
      <c r="S61" s="436"/>
      <c r="T61" s="436"/>
      <c r="U61" s="3"/>
      <c r="V61" s="436"/>
      <c r="W61" s="436"/>
      <c r="X61" s="436"/>
      <c r="Y61" s="436"/>
      <c r="Z61" s="436"/>
      <c r="AA61" s="436"/>
      <c r="AB61" s="436"/>
      <c r="AC61" s="436"/>
      <c r="AD61" s="436"/>
      <c r="AE61" s="436"/>
      <c r="AF61" s="436"/>
      <c r="AG61" s="436"/>
      <c r="AH61" s="436"/>
      <c r="AI61" s="3"/>
      <c r="AJ61" s="483"/>
      <c r="AK61" s="483"/>
      <c r="AL61" s="3"/>
      <c r="AM61" s="3"/>
      <c r="AN61" s="3"/>
      <c r="AO61" s="3"/>
      <c r="AP61" s="3"/>
      <c r="AQ61" s="3"/>
      <c r="AR61" s="3"/>
      <c r="AS61" s="3"/>
    </row>
    <row r="62" spans="1:45" ht="19.5" hidden="1" customHeight="1" x14ac:dyDescent="0.3">
      <c r="A62" s="3"/>
      <c r="B62" s="3"/>
      <c r="C62" s="3"/>
      <c r="D62" s="3"/>
      <c r="E62" s="8"/>
      <c r="F62" s="487"/>
      <c r="G62" s="8"/>
      <c r="H62" s="3"/>
      <c r="I62" s="483"/>
      <c r="J62" s="483"/>
      <c r="K62" s="483"/>
      <c r="L62" s="483"/>
      <c r="M62" s="436"/>
      <c r="N62" s="436"/>
      <c r="O62" s="436"/>
      <c r="P62" s="436"/>
      <c r="Q62" s="436"/>
      <c r="R62" s="436"/>
      <c r="S62" s="436"/>
      <c r="T62" s="436"/>
      <c r="U62" s="3"/>
      <c r="V62" s="436"/>
      <c r="W62" s="436"/>
      <c r="X62" s="436"/>
      <c r="Y62" s="436"/>
      <c r="Z62" s="436"/>
      <c r="AA62" s="436"/>
      <c r="AB62" s="436"/>
      <c r="AC62" s="436"/>
      <c r="AD62" s="436"/>
      <c r="AE62" s="436"/>
      <c r="AF62" s="436"/>
      <c r="AG62" s="436"/>
      <c r="AH62" s="436"/>
      <c r="AI62" s="3"/>
      <c r="AJ62" s="483"/>
      <c r="AK62" s="483"/>
      <c r="AL62" s="3"/>
      <c r="AM62" s="3"/>
      <c r="AN62" s="3"/>
      <c r="AO62" s="3"/>
      <c r="AP62" s="3"/>
      <c r="AQ62" s="3"/>
      <c r="AR62" s="3"/>
      <c r="AS62" s="3"/>
    </row>
    <row r="63" spans="1:45" ht="19.5" hidden="1" customHeight="1" x14ac:dyDescent="0.3">
      <c r="A63" s="3"/>
      <c r="B63" s="3"/>
      <c r="C63" s="3"/>
      <c r="D63" s="3"/>
      <c r="E63" s="8"/>
      <c r="F63" s="8"/>
      <c r="G63" s="8"/>
      <c r="H63" s="3"/>
      <c r="I63" s="483"/>
      <c r="J63" s="483"/>
      <c r="K63" s="483"/>
      <c r="L63" s="483"/>
      <c r="M63" s="436"/>
      <c r="N63" s="436"/>
      <c r="O63" s="436"/>
      <c r="P63" s="436"/>
      <c r="Q63" s="436"/>
      <c r="R63" s="436"/>
      <c r="S63" s="436"/>
      <c r="T63" s="436"/>
      <c r="U63" s="3"/>
      <c r="V63" s="436"/>
      <c r="W63" s="436"/>
      <c r="X63" s="436"/>
      <c r="Y63" s="436"/>
      <c r="Z63" s="436"/>
      <c r="AA63" s="436"/>
      <c r="AB63" s="436"/>
      <c r="AC63" s="436"/>
      <c r="AD63" s="436"/>
      <c r="AE63" s="436"/>
      <c r="AF63" s="436"/>
      <c r="AG63" s="436"/>
      <c r="AH63" s="436"/>
      <c r="AI63" s="3"/>
      <c r="AJ63" s="483"/>
      <c r="AK63" s="483"/>
      <c r="AL63" s="3"/>
      <c r="AM63" s="3"/>
      <c r="AN63" s="3"/>
      <c r="AO63" s="3"/>
      <c r="AP63" s="3"/>
      <c r="AQ63" s="3"/>
      <c r="AR63" s="3"/>
      <c r="AS63" s="3"/>
    </row>
    <row r="64" spans="1:45" ht="19.5" customHeight="1" x14ac:dyDescent="0.3">
      <c r="A64" s="3"/>
      <c r="B64" s="3"/>
      <c r="C64" s="3"/>
      <c r="D64" s="3"/>
      <c r="E64" s="8"/>
      <c r="F64" s="8"/>
      <c r="G64" s="8"/>
      <c r="H64" s="3"/>
      <c r="I64" s="483"/>
      <c r="J64" s="483"/>
      <c r="K64" s="483"/>
      <c r="L64" s="483"/>
      <c r="M64" s="436"/>
      <c r="N64" s="436"/>
      <c r="O64" s="436"/>
      <c r="P64" s="436"/>
      <c r="Q64" s="436"/>
      <c r="R64" s="436"/>
      <c r="S64" s="436"/>
      <c r="T64" s="436"/>
      <c r="U64" s="3"/>
      <c r="V64" s="436"/>
      <c r="W64" s="436"/>
      <c r="X64" s="436"/>
      <c r="Y64" s="436"/>
      <c r="Z64" s="436"/>
      <c r="AA64" s="436"/>
      <c r="AB64" s="436"/>
      <c r="AC64" s="436"/>
      <c r="AD64" s="436"/>
      <c r="AE64" s="436"/>
      <c r="AF64" s="436"/>
      <c r="AG64" s="436"/>
      <c r="AH64" s="436"/>
      <c r="AI64" s="3"/>
      <c r="AJ64" s="483"/>
      <c r="AK64" s="483"/>
      <c r="AL64" s="3"/>
      <c r="AM64" s="3"/>
      <c r="AN64" s="3"/>
      <c r="AO64" s="3"/>
      <c r="AP64" s="3"/>
      <c r="AQ64" s="3"/>
      <c r="AR64" s="3"/>
      <c r="AS6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U64"/>
  <sheetViews>
    <sheetView topLeftCell="B4" workbookViewId="0"/>
  </sheetViews>
  <sheetFormatPr baseColWidth="10" defaultColWidth="8.88671875" defaultRowHeight="14.4" x14ac:dyDescent="0.3"/>
  <cols>
    <col min="1" max="1" width="14.109375" style="17" hidden="1" bestFit="1" customWidth="1"/>
    <col min="2" max="2" width="50.88671875" style="17" bestFit="1" customWidth="1"/>
    <col min="3" max="3" width="4.88671875" style="17" bestFit="1" customWidth="1"/>
    <col min="4" max="4" width="1.88671875" style="17" bestFit="1" customWidth="1"/>
    <col min="5" max="5" width="10.5546875" style="18" bestFit="1" customWidth="1"/>
    <col min="6" max="6" width="10.5546875" style="482" bestFit="1" customWidth="1"/>
    <col min="7" max="7" width="12.5546875" style="18" bestFit="1" customWidth="1"/>
    <col min="8" max="8" width="1.88671875" style="17" bestFit="1" customWidth="1"/>
    <col min="9" max="9" width="11.88671875" style="488" bestFit="1" customWidth="1"/>
    <col min="10" max="10" width="10.88671875" style="488" bestFit="1" customWidth="1"/>
    <col min="11" max="12" width="14.109375" style="488" hidden="1" bestFit="1" customWidth="1"/>
    <col min="13" max="20" width="14.109375" style="482" hidden="1" bestFit="1" customWidth="1"/>
    <col min="21" max="21" width="1.88671875" style="17" bestFit="1" customWidth="1"/>
    <col min="22" max="22" width="14.109375" style="482" hidden="1" bestFit="1" customWidth="1"/>
    <col min="23" max="32" width="9.6640625" style="482" bestFit="1" customWidth="1"/>
    <col min="33" max="33" width="2.5546875" style="482" bestFit="1" customWidth="1"/>
    <col min="34" max="34" width="12.44140625" style="482" bestFit="1" customWidth="1"/>
    <col min="35" max="35" width="13.5546875" style="482" bestFit="1" customWidth="1"/>
    <col min="36" max="36" width="14.5546875" style="482" bestFit="1" customWidth="1"/>
    <col min="37" max="37" width="3.109375" style="17" bestFit="1" customWidth="1"/>
    <col min="38" max="38" width="14.109375" style="488" bestFit="1" customWidth="1"/>
    <col min="39" max="39" width="15.5546875" style="488" bestFit="1" customWidth="1"/>
    <col min="40" max="40" width="8.88671875" style="17" bestFit="1" customWidth="1"/>
    <col min="41" max="47" width="14.109375" style="17" bestFit="1" customWidth="1"/>
  </cols>
  <sheetData>
    <row r="1" spans="1:47" ht="19.5" hidden="1" customHeight="1" x14ac:dyDescent="0.3">
      <c r="A1" s="3"/>
      <c r="B1" s="191" t="s">
        <v>510</v>
      </c>
      <c r="C1" s="3"/>
      <c r="D1" s="3"/>
      <c r="E1" s="116">
        <v>2021</v>
      </c>
      <c r="F1" s="116">
        <v>2022</v>
      </c>
      <c r="G1" s="116">
        <v>2022</v>
      </c>
      <c r="H1" s="3"/>
      <c r="I1" s="116">
        <v>2022</v>
      </c>
      <c r="J1" s="116">
        <v>2022</v>
      </c>
      <c r="K1" s="116">
        <v>2022</v>
      </c>
      <c r="L1" s="116">
        <v>2022</v>
      </c>
      <c r="M1" s="116">
        <v>2022</v>
      </c>
      <c r="N1" s="116">
        <v>2022</v>
      </c>
      <c r="O1" s="116">
        <v>2022</v>
      </c>
      <c r="P1" s="116">
        <v>2022</v>
      </c>
      <c r="Q1" s="116">
        <v>2022</v>
      </c>
      <c r="R1" s="116">
        <v>2022</v>
      </c>
      <c r="S1" s="116">
        <v>2022</v>
      </c>
      <c r="T1" s="116">
        <v>2022</v>
      </c>
      <c r="U1" s="3"/>
      <c r="V1" s="116">
        <v>2022</v>
      </c>
      <c r="W1" s="116">
        <v>2022</v>
      </c>
      <c r="X1" s="116">
        <v>2022</v>
      </c>
      <c r="Y1" s="116">
        <v>2022</v>
      </c>
      <c r="Z1" s="116">
        <v>2022</v>
      </c>
      <c r="AA1" s="116">
        <v>2022</v>
      </c>
      <c r="AB1" s="116">
        <v>2022</v>
      </c>
      <c r="AC1" s="116">
        <v>2022</v>
      </c>
      <c r="AD1" s="116">
        <v>2022</v>
      </c>
      <c r="AE1" s="116">
        <v>2022</v>
      </c>
      <c r="AF1" s="116">
        <v>2022</v>
      </c>
      <c r="AG1" s="63"/>
      <c r="AH1" s="116">
        <v>2022</v>
      </c>
      <c r="AI1" s="116">
        <v>2022</v>
      </c>
      <c r="AJ1" s="116">
        <v>2022</v>
      </c>
      <c r="AK1" s="3"/>
      <c r="AL1" s="162">
        <v>2021</v>
      </c>
      <c r="AM1" s="116">
        <v>2022</v>
      </c>
      <c r="AN1" s="3"/>
      <c r="AO1" s="3"/>
      <c r="AP1" s="3"/>
      <c r="AQ1" s="3"/>
      <c r="AR1" s="3"/>
      <c r="AS1" s="3"/>
      <c r="AT1" s="3"/>
      <c r="AU1" s="3"/>
    </row>
    <row r="2" spans="1:47" ht="19.5" hidden="1" customHeight="1" x14ac:dyDescent="0.3">
      <c r="A2" s="3"/>
      <c r="B2" s="191" t="s">
        <v>511</v>
      </c>
      <c r="C2" s="3"/>
      <c r="D2" s="3"/>
      <c r="E2" s="433" t="s">
        <v>30</v>
      </c>
      <c r="F2" s="434" t="str">
        <f ca="1">MONTH(TODAY())-1&amp;" YTD"</f>
        <v>3 YTD</v>
      </c>
      <c r="G2" s="433" t="s">
        <v>30</v>
      </c>
      <c r="H2" s="3"/>
      <c r="I2" s="116">
        <v>1</v>
      </c>
      <c r="J2" s="116">
        <v>2</v>
      </c>
      <c r="K2" s="116">
        <v>3</v>
      </c>
      <c r="L2" s="116">
        <v>4</v>
      </c>
      <c r="M2" s="116">
        <v>5</v>
      </c>
      <c r="N2" s="116">
        <v>6</v>
      </c>
      <c r="O2" s="116">
        <v>7</v>
      </c>
      <c r="P2" s="116">
        <v>8</v>
      </c>
      <c r="Q2" s="116">
        <v>9</v>
      </c>
      <c r="R2" s="116">
        <v>10</v>
      </c>
      <c r="S2" s="116">
        <v>11</v>
      </c>
      <c r="T2" s="116">
        <v>12</v>
      </c>
      <c r="U2" s="3"/>
      <c r="V2" s="116">
        <v>2</v>
      </c>
      <c r="W2" s="116">
        <v>3</v>
      </c>
      <c r="X2" s="116">
        <v>4</v>
      </c>
      <c r="Y2" s="116">
        <v>5</v>
      </c>
      <c r="Z2" s="116">
        <v>6</v>
      </c>
      <c r="AA2" s="116">
        <v>7</v>
      </c>
      <c r="AB2" s="116">
        <v>8</v>
      </c>
      <c r="AC2" s="116">
        <v>9</v>
      </c>
      <c r="AD2" s="116">
        <v>10</v>
      </c>
      <c r="AE2" s="116">
        <v>11</v>
      </c>
      <c r="AF2" s="116">
        <v>12</v>
      </c>
      <c r="AG2" s="63"/>
      <c r="AH2" s="434" t="str">
        <f ca="1">MONTH(TODAY())-1&amp;" YTD"</f>
        <v>3 YTD</v>
      </c>
      <c r="AI2" s="434" t="str">
        <f ca="1">MONTH(TODAY())-1&amp;" YTD"</f>
        <v>3 YTD</v>
      </c>
      <c r="AJ2" s="434" t="str">
        <f ca="1">MONTH(TODAY())-1&amp;" YTD"</f>
        <v>3 YTD</v>
      </c>
      <c r="AK2" s="3"/>
      <c r="AL2" s="435" t="s">
        <v>30</v>
      </c>
      <c r="AM2" s="435" t="s">
        <v>30</v>
      </c>
      <c r="AN2" s="3"/>
      <c r="AO2" s="3"/>
      <c r="AP2" s="3"/>
      <c r="AQ2" s="3"/>
      <c r="AR2" s="3"/>
      <c r="AS2" s="3"/>
      <c r="AT2" s="3"/>
      <c r="AU2" s="3"/>
    </row>
    <row r="3" spans="1:47" ht="19.5" hidden="1" customHeight="1" x14ac:dyDescent="0.3">
      <c r="A3" s="3"/>
      <c r="B3" s="191" t="s">
        <v>512</v>
      </c>
      <c r="C3" s="3"/>
      <c r="D3" s="3"/>
      <c r="E3" s="433">
        <v>12</v>
      </c>
      <c r="F3" s="434">
        <f ca="1">LEFT(F$2,2)*1</f>
        <v>3</v>
      </c>
      <c r="G3" s="433">
        <v>12</v>
      </c>
      <c r="H3" s="3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3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63"/>
      <c r="AH3" s="116"/>
      <c r="AI3" s="116"/>
      <c r="AJ3" s="436"/>
      <c r="AK3" s="3"/>
      <c r="AL3" s="483"/>
      <c r="AM3" s="116"/>
      <c r="AN3" s="3"/>
      <c r="AO3" s="3"/>
      <c r="AP3" s="3"/>
      <c r="AQ3" s="3"/>
      <c r="AR3" s="3"/>
      <c r="AS3" s="3"/>
      <c r="AT3" s="3"/>
      <c r="AU3" s="3"/>
    </row>
    <row r="4" spans="1:47" ht="19.5" customHeight="1" x14ac:dyDescent="0.3">
      <c r="A4" s="3"/>
      <c r="B4" s="3"/>
      <c r="C4" s="3"/>
      <c r="D4" s="3"/>
      <c r="E4" s="8"/>
      <c r="F4" s="436"/>
      <c r="G4" s="8"/>
      <c r="H4" s="3"/>
      <c r="I4" s="483"/>
      <c r="J4" s="483"/>
      <c r="K4" s="483"/>
      <c r="L4" s="483"/>
      <c r="M4" s="436"/>
      <c r="N4" s="436"/>
      <c r="O4" s="436"/>
      <c r="P4" s="436"/>
      <c r="Q4" s="436"/>
      <c r="R4" s="436"/>
      <c r="S4" s="436"/>
      <c r="T4" s="436"/>
      <c r="U4" s="3"/>
      <c r="V4" s="436"/>
      <c r="W4" s="436"/>
      <c r="X4" s="436"/>
      <c r="Y4" s="436"/>
      <c r="Z4" s="436"/>
      <c r="AA4" s="436"/>
      <c r="AB4" s="436"/>
      <c r="AC4" s="436"/>
      <c r="AD4" s="436"/>
      <c r="AE4" s="436"/>
      <c r="AF4" s="436"/>
      <c r="AG4" s="436"/>
      <c r="AH4" s="436"/>
      <c r="AI4" s="436"/>
      <c r="AJ4" s="436"/>
      <c r="AK4" s="3"/>
      <c r="AL4" s="483"/>
      <c r="AM4" s="483"/>
      <c r="AN4" s="3"/>
      <c r="AO4" s="3"/>
      <c r="AP4" s="3"/>
      <c r="AQ4" s="3"/>
      <c r="AR4" s="3"/>
      <c r="AS4" s="3"/>
      <c r="AT4" s="3"/>
      <c r="AU4" s="3"/>
    </row>
    <row r="5" spans="1:47" ht="19.5" customHeight="1" x14ac:dyDescent="0.3">
      <c r="A5" s="3"/>
      <c r="B5" s="440">
        <f ca="1">YEAR(TODAY())</f>
        <v>2022</v>
      </c>
      <c r="C5" s="440">
        <f ca="1">MONTH(TODAY())</f>
        <v>4</v>
      </c>
      <c r="D5" s="3"/>
      <c r="E5" s="8"/>
      <c r="F5" s="436"/>
      <c r="G5" s="8"/>
      <c r="H5" s="3"/>
      <c r="I5" s="483"/>
      <c r="J5" s="483"/>
      <c r="K5" s="483"/>
      <c r="L5" s="483"/>
      <c r="M5" s="436"/>
      <c r="N5" s="436"/>
      <c r="O5" s="436"/>
      <c r="P5" s="436"/>
      <c r="Q5" s="436"/>
      <c r="R5" s="436"/>
      <c r="S5" s="436"/>
      <c r="T5" s="436"/>
      <c r="U5" s="3"/>
      <c r="V5" s="436"/>
      <c r="W5" s="436"/>
      <c r="X5" s="436"/>
      <c r="Y5" s="436"/>
      <c r="Z5" s="436"/>
      <c r="AA5" s="436"/>
      <c r="AB5" s="436"/>
      <c r="AC5" s="436"/>
      <c r="AD5" s="436"/>
      <c r="AE5" s="436"/>
      <c r="AF5" s="436"/>
      <c r="AG5" s="436"/>
      <c r="AH5" s="436"/>
      <c r="AI5" s="436"/>
      <c r="AJ5" s="436"/>
      <c r="AK5" s="3"/>
      <c r="AL5" s="483"/>
      <c r="AM5" s="483"/>
      <c r="AN5" s="3"/>
      <c r="AO5" s="3"/>
      <c r="AP5" s="3"/>
      <c r="AQ5" s="3"/>
      <c r="AR5" s="3"/>
      <c r="AS5" s="3"/>
      <c r="AT5" s="3"/>
      <c r="AU5" s="3"/>
    </row>
    <row r="6" spans="1:47" ht="19.5" customHeight="1" x14ac:dyDescent="0.3">
      <c r="A6" s="3"/>
      <c r="B6" s="30"/>
      <c r="C6" s="30"/>
      <c r="D6" s="3"/>
      <c r="E6" s="441" t="s">
        <v>514</v>
      </c>
      <c r="F6" s="444" t="s">
        <v>575</v>
      </c>
      <c r="G6" s="443" t="s">
        <v>575</v>
      </c>
      <c r="H6" s="3"/>
      <c r="I6" s="444" t="str">
        <f t="shared" ref="I6:T6" si="0">TEXT(I$2,"00")&amp;" "&amp;I$1</f>
        <v>01 2022</v>
      </c>
      <c r="J6" s="444" t="str">
        <f t="shared" si="0"/>
        <v>02 2022</v>
      </c>
      <c r="K6" s="444" t="str">
        <f t="shared" si="0"/>
        <v>03 2022</v>
      </c>
      <c r="L6" s="444" t="str">
        <f t="shared" si="0"/>
        <v>04 2022</v>
      </c>
      <c r="M6" s="444" t="str">
        <f t="shared" si="0"/>
        <v>05 2022</v>
      </c>
      <c r="N6" s="444" t="str">
        <f t="shared" si="0"/>
        <v>06 2022</v>
      </c>
      <c r="O6" s="444" t="str">
        <f t="shared" si="0"/>
        <v>07 2022</v>
      </c>
      <c r="P6" s="444" t="str">
        <f t="shared" si="0"/>
        <v>08 2022</v>
      </c>
      <c r="Q6" s="444" t="str">
        <f t="shared" si="0"/>
        <v>09 2022</v>
      </c>
      <c r="R6" s="444" t="str">
        <f t="shared" si="0"/>
        <v>10 2022</v>
      </c>
      <c r="S6" s="444" t="str">
        <f t="shared" si="0"/>
        <v>11 2022</v>
      </c>
      <c r="T6" s="444" t="str">
        <f t="shared" si="0"/>
        <v>12 2022</v>
      </c>
      <c r="U6" s="3"/>
      <c r="V6" s="484" t="str">
        <f t="shared" ref="V6:AF6" si="1">TEXT(V$2,"00")&amp;" "&amp;V$1</f>
        <v>02 2022</v>
      </c>
      <c r="W6" s="484" t="str">
        <f t="shared" si="1"/>
        <v>03 2022</v>
      </c>
      <c r="X6" s="484" t="str">
        <f t="shared" si="1"/>
        <v>04 2022</v>
      </c>
      <c r="Y6" s="484" t="str">
        <f t="shared" si="1"/>
        <v>05 2022</v>
      </c>
      <c r="Z6" s="484" t="str">
        <f t="shared" si="1"/>
        <v>06 2022</v>
      </c>
      <c r="AA6" s="484" t="str">
        <f t="shared" si="1"/>
        <v>07 2022</v>
      </c>
      <c r="AB6" s="484" t="str">
        <f t="shared" si="1"/>
        <v>08 2022</v>
      </c>
      <c r="AC6" s="484" t="str">
        <f t="shared" si="1"/>
        <v>09 2022</v>
      </c>
      <c r="AD6" s="484" t="str">
        <f t="shared" si="1"/>
        <v>10 2022</v>
      </c>
      <c r="AE6" s="484" t="str">
        <f t="shared" si="1"/>
        <v>11 2022</v>
      </c>
      <c r="AF6" s="484" t="str">
        <f t="shared" si="1"/>
        <v>12 2022</v>
      </c>
      <c r="AG6" s="449"/>
      <c r="AH6" s="444" t="str">
        <f ca="1">AH$2&amp;" "&amp;AH$1</f>
        <v>3 YTD 2022</v>
      </c>
      <c r="AI6" s="450" t="str">
        <f ca="1">AI$2&amp;" "&amp;AI$1</f>
        <v>3 YTD 2022</v>
      </c>
      <c r="AJ6" s="451" t="str">
        <f ca="1">AJ$2&amp;" "&amp;AJ$1</f>
        <v>3 YTD 2022</v>
      </c>
      <c r="AK6" s="3"/>
      <c r="AL6" s="452" t="str">
        <f>AL$2&amp;" "&amp;AL$1</f>
        <v>12 YTD 2021</v>
      </c>
      <c r="AM6" s="450" t="str">
        <f>AM$2&amp;" "&amp;AM$1</f>
        <v>12 YTD 2022</v>
      </c>
      <c r="AN6" s="3"/>
      <c r="AO6" s="3"/>
      <c r="AP6" s="3"/>
      <c r="AQ6" s="3"/>
      <c r="AR6" s="3"/>
      <c r="AS6" s="3"/>
      <c r="AT6" s="3"/>
      <c r="AU6" s="3"/>
    </row>
    <row r="7" spans="1:47" ht="19.5" customHeight="1" x14ac:dyDescent="0.3">
      <c r="A7" s="3"/>
      <c r="B7" s="3"/>
      <c r="C7" s="30" t="s">
        <v>527</v>
      </c>
      <c r="D7" s="3"/>
      <c r="E7" s="441" t="s">
        <v>40</v>
      </c>
      <c r="F7" s="444" t="s">
        <v>40</v>
      </c>
      <c r="G7" s="443" t="s">
        <v>441</v>
      </c>
      <c r="H7" s="3"/>
      <c r="I7" s="446" t="s">
        <v>40</v>
      </c>
      <c r="J7" s="446" t="s">
        <v>40</v>
      </c>
      <c r="K7" s="446" t="s">
        <v>40</v>
      </c>
      <c r="L7" s="446" t="s">
        <v>40</v>
      </c>
      <c r="M7" s="444" t="s">
        <v>40</v>
      </c>
      <c r="N7" s="445" t="s">
        <v>40</v>
      </c>
      <c r="O7" s="445" t="s">
        <v>40</v>
      </c>
      <c r="P7" s="445" t="s">
        <v>40</v>
      </c>
      <c r="Q7" s="445" t="s">
        <v>40</v>
      </c>
      <c r="R7" s="445" t="s">
        <v>40</v>
      </c>
      <c r="S7" s="445" t="s">
        <v>40</v>
      </c>
      <c r="T7" s="445" t="s">
        <v>40</v>
      </c>
      <c r="U7" s="3"/>
      <c r="V7" s="448" t="s">
        <v>528</v>
      </c>
      <c r="W7" s="448" t="s">
        <v>528</v>
      </c>
      <c r="X7" s="448" t="s">
        <v>528</v>
      </c>
      <c r="Y7" s="448" t="s">
        <v>528</v>
      </c>
      <c r="Z7" s="448" t="s">
        <v>528</v>
      </c>
      <c r="AA7" s="448" t="s">
        <v>528</v>
      </c>
      <c r="AB7" s="448" t="s">
        <v>528</v>
      </c>
      <c r="AC7" s="448" t="s">
        <v>528</v>
      </c>
      <c r="AD7" s="448" t="s">
        <v>528</v>
      </c>
      <c r="AE7" s="448" t="s">
        <v>528</v>
      </c>
      <c r="AF7" s="448" t="s">
        <v>528</v>
      </c>
      <c r="AG7" s="449"/>
      <c r="AH7" s="444" t="s">
        <v>529</v>
      </c>
      <c r="AI7" s="450" t="s">
        <v>530</v>
      </c>
      <c r="AJ7" s="451" t="s">
        <v>531</v>
      </c>
      <c r="AK7" s="3"/>
      <c r="AL7" s="453" t="s">
        <v>529</v>
      </c>
      <c r="AM7" s="454" t="s">
        <v>530</v>
      </c>
      <c r="AN7" s="3"/>
      <c r="AO7" s="3"/>
      <c r="AP7" s="3"/>
      <c r="AQ7" s="3"/>
      <c r="AR7" s="3"/>
      <c r="AS7" s="3"/>
      <c r="AT7" s="3"/>
      <c r="AU7" s="3"/>
    </row>
    <row r="8" spans="1:47" ht="19.5" customHeight="1" x14ac:dyDescent="0.3">
      <c r="A8" s="3"/>
      <c r="B8" s="474" t="s">
        <v>576</v>
      </c>
      <c r="C8" s="63"/>
      <c r="D8" s="3"/>
      <c r="E8" s="456"/>
      <c r="F8" s="456"/>
      <c r="G8" s="457"/>
      <c r="H8" s="3"/>
      <c r="I8" s="457"/>
      <c r="J8" s="457"/>
      <c r="K8" s="457"/>
      <c r="L8" s="457"/>
      <c r="M8" s="457"/>
      <c r="N8" s="456"/>
      <c r="O8" s="456"/>
      <c r="P8" s="456"/>
      <c r="Q8" s="456"/>
      <c r="R8" s="456"/>
      <c r="S8" s="456"/>
      <c r="T8" s="456"/>
      <c r="U8" s="3"/>
      <c r="V8" s="485"/>
      <c r="W8" s="485"/>
      <c r="X8" s="485"/>
      <c r="Y8" s="456"/>
      <c r="Z8" s="456"/>
      <c r="AA8" s="456"/>
      <c r="AB8" s="456"/>
      <c r="AC8" s="456"/>
      <c r="AD8" s="456"/>
      <c r="AE8" s="456"/>
      <c r="AF8" s="458"/>
      <c r="AG8" s="458"/>
      <c r="AH8" s="459"/>
      <c r="AI8" s="460"/>
      <c r="AJ8" s="436"/>
      <c r="AK8" s="3"/>
      <c r="AL8" s="459"/>
      <c r="AM8" s="461"/>
      <c r="AN8" s="3"/>
      <c r="AO8" s="3"/>
      <c r="AP8" s="3"/>
      <c r="AQ8" s="3"/>
      <c r="AR8" s="3"/>
      <c r="AS8" s="3"/>
      <c r="AT8" s="3"/>
      <c r="AU8" s="3"/>
    </row>
    <row r="9" spans="1:47" ht="19.5" customHeight="1" x14ac:dyDescent="0.3">
      <c r="A9" s="33" t="s">
        <v>305</v>
      </c>
      <c r="B9" s="33" t="s">
        <v>577</v>
      </c>
      <c r="C9" s="191" t="s">
        <v>535</v>
      </c>
      <c r="D9" s="3"/>
      <c r="E9" s="462">
        <f>$AL9/E$3</f>
        <v>0</v>
      </c>
      <c r="F9" s="462">
        <f ca="1">IFERROR(1/F$3,1)*SUMIFS(Data!$S$3:$S$137,Data!$O$3:$O$137,F$1,Data!$P$3:$P$137,IF(RIGHT(F$2,3)="YTD","&lt;="&amp;LEFT(F$2,2)*1,F$2),Data!$K$3:$K$137,$B9)</f>
        <v>0</v>
      </c>
      <c r="G9" s="462">
        <f>AM9/12</f>
        <v>0</v>
      </c>
      <c r="H9" s="3"/>
      <c r="I9" s="462"/>
      <c r="J9" s="462"/>
      <c r="K9" s="462"/>
      <c r="L9" s="462"/>
      <c r="M9" s="462"/>
      <c r="N9" s="462"/>
      <c r="O9" s="462"/>
      <c r="P9" s="462"/>
      <c r="Q9" s="462"/>
      <c r="R9" s="462"/>
      <c r="S9" s="462"/>
      <c r="T9" s="462"/>
      <c r="U9" s="3"/>
      <c r="V9" s="462">
        <f t="shared" ref="V9:X12" si="2">E9</f>
        <v>0</v>
      </c>
      <c r="W9" s="462">
        <f t="shared" ca="1" si="2"/>
        <v>0</v>
      </c>
      <c r="X9" s="462">
        <f t="shared" si="2"/>
        <v>0</v>
      </c>
      <c r="Y9" s="462">
        <f t="shared" ref="Y9:AF12" si="3">$G9</f>
        <v>0</v>
      </c>
      <c r="Z9" s="462">
        <f t="shared" si="3"/>
        <v>0</v>
      </c>
      <c r="AA9" s="462">
        <f t="shared" si="3"/>
        <v>0</v>
      </c>
      <c r="AB9" s="462">
        <f t="shared" si="3"/>
        <v>0</v>
      </c>
      <c r="AC9" s="462">
        <f t="shared" si="3"/>
        <v>0</v>
      </c>
      <c r="AD9" s="462">
        <f t="shared" si="3"/>
        <v>0</v>
      </c>
      <c r="AE9" s="462">
        <f t="shared" si="3"/>
        <v>0</v>
      </c>
      <c r="AF9" s="462">
        <f t="shared" si="3"/>
        <v>0</v>
      </c>
      <c r="AG9" s="462"/>
      <c r="AH9" s="462"/>
      <c r="AI9" s="462">
        <f ca="1">AM9/12*LEFT(AI$2,2)*1</f>
        <v>0</v>
      </c>
      <c r="AJ9" s="463">
        <f ca="1">AH9-AI9</f>
        <v>0</v>
      </c>
      <c r="AK9" s="3"/>
      <c r="AL9" s="462"/>
      <c r="AM9" s="462">
        <v>0</v>
      </c>
      <c r="AN9" s="3"/>
      <c r="AO9" s="3"/>
      <c r="AP9" s="3"/>
      <c r="AQ9" s="3"/>
      <c r="AR9" s="3"/>
      <c r="AS9" s="3"/>
      <c r="AT9" s="3"/>
      <c r="AU9" s="3"/>
    </row>
    <row r="10" spans="1:47" ht="19.5" customHeight="1" x14ac:dyDescent="0.3">
      <c r="A10" s="3" t="s">
        <v>578</v>
      </c>
      <c r="B10" s="33" t="s">
        <v>579</v>
      </c>
      <c r="C10" s="191" t="s">
        <v>535</v>
      </c>
      <c r="D10" s="3"/>
      <c r="E10" s="462">
        <f>$AL10/E$3</f>
        <v>0</v>
      </c>
      <c r="F10" s="462">
        <f ca="1">IFERROR(1/F$3,1)*SUMIFS(Data!$S$3:$S$137,Data!$O$3:$O$137,F$1,Data!$P$3:$P$137,IF(RIGHT(F$2,3)="YTD","&lt;="&amp;LEFT(F$2,2)*1,F$2),Data!$K$3:$K$137,$B10)</f>
        <v>0</v>
      </c>
      <c r="G10" s="462">
        <f>AM10/12</f>
        <v>0</v>
      </c>
      <c r="H10" s="3"/>
      <c r="I10" s="462"/>
      <c r="J10" s="462"/>
      <c r="K10" s="462"/>
      <c r="L10" s="462"/>
      <c r="M10" s="462"/>
      <c r="N10" s="462"/>
      <c r="O10" s="462"/>
      <c r="P10" s="462"/>
      <c r="Q10" s="462"/>
      <c r="R10" s="462"/>
      <c r="S10" s="462"/>
      <c r="T10" s="462"/>
      <c r="U10" s="3"/>
      <c r="V10" s="462">
        <f t="shared" si="2"/>
        <v>0</v>
      </c>
      <c r="W10" s="462">
        <f t="shared" ca="1" si="2"/>
        <v>0</v>
      </c>
      <c r="X10" s="462">
        <f t="shared" si="2"/>
        <v>0</v>
      </c>
      <c r="Y10" s="462">
        <f t="shared" si="3"/>
        <v>0</v>
      </c>
      <c r="Z10" s="462">
        <f t="shared" si="3"/>
        <v>0</v>
      </c>
      <c r="AA10" s="462">
        <f t="shared" si="3"/>
        <v>0</v>
      </c>
      <c r="AB10" s="462">
        <f t="shared" si="3"/>
        <v>0</v>
      </c>
      <c r="AC10" s="462">
        <f t="shared" si="3"/>
        <v>0</v>
      </c>
      <c r="AD10" s="462">
        <f t="shared" si="3"/>
        <v>0</v>
      </c>
      <c r="AE10" s="462">
        <f t="shared" si="3"/>
        <v>0</v>
      </c>
      <c r="AF10" s="462">
        <f t="shared" si="3"/>
        <v>0</v>
      </c>
      <c r="AG10" s="462"/>
      <c r="AH10" s="462"/>
      <c r="AI10" s="462">
        <f ca="1">AM10/12*LEFT(AI$2,2)*1</f>
        <v>0</v>
      </c>
      <c r="AJ10" s="463">
        <f ca="1">AH10-AI10</f>
        <v>0</v>
      </c>
      <c r="AK10" s="3"/>
      <c r="AL10" s="462"/>
      <c r="AM10" s="462">
        <v>0</v>
      </c>
      <c r="AN10" s="3"/>
      <c r="AO10" s="3"/>
      <c r="AP10" s="3"/>
      <c r="AQ10" s="3"/>
      <c r="AR10" s="3"/>
      <c r="AS10" s="3"/>
      <c r="AT10" s="3"/>
      <c r="AU10" s="3"/>
    </row>
    <row r="11" spans="1:47" ht="19.5" customHeight="1" x14ac:dyDescent="0.3">
      <c r="A11" s="33" t="s">
        <v>580</v>
      </c>
      <c r="B11" s="33" t="s">
        <v>581</v>
      </c>
      <c r="C11" s="191" t="s">
        <v>535</v>
      </c>
      <c r="D11" s="3"/>
      <c r="E11" s="462">
        <f>$AL11/E$3</f>
        <v>0</v>
      </c>
      <c r="F11" s="462">
        <f ca="1">IFERROR(1/F$3,1)*SUMIFS(Data!$S$3:$S$137,Data!$O$3:$O$137,F$1,Data!$P$3:$P$137,IF(RIGHT(F$2,3)="YTD","&lt;="&amp;LEFT(F$2,2)*1,F$2),Data!$K$3:$K$137,$B11)</f>
        <v>0</v>
      </c>
      <c r="G11" s="462">
        <f>AM11/12</f>
        <v>58333.333333333336</v>
      </c>
      <c r="H11" s="3"/>
      <c r="I11" s="462"/>
      <c r="J11" s="462"/>
      <c r="K11" s="462"/>
      <c r="L11" s="462"/>
      <c r="M11" s="462"/>
      <c r="N11" s="462"/>
      <c r="O11" s="462"/>
      <c r="P11" s="462"/>
      <c r="Q11" s="462"/>
      <c r="R11" s="462"/>
      <c r="S11" s="462"/>
      <c r="T11" s="462"/>
      <c r="U11" s="3"/>
      <c r="V11" s="462">
        <f t="shared" si="2"/>
        <v>0</v>
      </c>
      <c r="W11" s="462">
        <f t="shared" ca="1" si="2"/>
        <v>0</v>
      </c>
      <c r="X11" s="462">
        <f t="shared" si="2"/>
        <v>58333.333333333336</v>
      </c>
      <c r="Y11" s="462">
        <f t="shared" si="3"/>
        <v>58333.333333333336</v>
      </c>
      <c r="Z11" s="462">
        <f t="shared" si="3"/>
        <v>58333.333333333336</v>
      </c>
      <c r="AA11" s="462">
        <f t="shared" si="3"/>
        <v>58333.333333333336</v>
      </c>
      <c r="AB11" s="462">
        <f t="shared" si="3"/>
        <v>58333.333333333336</v>
      </c>
      <c r="AC11" s="462">
        <f t="shared" si="3"/>
        <v>58333.333333333336</v>
      </c>
      <c r="AD11" s="462">
        <f t="shared" si="3"/>
        <v>58333.333333333336</v>
      </c>
      <c r="AE11" s="462">
        <f t="shared" si="3"/>
        <v>58333.333333333336</v>
      </c>
      <c r="AF11" s="462">
        <f t="shared" si="3"/>
        <v>58333.333333333336</v>
      </c>
      <c r="AG11" s="462"/>
      <c r="AH11" s="462"/>
      <c r="AI11" s="462">
        <f ca="1">AM11/12*LEFT(AI$2,2)*1</f>
        <v>175000</v>
      </c>
      <c r="AJ11" s="463">
        <f ca="1">AH11-AI11</f>
        <v>-175000</v>
      </c>
      <c r="AK11" s="3"/>
      <c r="AL11" s="462"/>
      <c r="AM11" s="462">
        <v>700000</v>
      </c>
      <c r="AN11" s="3"/>
      <c r="AO11" s="3"/>
      <c r="AP11" s="3"/>
      <c r="AQ11" s="3"/>
      <c r="AR11" s="3"/>
      <c r="AS11" s="3"/>
      <c r="AT11" s="3"/>
      <c r="AU11" s="3"/>
    </row>
    <row r="12" spans="1:47" ht="19.5" customHeight="1" x14ac:dyDescent="0.3">
      <c r="A12" s="41" t="s">
        <v>582</v>
      </c>
      <c r="B12" s="33" t="s">
        <v>458</v>
      </c>
      <c r="C12" s="63"/>
      <c r="D12" s="3"/>
      <c r="E12" s="462">
        <f>$AL12/E$3</f>
        <v>0</v>
      </c>
      <c r="F12" s="462">
        <f ca="1">IFERROR(1/F$3,1)*SUMIFS(Data!$S$3:$S$137,Data!$O$3:$O$137,F$1,Data!$P$3:$P$137,IF(RIGHT(F$2,3)="YTD","&lt;="&amp;LEFT(F$2,2)*1,F$2),Data!$K$3:$K$137,$B12)</f>
        <v>0</v>
      </c>
      <c r="G12" s="462">
        <f>AM12/12</f>
        <v>0</v>
      </c>
      <c r="H12" s="3"/>
      <c r="I12" s="462"/>
      <c r="J12" s="462"/>
      <c r="K12" s="462"/>
      <c r="L12" s="462"/>
      <c r="M12" s="462"/>
      <c r="N12" s="462"/>
      <c r="O12" s="462"/>
      <c r="P12" s="462"/>
      <c r="Q12" s="462"/>
      <c r="R12" s="462"/>
      <c r="S12" s="462"/>
      <c r="T12" s="462"/>
      <c r="U12" s="3"/>
      <c r="V12" s="462">
        <f t="shared" si="2"/>
        <v>0</v>
      </c>
      <c r="W12" s="462">
        <f t="shared" ca="1" si="2"/>
        <v>0</v>
      </c>
      <c r="X12" s="462">
        <f t="shared" si="2"/>
        <v>0</v>
      </c>
      <c r="Y12" s="462">
        <f t="shared" si="3"/>
        <v>0</v>
      </c>
      <c r="Z12" s="462">
        <f t="shared" si="3"/>
        <v>0</v>
      </c>
      <c r="AA12" s="462">
        <f t="shared" si="3"/>
        <v>0</v>
      </c>
      <c r="AB12" s="462">
        <f t="shared" si="3"/>
        <v>0</v>
      </c>
      <c r="AC12" s="462">
        <f t="shared" si="3"/>
        <v>0</v>
      </c>
      <c r="AD12" s="462">
        <f t="shared" si="3"/>
        <v>0</v>
      </c>
      <c r="AE12" s="462">
        <f t="shared" si="3"/>
        <v>0</v>
      </c>
      <c r="AF12" s="462">
        <f t="shared" si="3"/>
        <v>0</v>
      </c>
      <c r="AG12" s="462"/>
      <c r="AH12" s="462"/>
      <c r="AI12" s="462">
        <f ca="1">AM12/12*LEFT(AI$2,2)*1</f>
        <v>0</v>
      </c>
      <c r="AJ12" s="463">
        <f ca="1">AH12-AI12</f>
        <v>0</v>
      </c>
      <c r="AK12" s="3"/>
      <c r="AL12" s="462"/>
      <c r="AM12" s="465">
        <v>0</v>
      </c>
      <c r="AN12" s="3"/>
      <c r="AO12" s="3"/>
      <c r="AP12" s="3"/>
      <c r="AQ12" s="3"/>
      <c r="AR12" s="3"/>
      <c r="AS12" s="3"/>
      <c r="AT12" s="3"/>
      <c r="AU12" s="3"/>
    </row>
    <row r="13" spans="1:47" ht="19.5" customHeight="1" x14ac:dyDescent="0.3">
      <c r="A13" s="3"/>
      <c r="B13" s="455"/>
      <c r="C13" s="63"/>
      <c r="D13" s="3"/>
      <c r="E13" s="456"/>
      <c r="F13" s="456"/>
      <c r="G13" s="457"/>
      <c r="H13" s="3"/>
      <c r="I13" s="457"/>
      <c r="J13" s="457"/>
      <c r="K13" s="457"/>
      <c r="L13" s="457"/>
      <c r="M13" s="457"/>
      <c r="N13" s="456"/>
      <c r="O13" s="456"/>
      <c r="P13" s="456"/>
      <c r="Q13" s="456"/>
      <c r="R13" s="456"/>
      <c r="S13" s="456"/>
      <c r="T13" s="456"/>
      <c r="U13" s="3"/>
      <c r="V13" s="485"/>
      <c r="W13" s="485"/>
      <c r="X13" s="485"/>
      <c r="Y13" s="456"/>
      <c r="Z13" s="456"/>
      <c r="AA13" s="456"/>
      <c r="AB13" s="456"/>
      <c r="AC13" s="456"/>
      <c r="AD13" s="456"/>
      <c r="AE13" s="456"/>
      <c r="AF13" s="458"/>
      <c r="AG13" s="458"/>
      <c r="AH13" s="459"/>
      <c r="AI13" s="460"/>
      <c r="AJ13" s="436"/>
      <c r="AK13" s="3"/>
      <c r="AL13" s="459"/>
      <c r="AM13" s="461"/>
      <c r="AN13" s="3"/>
      <c r="AO13" s="3"/>
      <c r="AP13" s="3"/>
      <c r="AQ13" s="3"/>
      <c r="AR13" s="3"/>
      <c r="AS13" s="3"/>
      <c r="AT13" s="3"/>
      <c r="AU13" s="3"/>
    </row>
    <row r="14" spans="1:47" ht="19.5" hidden="1" customHeight="1" x14ac:dyDescent="0.3">
      <c r="A14" s="3"/>
      <c r="B14" s="474" t="s">
        <v>583</v>
      </c>
      <c r="C14" s="63"/>
      <c r="D14" s="3"/>
      <c r="E14" s="456"/>
      <c r="F14" s="456"/>
      <c r="G14" s="457"/>
      <c r="H14" s="3"/>
      <c r="I14" s="457"/>
      <c r="J14" s="457"/>
      <c r="K14" s="457"/>
      <c r="L14" s="457"/>
      <c r="M14" s="457"/>
      <c r="N14" s="456"/>
      <c r="O14" s="456"/>
      <c r="P14" s="456"/>
      <c r="Q14" s="456"/>
      <c r="R14" s="456"/>
      <c r="S14" s="456"/>
      <c r="T14" s="456"/>
      <c r="U14" s="3"/>
      <c r="V14" s="485"/>
      <c r="W14" s="485"/>
      <c r="X14" s="485"/>
      <c r="Y14" s="456"/>
      <c r="Z14" s="456"/>
      <c r="AA14" s="456"/>
      <c r="AB14" s="456"/>
      <c r="AC14" s="456"/>
      <c r="AD14" s="456"/>
      <c r="AE14" s="456"/>
      <c r="AF14" s="458"/>
      <c r="AG14" s="458"/>
      <c r="AH14" s="459"/>
      <c r="AI14" s="460"/>
      <c r="AJ14" s="436"/>
      <c r="AK14" s="3"/>
      <c r="AL14" s="459"/>
      <c r="AM14" s="461"/>
      <c r="AN14" s="3"/>
      <c r="AO14" s="3"/>
      <c r="AP14" s="3"/>
      <c r="AQ14" s="3"/>
      <c r="AR14" s="3"/>
      <c r="AS14" s="3"/>
      <c r="AT14" s="3"/>
      <c r="AU14" s="3"/>
    </row>
    <row r="15" spans="1:47" ht="19.5" hidden="1" customHeight="1" x14ac:dyDescent="0.3">
      <c r="A15" s="33" t="s">
        <v>533</v>
      </c>
      <c r="B15" s="33" t="s">
        <v>534</v>
      </c>
      <c r="C15" s="191" t="s">
        <v>535</v>
      </c>
      <c r="D15" s="3"/>
      <c r="E15" s="462">
        <f t="shared" ref="E15:E24" si="4">$AL15/E$3</f>
        <v>422.91666666666669</v>
      </c>
      <c r="F15" s="462">
        <f ca="1">IFERROR(1/F$3,1)*SUMIFS(Data!$S$3:$S$137,Data!$O$3:$O$137,F$1,Data!$P$3:$P$137,IF(RIGHT(F$2,3)="YTD","&lt;="&amp;LEFT(F$2,2)*1,F$2),Data!$K$3:$K$137,$B15)</f>
        <v>0</v>
      </c>
      <c r="G15" s="462">
        <f t="shared" ref="G15:G24" si="5">AM15/12</f>
        <v>30833.333333333332</v>
      </c>
      <c r="H15" s="3"/>
      <c r="I15" s="462">
        <f>IFERROR(1/I$3,1)*SUMIFS(Data!$S$3:$S$137,Data!$O$3:$O$137,I$1,Data!$P$3:$P$137,IF(RIGHT(I$2,3)="YTD","&lt;="&amp;LEFT(I$2,2)*1,I$2),Data!$K$3:$K$137,$B15)</f>
        <v>0</v>
      </c>
      <c r="J15" s="462">
        <f>IFERROR(1/J$3,1)*SUMIFS(Data!$S$3:$S$137,Data!$O$3:$O$137,J$1,Data!$P$3:$P$137,IF(RIGHT(J$2,3)="YTD","&lt;="&amp;LEFT(J$2,2)*1,J$2),Data!$K$3:$K$137,$B15)</f>
        <v>0</v>
      </c>
      <c r="K15" s="462">
        <f>IFERROR(1/K$3,1)*SUMIFS(Data!$S$3:$S$137,Data!$O$3:$O$137,K$1,Data!$P$3:$P$137,IF(RIGHT(K$2,3)="YTD","&lt;="&amp;LEFT(K$2,2)*1,K$2),Data!$K$3:$K$137,$B15)</f>
        <v>0</v>
      </c>
      <c r="L15" s="462">
        <f>IFERROR(1/L$3,1)*SUMIFS(Data!$S$3:$S$137,Data!$O$3:$O$137,L$1,Data!$P$3:$P$137,IF(RIGHT(L$2,3)="YTD","&lt;="&amp;LEFT(L$2,2)*1,L$2),Data!$K$3:$K$137,$B15)</f>
        <v>0</v>
      </c>
      <c r="M15" s="462">
        <f>IFERROR(1/M$3,1)*SUMIFS(Data!$S$3:$S$137,Data!$O$3:$O$137,M$1,Data!$P$3:$P$137,IF(RIGHT(M$2,3)="YTD","&lt;="&amp;LEFT(M$2,2)*1,M$2),Data!$K$3:$K$137,$B15)</f>
        <v>0</v>
      </c>
      <c r="N15" s="462">
        <f>SUMIFS(Data!$S$3:$S$137,Data!$O$3:$O$137,N$1,Data!$P$3:$P$137,N$2,Data!$K$3:$K$137,$B15)</f>
        <v>0</v>
      </c>
      <c r="O15" s="462">
        <f>SUMIFS(Data!$S$3:$S$137,Data!$O$3:$O$137,O$1,Data!$P$3:$P$137,O$2,Data!$K$3:$K$137,$B15)</f>
        <v>0</v>
      </c>
      <c r="P15" s="462">
        <f>SUMIFS(Data!$S$3:$S$137,Data!$O$3:$O$137,P$1,Data!$P$3:$P$137,P$2,Data!$K$3:$K$137,$B15)</f>
        <v>0</v>
      </c>
      <c r="Q15" s="462">
        <f>SUMIFS(Data!$S$3:$S$137,Data!$O$3:$O$137,Q$1,Data!$P$3:$P$137,Q$2,Data!$K$3:$K$137,$B15)</f>
        <v>0</v>
      </c>
      <c r="R15" s="462">
        <f>SUMIFS(Data!$S$3:$S$137,Data!$O$3:$O$137,R$1,Data!$P$3:$P$137,R$2,Data!$K$3:$K$137,$B15)</f>
        <v>0</v>
      </c>
      <c r="S15" s="462">
        <f>SUMIFS(Data!$S$3:$S$137,Data!$O$3:$O$137,S$1,Data!$P$3:$P$137,S$2,Data!$K$3:$K$137,$B15)</f>
        <v>0</v>
      </c>
      <c r="T15" s="462">
        <f>SUMIFS(Data!$S$3:$S$137,Data!$O$3:$O$137,T$1,Data!$P$3:$P$137,T$2,Data!$K$3:$K$137,$B15)</f>
        <v>0</v>
      </c>
      <c r="U15" s="3"/>
      <c r="V15" s="462">
        <f t="shared" ref="V15:V24" si="6">E15</f>
        <v>422.91666666666669</v>
      </c>
      <c r="W15" s="462">
        <f t="shared" ref="W15:W24" ca="1" si="7">F15</f>
        <v>0</v>
      </c>
      <c r="X15" s="462">
        <f t="shared" ref="X15:X24" si="8">G15</f>
        <v>30833.333333333332</v>
      </c>
      <c r="Y15" s="462">
        <f t="shared" ref="Y15:AF24" si="9">$G15</f>
        <v>30833.333333333332</v>
      </c>
      <c r="Z15" s="462">
        <f t="shared" si="9"/>
        <v>30833.333333333332</v>
      </c>
      <c r="AA15" s="462">
        <f t="shared" si="9"/>
        <v>30833.333333333332</v>
      </c>
      <c r="AB15" s="462">
        <f t="shared" si="9"/>
        <v>30833.333333333332</v>
      </c>
      <c r="AC15" s="462">
        <f t="shared" si="9"/>
        <v>30833.333333333332</v>
      </c>
      <c r="AD15" s="462">
        <f t="shared" si="9"/>
        <v>30833.333333333332</v>
      </c>
      <c r="AE15" s="462">
        <f t="shared" si="9"/>
        <v>30833.333333333332</v>
      </c>
      <c r="AF15" s="462">
        <f t="shared" si="9"/>
        <v>30833.333333333332</v>
      </c>
      <c r="AG15" s="462"/>
      <c r="AH15" s="462">
        <f ca="1">IFERROR(1/AH$3,1)*SUMIFS(Data!$S$3:$S$137,Data!$O$3:$O$137,AH$1,Data!$P$3:$P$137,IF(RIGHT(AH$2,3)="YTD","&lt;="&amp;LEFT(AH$2,2)*1,AH$2),Data!$K$3:$K$137,$B15)</f>
        <v>0</v>
      </c>
      <c r="AI15" s="462">
        <f t="shared" ref="AI15:AI24" ca="1" si="10">AM15/12*LEFT(AI$2,2)*1</f>
        <v>92500</v>
      </c>
      <c r="AJ15" s="463">
        <f t="shared" ref="AJ15:AJ24" ca="1" si="11">AH15-AI15</f>
        <v>-92500</v>
      </c>
      <c r="AK15" s="3"/>
      <c r="AL15" s="462">
        <v>5075</v>
      </c>
      <c r="AM15" s="462">
        <v>370000</v>
      </c>
      <c r="AN15" s="3"/>
      <c r="AO15" s="3"/>
      <c r="AP15" s="3"/>
      <c r="AQ15" s="3"/>
      <c r="AR15" s="3"/>
      <c r="AS15" s="3"/>
      <c r="AT15" s="3"/>
      <c r="AU15" s="3"/>
    </row>
    <row r="16" spans="1:47" ht="19.5" hidden="1" customHeight="1" x14ac:dyDescent="0.3">
      <c r="A16" s="3" t="s">
        <v>536</v>
      </c>
      <c r="B16" s="33" t="s">
        <v>537</v>
      </c>
      <c r="C16" s="191" t="s">
        <v>535</v>
      </c>
      <c r="D16" s="3"/>
      <c r="E16" s="462">
        <f t="shared" si="4"/>
        <v>957.5</v>
      </c>
      <c r="F16" s="462">
        <f ca="1">IFERROR(1/F$3,1)*SUMIFS(Data!$S$3:$S$137,Data!$O$3:$O$137,F$1,Data!$P$3:$P$137,IF(RIGHT(F$2,3)="YTD","&lt;="&amp;LEFT(F$2,2)*1,F$2),Data!$K$3:$K$137,$B16)</f>
        <v>0</v>
      </c>
      <c r="G16" s="462">
        <f t="shared" si="5"/>
        <v>0</v>
      </c>
      <c r="H16" s="3"/>
      <c r="I16" s="462">
        <f>IFERROR(1/I$3,1)*SUMIFS(Data!$S$3:$S$137,Data!$O$3:$O$137,I$1,Data!$P$3:$P$137,IF(RIGHT(I$2,3)="YTD","&lt;="&amp;LEFT(I$2,2)*1,I$2),Data!$K$3:$K$137,$B16)</f>
        <v>0</v>
      </c>
      <c r="J16" s="462">
        <f>IFERROR(1/J$3,1)*SUMIFS(Data!$S$3:$S$137,Data!$O$3:$O$137,J$1,Data!$P$3:$P$137,IF(RIGHT(J$2,3)="YTD","&lt;="&amp;LEFT(J$2,2)*1,J$2),Data!$K$3:$K$137,$B16)</f>
        <v>0</v>
      </c>
      <c r="K16" s="462">
        <f>IFERROR(1/K$3,1)*SUMIFS(Data!$S$3:$S$137,Data!$O$3:$O$137,K$1,Data!$P$3:$P$137,IF(RIGHT(K$2,3)="YTD","&lt;="&amp;LEFT(K$2,2)*1,K$2),Data!$K$3:$K$137,$B16)</f>
        <v>0</v>
      </c>
      <c r="L16" s="462">
        <f>IFERROR(1/L$3,1)*SUMIFS(Data!$S$3:$S$137,Data!$O$3:$O$137,L$1,Data!$P$3:$P$137,IF(RIGHT(L$2,3)="YTD","&lt;="&amp;LEFT(L$2,2)*1,L$2),Data!$K$3:$K$137,$B16)</f>
        <v>0</v>
      </c>
      <c r="M16" s="462">
        <f>IFERROR(1/M$3,1)*SUMIFS(Data!$S$3:$S$137,Data!$O$3:$O$137,M$1,Data!$P$3:$P$137,IF(RIGHT(M$2,3)="YTD","&lt;="&amp;LEFT(M$2,2)*1,M$2),Data!$K$3:$K$137,$B16)</f>
        <v>0</v>
      </c>
      <c r="N16" s="462">
        <f>SUMIFS(Data!$S$3:$S$137,Data!$O$3:$O$137,N$1,Data!$P$3:$P$137,N$2,Data!$K$3:$K$137,$B16)</f>
        <v>0</v>
      </c>
      <c r="O16" s="462">
        <f>SUMIFS(Data!$S$3:$S$137,Data!$O$3:$O$137,O$1,Data!$P$3:$P$137,O$2,Data!$K$3:$K$137,$B16)</f>
        <v>0</v>
      </c>
      <c r="P16" s="462">
        <f>SUMIFS(Data!$S$3:$S$137,Data!$O$3:$O$137,P$1,Data!$P$3:$P$137,P$2,Data!$K$3:$K$137,$B16)</f>
        <v>0</v>
      </c>
      <c r="Q16" s="462">
        <f>SUMIFS(Data!$S$3:$S$137,Data!$O$3:$O$137,Q$1,Data!$P$3:$P$137,Q$2,Data!$K$3:$K$137,$B16)</f>
        <v>0</v>
      </c>
      <c r="R16" s="462">
        <f>SUMIFS(Data!$S$3:$S$137,Data!$O$3:$O$137,R$1,Data!$P$3:$P$137,R$2,Data!$K$3:$K$137,$B16)</f>
        <v>0</v>
      </c>
      <c r="S16" s="462">
        <f>SUMIFS(Data!$S$3:$S$137,Data!$O$3:$O$137,S$1,Data!$P$3:$P$137,S$2,Data!$K$3:$K$137,$B16)</f>
        <v>0</v>
      </c>
      <c r="T16" s="462">
        <f>SUMIFS(Data!$S$3:$S$137,Data!$O$3:$O$137,T$1,Data!$P$3:$P$137,T$2,Data!$K$3:$K$137,$B16)</f>
        <v>0</v>
      </c>
      <c r="U16" s="3"/>
      <c r="V16" s="462">
        <f t="shared" si="6"/>
        <v>957.5</v>
      </c>
      <c r="W16" s="462">
        <f t="shared" ca="1" si="7"/>
        <v>0</v>
      </c>
      <c r="X16" s="462">
        <f t="shared" si="8"/>
        <v>0</v>
      </c>
      <c r="Y16" s="462">
        <f t="shared" si="9"/>
        <v>0</v>
      </c>
      <c r="Z16" s="462">
        <f t="shared" si="9"/>
        <v>0</v>
      </c>
      <c r="AA16" s="462">
        <f t="shared" si="9"/>
        <v>0</v>
      </c>
      <c r="AB16" s="462">
        <f t="shared" si="9"/>
        <v>0</v>
      </c>
      <c r="AC16" s="462">
        <f t="shared" si="9"/>
        <v>0</v>
      </c>
      <c r="AD16" s="462">
        <f t="shared" si="9"/>
        <v>0</v>
      </c>
      <c r="AE16" s="462">
        <f t="shared" si="9"/>
        <v>0</v>
      </c>
      <c r="AF16" s="462">
        <f t="shared" si="9"/>
        <v>0</v>
      </c>
      <c r="AG16" s="462"/>
      <c r="AH16" s="462">
        <f ca="1">IFERROR(1/AH$3,1)*SUMIFS(Data!$S$3:$S$137,Data!$O$3:$O$137,AH$1,Data!$P$3:$P$137,IF(RIGHT(AH$2,3)="YTD","&lt;="&amp;LEFT(AH$2,2)*1,AH$2),Data!$K$3:$K$137,$B16)</f>
        <v>0</v>
      </c>
      <c r="AI16" s="462">
        <f t="shared" ca="1" si="10"/>
        <v>0</v>
      </c>
      <c r="AJ16" s="463">
        <f t="shared" ca="1" si="11"/>
        <v>0</v>
      </c>
      <c r="AK16" s="3"/>
      <c r="AL16" s="462">
        <v>11490</v>
      </c>
      <c r="AM16" s="462">
        <v>0</v>
      </c>
      <c r="AN16" s="3"/>
      <c r="AO16" s="3"/>
      <c r="AP16" s="3"/>
      <c r="AQ16" s="3"/>
      <c r="AR16" s="3"/>
      <c r="AS16" s="3"/>
      <c r="AT16" s="3"/>
      <c r="AU16" s="3"/>
    </row>
    <row r="17" spans="1:47" ht="19.5" hidden="1" customHeight="1" x14ac:dyDescent="0.3">
      <c r="A17" s="3"/>
      <c r="B17" s="33" t="s">
        <v>538</v>
      </c>
      <c r="C17" s="191" t="s">
        <v>535</v>
      </c>
      <c r="D17" s="3"/>
      <c r="E17" s="462">
        <f t="shared" si="4"/>
        <v>44543.333333333336</v>
      </c>
      <c r="F17" s="462">
        <f ca="1">IFERROR(1/F$3,1)*SUMIFS(Data!$S$3:$S$137,Data!$O$3:$O$137,F$1,Data!$P$3:$P$137,IF(RIGHT(F$2,3)="YTD","&lt;="&amp;LEFT(F$2,2)*1,F$2),Data!$K$3:$K$137,$B17)</f>
        <v>0</v>
      </c>
      <c r="G17" s="462">
        <f t="shared" si="5"/>
        <v>0</v>
      </c>
      <c r="H17" s="3"/>
      <c r="I17" s="462">
        <f>IFERROR(1/I$3,1)*SUMIFS(Data!$S$3:$S$137,Data!$O$3:$O$137,I$1,Data!$P$3:$P$137,IF(RIGHT(I$2,3)="YTD","&lt;="&amp;LEFT(I$2,2)*1,I$2),Data!$K$3:$K$137,$B17)</f>
        <v>0</v>
      </c>
      <c r="J17" s="462">
        <f>IFERROR(1/J$3,1)*SUMIFS(Data!$S$3:$S$137,Data!$O$3:$O$137,J$1,Data!$P$3:$P$137,IF(RIGHT(J$2,3)="YTD","&lt;="&amp;LEFT(J$2,2)*1,J$2),Data!$K$3:$K$137,$B17)</f>
        <v>0</v>
      </c>
      <c r="K17" s="462">
        <f>IFERROR(1/K$3,1)*SUMIFS(Data!$S$3:$S$137,Data!$O$3:$O$137,K$1,Data!$P$3:$P$137,IF(RIGHT(K$2,3)="YTD","&lt;="&amp;LEFT(K$2,2)*1,K$2),Data!$K$3:$K$137,$B17)</f>
        <v>0</v>
      </c>
      <c r="L17" s="462">
        <f>IFERROR(1/L$3,1)*SUMIFS(Data!$S$3:$S$137,Data!$O$3:$O$137,L$1,Data!$P$3:$P$137,IF(RIGHT(L$2,3)="YTD","&lt;="&amp;LEFT(L$2,2)*1,L$2),Data!$K$3:$K$137,$B17)</f>
        <v>0</v>
      </c>
      <c r="M17" s="462">
        <f>IFERROR(1/M$3,1)*SUMIFS(Data!$S$3:$S$137,Data!$O$3:$O$137,M$1,Data!$P$3:$P$137,IF(RIGHT(M$2,3)="YTD","&lt;="&amp;LEFT(M$2,2)*1,M$2),Data!$K$3:$K$137,$B17)</f>
        <v>0</v>
      </c>
      <c r="N17" s="462">
        <f>SUMIFS(Data!$S$3:$S$137,Data!$O$3:$O$137,N$1,Data!$P$3:$P$137,N$2,Data!$K$3:$K$137,$B17)</f>
        <v>0</v>
      </c>
      <c r="O17" s="462">
        <f>SUMIFS(Data!$S$3:$S$137,Data!$O$3:$O$137,O$1,Data!$P$3:$P$137,O$2,Data!$K$3:$K$137,$B17)</f>
        <v>0</v>
      </c>
      <c r="P17" s="462">
        <f>SUMIFS(Data!$S$3:$S$137,Data!$O$3:$O$137,P$1,Data!$P$3:$P$137,P$2,Data!$K$3:$K$137,$B17)</f>
        <v>0</v>
      </c>
      <c r="Q17" s="462">
        <f>SUMIFS(Data!$S$3:$S$137,Data!$O$3:$O$137,Q$1,Data!$P$3:$P$137,Q$2,Data!$K$3:$K$137,$B17)</f>
        <v>0</v>
      </c>
      <c r="R17" s="462">
        <f>SUMIFS(Data!$S$3:$S$137,Data!$O$3:$O$137,R$1,Data!$P$3:$P$137,R$2,Data!$K$3:$K$137,$B17)</f>
        <v>0</v>
      </c>
      <c r="S17" s="462">
        <f>SUMIFS(Data!$S$3:$S$137,Data!$O$3:$O$137,S$1,Data!$P$3:$P$137,S$2,Data!$K$3:$K$137,$B17)</f>
        <v>0</v>
      </c>
      <c r="T17" s="462">
        <f>SUMIFS(Data!$S$3:$S$137,Data!$O$3:$O$137,T$1,Data!$P$3:$P$137,T$2,Data!$K$3:$K$137,$B17)</f>
        <v>0</v>
      </c>
      <c r="U17" s="3"/>
      <c r="V17" s="462">
        <f t="shared" si="6"/>
        <v>44543.333333333336</v>
      </c>
      <c r="W17" s="462">
        <f t="shared" ca="1" si="7"/>
        <v>0</v>
      </c>
      <c r="X17" s="462">
        <f t="shared" si="8"/>
        <v>0</v>
      </c>
      <c r="Y17" s="462">
        <f t="shared" si="9"/>
        <v>0</v>
      </c>
      <c r="Z17" s="462">
        <f t="shared" si="9"/>
        <v>0</v>
      </c>
      <c r="AA17" s="462">
        <f t="shared" si="9"/>
        <v>0</v>
      </c>
      <c r="AB17" s="462">
        <f t="shared" si="9"/>
        <v>0</v>
      </c>
      <c r="AC17" s="462">
        <f t="shared" si="9"/>
        <v>0</v>
      </c>
      <c r="AD17" s="462">
        <f t="shared" si="9"/>
        <v>0</v>
      </c>
      <c r="AE17" s="462">
        <f t="shared" si="9"/>
        <v>0</v>
      </c>
      <c r="AF17" s="462">
        <f t="shared" si="9"/>
        <v>0</v>
      </c>
      <c r="AG17" s="462"/>
      <c r="AH17" s="462">
        <f ca="1">IFERROR(1/AH$3,1)*SUMIFS(Data!$S$3:$S$137,Data!$O$3:$O$137,AH$1,Data!$P$3:$P$137,IF(RIGHT(AH$2,3)="YTD","&lt;="&amp;LEFT(AH$2,2)*1,AH$2),Data!$K$3:$K$137,$B17)</f>
        <v>0</v>
      </c>
      <c r="AI17" s="462">
        <f t="shared" ca="1" si="10"/>
        <v>0</v>
      </c>
      <c r="AJ17" s="463">
        <f t="shared" ca="1" si="11"/>
        <v>0</v>
      </c>
      <c r="AK17" s="3"/>
      <c r="AL17" s="462">
        <v>534520</v>
      </c>
      <c r="AM17" s="462">
        <v>0</v>
      </c>
      <c r="AN17" s="3"/>
      <c r="AO17" s="3"/>
      <c r="AP17" s="3"/>
      <c r="AQ17" s="3"/>
      <c r="AR17" s="3"/>
      <c r="AS17" s="3"/>
      <c r="AT17" s="3"/>
      <c r="AU17" s="3"/>
    </row>
    <row r="18" spans="1:47" ht="19.5" hidden="1" customHeight="1" x14ac:dyDescent="0.3">
      <c r="A18" s="3" t="s">
        <v>539</v>
      </c>
      <c r="B18" s="33" t="s">
        <v>540</v>
      </c>
      <c r="C18" s="191" t="s">
        <v>535</v>
      </c>
      <c r="D18" s="3"/>
      <c r="E18" s="462">
        <f t="shared" si="4"/>
        <v>1117.5</v>
      </c>
      <c r="F18" s="462">
        <f ca="1">IFERROR(1/F$3,1)*SUMIFS(Data!$S$3:$S$137,Data!$O$3:$O$137,F$1,Data!$P$3:$P$137,IF(RIGHT(F$2,3)="YTD","&lt;="&amp;LEFT(F$2,2)*1,F$2),Data!$K$3:$K$137,$B18)</f>
        <v>0</v>
      </c>
      <c r="G18" s="462">
        <f t="shared" si="5"/>
        <v>0</v>
      </c>
      <c r="H18" s="3"/>
      <c r="I18" s="462">
        <f>IFERROR(1/I$3,1)*SUMIFS(Data!$S$3:$S$137,Data!$O$3:$O$137,I$1,Data!$P$3:$P$137,IF(RIGHT(I$2,3)="YTD","&lt;="&amp;LEFT(I$2,2)*1,I$2),Data!$K$3:$K$137,$B18)</f>
        <v>0</v>
      </c>
      <c r="J18" s="462">
        <f>IFERROR(1/J$3,1)*SUMIFS(Data!$S$3:$S$137,Data!$O$3:$O$137,J$1,Data!$P$3:$P$137,IF(RIGHT(J$2,3)="YTD","&lt;="&amp;LEFT(J$2,2)*1,J$2),Data!$K$3:$K$137,$B18)</f>
        <v>0</v>
      </c>
      <c r="K18" s="462">
        <f>IFERROR(1/K$3,1)*SUMIFS(Data!$S$3:$S$137,Data!$O$3:$O$137,K$1,Data!$P$3:$P$137,IF(RIGHT(K$2,3)="YTD","&lt;="&amp;LEFT(K$2,2)*1,K$2),Data!$K$3:$K$137,$B18)</f>
        <v>0</v>
      </c>
      <c r="L18" s="462">
        <f>IFERROR(1/L$3,1)*SUMIFS(Data!$S$3:$S$137,Data!$O$3:$O$137,L$1,Data!$P$3:$P$137,IF(RIGHT(L$2,3)="YTD","&lt;="&amp;LEFT(L$2,2)*1,L$2),Data!$K$3:$K$137,$B18)</f>
        <v>0</v>
      </c>
      <c r="M18" s="462">
        <f>IFERROR(1/M$3,1)*SUMIFS(Data!$S$3:$S$137,Data!$O$3:$O$137,M$1,Data!$P$3:$P$137,IF(RIGHT(M$2,3)="YTD","&lt;="&amp;LEFT(M$2,2)*1,M$2),Data!$K$3:$K$137,$B18)</f>
        <v>0</v>
      </c>
      <c r="N18" s="462">
        <f>SUMIFS(Data!$S$3:$S$137,Data!$O$3:$O$137,N$1,Data!$P$3:$P$137,N$2,Data!$K$3:$K$137,$B18)</f>
        <v>0</v>
      </c>
      <c r="O18" s="462">
        <f>SUMIFS(Data!$S$3:$S$137,Data!$O$3:$O$137,O$1,Data!$P$3:$P$137,O$2,Data!$K$3:$K$137,$B18)</f>
        <v>0</v>
      </c>
      <c r="P18" s="462">
        <f>SUMIFS(Data!$S$3:$S$137,Data!$O$3:$O$137,P$1,Data!$P$3:$P$137,P$2,Data!$K$3:$K$137,$B18)</f>
        <v>0</v>
      </c>
      <c r="Q18" s="462">
        <f>SUMIFS(Data!$S$3:$S$137,Data!$O$3:$O$137,Q$1,Data!$P$3:$P$137,Q$2,Data!$K$3:$K$137,$B18)</f>
        <v>0</v>
      </c>
      <c r="R18" s="462">
        <f>SUMIFS(Data!$S$3:$S$137,Data!$O$3:$O$137,R$1,Data!$P$3:$P$137,R$2,Data!$K$3:$K$137,$B18)</f>
        <v>0</v>
      </c>
      <c r="S18" s="462">
        <f>SUMIFS(Data!$S$3:$S$137,Data!$O$3:$O$137,S$1,Data!$P$3:$P$137,S$2,Data!$K$3:$K$137,$B18)</f>
        <v>0</v>
      </c>
      <c r="T18" s="462">
        <f>SUMIFS(Data!$S$3:$S$137,Data!$O$3:$O$137,T$1,Data!$P$3:$P$137,T$2,Data!$K$3:$K$137,$B18)</f>
        <v>0</v>
      </c>
      <c r="U18" s="3"/>
      <c r="V18" s="462">
        <f t="shared" si="6"/>
        <v>1117.5</v>
      </c>
      <c r="W18" s="462">
        <f t="shared" ca="1" si="7"/>
        <v>0</v>
      </c>
      <c r="X18" s="462">
        <f t="shared" si="8"/>
        <v>0</v>
      </c>
      <c r="Y18" s="462">
        <f t="shared" si="9"/>
        <v>0</v>
      </c>
      <c r="Z18" s="462">
        <f t="shared" si="9"/>
        <v>0</v>
      </c>
      <c r="AA18" s="462">
        <f t="shared" si="9"/>
        <v>0</v>
      </c>
      <c r="AB18" s="462">
        <f t="shared" si="9"/>
        <v>0</v>
      </c>
      <c r="AC18" s="462">
        <f t="shared" si="9"/>
        <v>0</v>
      </c>
      <c r="AD18" s="462">
        <f t="shared" si="9"/>
        <v>0</v>
      </c>
      <c r="AE18" s="462">
        <f t="shared" si="9"/>
        <v>0</v>
      </c>
      <c r="AF18" s="462">
        <f t="shared" si="9"/>
        <v>0</v>
      </c>
      <c r="AG18" s="462"/>
      <c r="AH18" s="462">
        <f ca="1">IFERROR(1/AH$3,1)*SUMIFS(Data!$S$3:$S$137,Data!$O$3:$O$137,AH$1,Data!$P$3:$P$137,IF(RIGHT(AH$2,3)="YTD","&lt;="&amp;LEFT(AH$2,2)*1,AH$2),Data!$K$3:$K$137,$B18)</f>
        <v>0</v>
      </c>
      <c r="AI18" s="462">
        <f t="shared" ca="1" si="10"/>
        <v>0</v>
      </c>
      <c r="AJ18" s="463">
        <f t="shared" ca="1" si="11"/>
        <v>0</v>
      </c>
      <c r="AK18" s="3"/>
      <c r="AL18" s="462">
        <v>13410</v>
      </c>
      <c r="AM18" s="462">
        <v>0</v>
      </c>
      <c r="AN18" s="3"/>
      <c r="AO18" s="3"/>
      <c r="AP18" s="3"/>
      <c r="AQ18" s="3"/>
      <c r="AR18" s="3"/>
      <c r="AS18" s="3"/>
      <c r="AT18" s="3"/>
      <c r="AU18" s="3"/>
    </row>
    <row r="19" spans="1:47" ht="19.5" hidden="1" customHeight="1" x14ac:dyDescent="0.3">
      <c r="A19" s="3" t="s">
        <v>541</v>
      </c>
      <c r="B19" s="33" t="s">
        <v>542</v>
      </c>
      <c r="C19" s="191" t="s">
        <v>535</v>
      </c>
      <c r="D19" s="3"/>
      <c r="E19" s="462">
        <f t="shared" si="4"/>
        <v>8626.25</v>
      </c>
      <c r="F19" s="462">
        <f ca="1">IFERROR(1/F$3,1)*SUMIFS(Data!$S$3:$S$137,Data!$O$3:$O$137,F$1,Data!$P$3:$P$137,IF(RIGHT(F$2,3)="YTD","&lt;="&amp;LEFT(F$2,2)*1,F$2),Data!$K$3:$K$137,$B19)</f>
        <v>0</v>
      </c>
      <c r="G19" s="462">
        <f t="shared" si="5"/>
        <v>0</v>
      </c>
      <c r="H19" s="3"/>
      <c r="I19" s="462">
        <f>IFERROR(1/I$3,1)*SUMIFS(Data!$S$3:$S$137,Data!$O$3:$O$137,I$1,Data!$P$3:$P$137,IF(RIGHT(I$2,3)="YTD","&lt;="&amp;LEFT(I$2,2)*1,I$2),Data!$K$3:$K$137,$B19)</f>
        <v>0</v>
      </c>
      <c r="J19" s="462">
        <f>IFERROR(1/J$3,1)*SUMIFS(Data!$S$3:$S$137,Data!$O$3:$O$137,J$1,Data!$P$3:$P$137,IF(RIGHT(J$2,3)="YTD","&lt;="&amp;LEFT(J$2,2)*1,J$2),Data!$K$3:$K$137,$B19)</f>
        <v>0</v>
      </c>
      <c r="K19" s="462">
        <f>IFERROR(1/K$3,1)*SUMIFS(Data!$S$3:$S$137,Data!$O$3:$O$137,K$1,Data!$P$3:$P$137,IF(RIGHT(K$2,3)="YTD","&lt;="&amp;LEFT(K$2,2)*1,K$2),Data!$K$3:$K$137,$B19)</f>
        <v>0</v>
      </c>
      <c r="L19" s="462">
        <f>IFERROR(1/L$3,1)*SUMIFS(Data!$S$3:$S$137,Data!$O$3:$O$137,L$1,Data!$P$3:$P$137,IF(RIGHT(L$2,3)="YTD","&lt;="&amp;LEFT(L$2,2)*1,L$2),Data!$K$3:$K$137,$B19)</f>
        <v>0</v>
      </c>
      <c r="M19" s="462">
        <f>IFERROR(1/M$3,1)*SUMIFS(Data!$S$3:$S$137,Data!$O$3:$O$137,M$1,Data!$P$3:$P$137,IF(RIGHT(M$2,3)="YTD","&lt;="&amp;LEFT(M$2,2)*1,M$2),Data!$K$3:$K$137,$B19)</f>
        <v>0</v>
      </c>
      <c r="N19" s="462">
        <f>SUMIFS(Data!$S$3:$S$137,Data!$O$3:$O$137,N$1,Data!$P$3:$P$137,N$2,Data!$K$3:$K$137,$B19)</f>
        <v>0</v>
      </c>
      <c r="O19" s="462">
        <f>SUMIFS(Data!$S$3:$S$137,Data!$O$3:$O$137,O$1,Data!$P$3:$P$137,O$2,Data!$K$3:$K$137,$B19)</f>
        <v>0</v>
      </c>
      <c r="P19" s="462">
        <f>SUMIFS(Data!$S$3:$S$137,Data!$O$3:$O$137,P$1,Data!$P$3:$P$137,P$2,Data!$K$3:$K$137,$B19)</f>
        <v>0</v>
      </c>
      <c r="Q19" s="462">
        <f>SUMIFS(Data!$S$3:$S$137,Data!$O$3:$O$137,Q$1,Data!$P$3:$P$137,Q$2,Data!$K$3:$K$137,$B19)</f>
        <v>0</v>
      </c>
      <c r="R19" s="462">
        <f>SUMIFS(Data!$S$3:$S$137,Data!$O$3:$O$137,R$1,Data!$P$3:$P$137,R$2,Data!$K$3:$K$137,$B19)</f>
        <v>0</v>
      </c>
      <c r="S19" s="462">
        <f>SUMIFS(Data!$S$3:$S$137,Data!$O$3:$O$137,S$1,Data!$P$3:$P$137,S$2,Data!$K$3:$K$137,$B19)</f>
        <v>0</v>
      </c>
      <c r="T19" s="462">
        <f>SUMIFS(Data!$S$3:$S$137,Data!$O$3:$O$137,T$1,Data!$P$3:$P$137,T$2,Data!$K$3:$K$137,$B19)</f>
        <v>0</v>
      </c>
      <c r="U19" s="3"/>
      <c r="V19" s="462">
        <f t="shared" si="6"/>
        <v>8626.25</v>
      </c>
      <c r="W19" s="462">
        <f t="shared" ca="1" si="7"/>
        <v>0</v>
      </c>
      <c r="X19" s="462">
        <f t="shared" si="8"/>
        <v>0</v>
      </c>
      <c r="Y19" s="462">
        <f t="shared" si="9"/>
        <v>0</v>
      </c>
      <c r="Z19" s="462">
        <f t="shared" si="9"/>
        <v>0</v>
      </c>
      <c r="AA19" s="462">
        <f t="shared" si="9"/>
        <v>0</v>
      </c>
      <c r="AB19" s="462">
        <f t="shared" si="9"/>
        <v>0</v>
      </c>
      <c r="AC19" s="462">
        <f t="shared" si="9"/>
        <v>0</v>
      </c>
      <c r="AD19" s="462">
        <f t="shared" si="9"/>
        <v>0</v>
      </c>
      <c r="AE19" s="462">
        <f t="shared" si="9"/>
        <v>0</v>
      </c>
      <c r="AF19" s="462">
        <f t="shared" si="9"/>
        <v>0</v>
      </c>
      <c r="AG19" s="462"/>
      <c r="AH19" s="462">
        <f ca="1">IFERROR(1/AH$3,1)*SUMIFS(Data!$S$3:$S$137,Data!$O$3:$O$137,AH$1,Data!$P$3:$P$137,IF(RIGHT(AH$2,3)="YTD","&lt;="&amp;LEFT(AH$2,2)*1,AH$2),Data!$K$3:$K$137,$B19)</f>
        <v>0</v>
      </c>
      <c r="AI19" s="462">
        <f t="shared" ca="1" si="10"/>
        <v>0</v>
      </c>
      <c r="AJ19" s="463">
        <f t="shared" ca="1" si="11"/>
        <v>0</v>
      </c>
      <c r="AK19" s="3"/>
      <c r="AL19" s="462">
        <v>103515</v>
      </c>
      <c r="AM19" s="465">
        <v>0</v>
      </c>
      <c r="AN19" s="3"/>
      <c r="AO19" s="3"/>
      <c r="AP19" s="3"/>
      <c r="AQ19" s="3"/>
      <c r="AR19" s="3"/>
      <c r="AS19" s="3"/>
      <c r="AT19" s="3"/>
      <c r="AU19" s="3"/>
    </row>
    <row r="20" spans="1:47" ht="19.5" hidden="1" customHeight="1" x14ac:dyDescent="0.3">
      <c r="A20" s="33" t="s">
        <v>543</v>
      </c>
      <c r="B20" s="33" t="s">
        <v>544</v>
      </c>
      <c r="C20" s="191" t="s">
        <v>535</v>
      </c>
      <c r="D20" s="3"/>
      <c r="E20" s="462">
        <f t="shared" si="4"/>
        <v>9451.5833333333339</v>
      </c>
      <c r="F20" s="462">
        <f ca="1">IFERROR(1/F$3,1)*SUMIFS(Data!$S$3:$S$137,Data!$O$3:$O$137,F$1,Data!$P$3:$P$137,IF(RIGHT(F$2,3)="YTD","&lt;="&amp;LEFT(F$2,2)*1,F$2),Data!$K$3:$K$137,$B20)</f>
        <v>0</v>
      </c>
      <c r="G20" s="462">
        <f t="shared" si="5"/>
        <v>20833.333333333332</v>
      </c>
      <c r="H20" s="3"/>
      <c r="I20" s="462">
        <f>IFERROR(1/I$3,1)*SUMIFS(Data!$S$3:$S$137,Data!$O$3:$O$137,I$1,Data!$P$3:$P$137,IF(RIGHT(I$2,3)="YTD","&lt;="&amp;LEFT(I$2,2)*1,I$2),Data!$K$3:$K$137,$B20)</f>
        <v>0</v>
      </c>
      <c r="J20" s="462">
        <f>IFERROR(1/J$3,1)*SUMIFS(Data!$S$3:$S$137,Data!$O$3:$O$137,J$1,Data!$P$3:$P$137,IF(RIGHT(J$2,3)="YTD","&lt;="&amp;LEFT(J$2,2)*1,J$2),Data!$K$3:$K$137,$B20)</f>
        <v>0</v>
      </c>
      <c r="K20" s="462">
        <f>IFERROR(1/K$3,1)*SUMIFS(Data!$S$3:$S$137,Data!$O$3:$O$137,K$1,Data!$P$3:$P$137,IF(RIGHT(K$2,3)="YTD","&lt;="&amp;LEFT(K$2,2)*1,K$2),Data!$K$3:$K$137,$B20)</f>
        <v>0</v>
      </c>
      <c r="L20" s="462">
        <f>IFERROR(1/L$3,1)*SUMIFS(Data!$S$3:$S$137,Data!$O$3:$O$137,L$1,Data!$P$3:$P$137,IF(RIGHT(L$2,3)="YTD","&lt;="&amp;LEFT(L$2,2)*1,L$2),Data!$K$3:$K$137,$B20)</f>
        <v>0</v>
      </c>
      <c r="M20" s="462">
        <f>IFERROR(1/M$3,1)*SUMIFS(Data!$S$3:$S$137,Data!$O$3:$O$137,M$1,Data!$P$3:$P$137,IF(RIGHT(M$2,3)="YTD","&lt;="&amp;LEFT(M$2,2)*1,M$2),Data!$K$3:$K$137,$B20)</f>
        <v>0</v>
      </c>
      <c r="N20" s="462">
        <f>SUMIFS(Data!$S$3:$S$137,Data!$O$3:$O$137,N$1,Data!$P$3:$P$137,N$2,Data!$K$3:$K$137,$B20)</f>
        <v>0</v>
      </c>
      <c r="O20" s="462">
        <f>SUMIFS(Data!$S$3:$S$137,Data!$O$3:$O$137,O$1,Data!$P$3:$P$137,O$2,Data!$K$3:$K$137,$B20)</f>
        <v>0</v>
      </c>
      <c r="P20" s="462">
        <f>SUMIFS(Data!$S$3:$S$137,Data!$O$3:$O$137,P$1,Data!$P$3:$P$137,P$2,Data!$K$3:$K$137,$B20)</f>
        <v>0</v>
      </c>
      <c r="Q20" s="462">
        <f>SUMIFS(Data!$S$3:$S$137,Data!$O$3:$O$137,Q$1,Data!$P$3:$P$137,Q$2,Data!$K$3:$K$137,$B20)</f>
        <v>0</v>
      </c>
      <c r="R20" s="462">
        <f>SUMIFS(Data!$S$3:$S$137,Data!$O$3:$O$137,R$1,Data!$P$3:$P$137,R$2,Data!$K$3:$K$137,$B20)</f>
        <v>0</v>
      </c>
      <c r="S20" s="462">
        <f>SUMIFS(Data!$S$3:$S$137,Data!$O$3:$O$137,S$1,Data!$P$3:$P$137,S$2,Data!$K$3:$K$137,$B20)</f>
        <v>0</v>
      </c>
      <c r="T20" s="462">
        <f>SUMIFS(Data!$S$3:$S$137,Data!$O$3:$O$137,T$1,Data!$P$3:$P$137,T$2,Data!$K$3:$K$137,$B20)</f>
        <v>0</v>
      </c>
      <c r="U20" s="3"/>
      <c r="V20" s="462">
        <f t="shared" si="6"/>
        <v>9451.5833333333339</v>
      </c>
      <c r="W20" s="462">
        <f t="shared" ca="1" si="7"/>
        <v>0</v>
      </c>
      <c r="X20" s="462">
        <f t="shared" si="8"/>
        <v>20833.333333333332</v>
      </c>
      <c r="Y20" s="462">
        <f t="shared" si="9"/>
        <v>20833.333333333332</v>
      </c>
      <c r="Z20" s="462">
        <f t="shared" si="9"/>
        <v>20833.333333333332</v>
      </c>
      <c r="AA20" s="462">
        <f t="shared" si="9"/>
        <v>20833.333333333332</v>
      </c>
      <c r="AB20" s="462">
        <f t="shared" si="9"/>
        <v>20833.333333333332</v>
      </c>
      <c r="AC20" s="462">
        <f t="shared" si="9"/>
        <v>20833.333333333332</v>
      </c>
      <c r="AD20" s="462">
        <f t="shared" si="9"/>
        <v>20833.333333333332</v>
      </c>
      <c r="AE20" s="462">
        <f t="shared" si="9"/>
        <v>20833.333333333332</v>
      </c>
      <c r="AF20" s="462">
        <f t="shared" si="9"/>
        <v>20833.333333333332</v>
      </c>
      <c r="AG20" s="462"/>
      <c r="AH20" s="462">
        <f ca="1">IFERROR(1/AH$3,1)*SUMIFS(Data!$S$3:$S$137,Data!$O$3:$O$137,AH$1,Data!$P$3:$P$137,IF(RIGHT(AH$2,3)="YTD","&lt;="&amp;LEFT(AH$2,2)*1,AH$2),Data!$K$3:$K$137,$B20)</f>
        <v>0</v>
      </c>
      <c r="AI20" s="462">
        <f t="shared" ca="1" si="10"/>
        <v>62500</v>
      </c>
      <c r="AJ20" s="463">
        <f t="shared" ca="1" si="11"/>
        <v>-62500</v>
      </c>
      <c r="AK20" s="3"/>
      <c r="AL20" s="462">
        <v>113419</v>
      </c>
      <c r="AM20" s="465">
        <v>250000</v>
      </c>
      <c r="AN20" s="3"/>
      <c r="AO20" s="3"/>
      <c r="AP20" s="3"/>
      <c r="AQ20" s="3"/>
      <c r="AR20" s="3"/>
      <c r="AS20" s="3"/>
      <c r="AT20" s="3"/>
      <c r="AU20" s="3"/>
    </row>
    <row r="21" spans="1:47" ht="19.5" hidden="1" customHeight="1" x14ac:dyDescent="0.3">
      <c r="A21" s="33" t="s">
        <v>545</v>
      </c>
      <c r="B21" s="33" t="s">
        <v>546</v>
      </c>
      <c r="C21" s="191" t="s">
        <v>535</v>
      </c>
      <c r="D21" s="3"/>
      <c r="E21" s="462">
        <f t="shared" si="4"/>
        <v>5542.75</v>
      </c>
      <c r="F21" s="462">
        <f ca="1">IFERROR(1/F$3,1)*SUMIFS(Data!$S$3:$S$137,Data!$O$3:$O$137,F$1,Data!$P$3:$P$137,IF(RIGHT(F$2,3)="YTD","&lt;="&amp;LEFT(F$2,2)*1,F$2),Data!$K$3:$K$137,$B21)</f>
        <v>0</v>
      </c>
      <c r="G21" s="462">
        <f t="shared" si="5"/>
        <v>3750</v>
      </c>
      <c r="H21" s="3"/>
      <c r="I21" s="462">
        <f>IFERROR(1/I$3,1)*SUMIFS(Data!$S$3:$S$137,Data!$O$3:$O$137,I$1,Data!$P$3:$P$137,IF(RIGHT(I$2,3)="YTD","&lt;="&amp;LEFT(I$2,2)*1,I$2),Data!$K$3:$K$137,$B21)</f>
        <v>0</v>
      </c>
      <c r="J21" s="462">
        <f>IFERROR(1/J$3,1)*SUMIFS(Data!$S$3:$S$137,Data!$O$3:$O$137,J$1,Data!$P$3:$P$137,IF(RIGHT(J$2,3)="YTD","&lt;="&amp;LEFT(J$2,2)*1,J$2),Data!$K$3:$K$137,$B21)</f>
        <v>0</v>
      </c>
      <c r="K21" s="462">
        <f>IFERROR(1/K$3,1)*SUMIFS(Data!$S$3:$S$137,Data!$O$3:$O$137,K$1,Data!$P$3:$P$137,IF(RIGHT(K$2,3)="YTD","&lt;="&amp;LEFT(K$2,2)*1,K$2),Data!$K$3:$K$137,$B21)</f>
        <v>0</v>
      </c>
      <c r="L21" s="462">
        <f>IFERROR(1/L$3,1)*SUMIFS(Data!$S$3:$S$137,Data!$O$3:$O$137,L$1,Data!$P$3:$P$137,IF(RIGHT(L$2,3)="YTD","&lt;="&amp;LEFT(L$2,2)*1,L$2),Data!$K$3:$K$137,$B21)</f>
        <v>0</v>
      </c>
      <c r="M21" s="462">
        <f>IFERROR(1/M$3,1)*SUMIFS(Data!$S$3:$S$137,Data!$O$3:$O$137,M$1,Data!$P$3:$P$137,IF(RIGHT(M$2,3)="YTD","&lt;="&amp;LEFT(M$2,2)*1,M$2),Data!$K$3:$K$137,$B21)</f>
        <v>0</v>
      </c>
      <c r="N21" s="462">
        <f>SUMIFS(Data!$S$3:$S$137,Data!$O$3:$O$137,N$1,Data!$P$3:$P$137,N$2,Data!$K$3:$K$137,$B21)</f>
        <v>0</v>
      </c>
      <c r="O21" s="462">
        <f>SUMIFS(Data!$S$3:$S$137,Data!$O$3:$O$137,O$1,Data!$P$3:$P$137,O$2,Data!$K$3:$K$137,$B21)</f>
        <v>0</v>
      </c>
      <c r="P21" s="462">
        <f>SUMIFS(Data!$S$3:$S$137,Data!$O$3:$O$137,P$1,Data!$P$3:$P$137,P$2,Data!$K$3:$K$137,$B21)</f>
        <v>0</v>
      </c>
      <c r="Q21" s="462">
        <f>SUMIFS(Data!$S$3:$S$137,Data!$O$3:$O$137,Q$1,Data!$P$3:$P$137,Q$2,Data!$K$3:$K$137,$B21)</f>
        <v>0</v>
      </c>
      <c r="R21" s="462">
        <f>SUMIFS(Data!$S$3:$S$137,Data!$O$3:$O$137,R$1,Data!$P$3:$P$137,R$2,Data!$K$3:$K$137,$B21)</f>
        <v>0</v>
      </c>
      <c r="S21" s="462">
        <f>SUMIFS(Data!$S$3:$S$137,Data!$O$3:$O$137,S$1,Data!$P$3:$P$137,S$2,Data!$K$3:$K$137,$B21)</f>
        <v>0</v>
      </c>
      <c r="T21" s="462">
        <f>SUMIFS(Data!$S$3:$S$137,Data!$O$3:$O$137,T$1,Data!$P$3:$P$137,T$2,Data!$K$3:$K$137,$B21)</f>
        <v>0</v>
      </c>
      <c r="U21" s="3"/>
      <c r="V21" s="462">
        <f t="shared" si="6"/>
        <v>5542.75</v>
      </c>
      <c r="W21" s="462">
        <f t="shared" ca="1" si="7"/>
        <v>0</v>
      </c>
      <c r="X21" s="462">
        <f t="shared" si="8"/>
        <v>3750</v>
      </c>
      <c r="Y21" s="462">
        <f t="shared" si="9"/>
        <v>3750</v>
      </c>
      <c r="Z21" s="462">
        <f t="shared" si="9"/>
        <v>3750</v>
      </c>
      <c r="AA21" s="462">
        <f t="shared" si="9"/>
        <v>3750</v>
      </c>
      <c r="AB21" s="462">
        <f t="shared" si="9"/>
        <v>3750</v>
      </c>
      <c r="AC21" s="462">
        <f t="shared" si="9"/>
        <v>3750</v>
      </c>
      <c r="AD21" s="462">
        <f t="shared" si="9"/>
        <v>3750</v>
      </c>
      <c r="AE21" s="462">
        <f t="shared" si="9"/>
        <v>3750</v>
      </c>
      <c r="AF21" s="462">
        <f t="shared" si="9"/>
        <v>3750</v>
      </c>
      <c r="AG21" s="462"/>
      <c r="AH21" s="462">
        <f ca="1">IFERROR(1/AH$3,1)*SUMIFS(Data!$S$3:$S$137,Data!$O$3:$O$137,AH$1,Data!$P$3:$P$137,IF(RIGHT(AH$2,3)="YTD","&lt;="&amp;LEFT(AH$2,2)*1,AH$2),Data!$K$3:$K$137,$B21)</f>
        <v>0</v>
      </c>
      <c r="AI21" s="462">
        <f t="shared" ca="1" si="10"/>
        <v>11250</v>
      </c>
      <c r="AJ21" s="463">
        <f t="shared" ca="1" si="11"/>
        <v>-11250</v>
      </c>
      <c r="AK21" s="3"/>
      <c r="AL21" s="462">
        <v>66513</v>
      </c>
      <c r="AM21" s="465">
        <v>45000</v>
      </c>
      <c r="AN21" s="3"/>
      <c r="AO21" s="3"/>
      <c r="AP21" s="3"/>
      <c r="AQ21" s="3"/>
      <c r="AR21" s="3"/>
      <c r="AS21" s="3"/>
      <c r="AT21" s="3"/>
      <c r="AU21" s="3"/>
    </row>
    <row r="22" spans="1:47" ht="19.5" hidden="1" customHeight="1" x14ac:dyDescent="0.3">
      <c r="A22" s="33" t="s">
        <v>547</v>
      </c>
      <c r="B22" s="33" t="s">
        <v>548</v>
      </c>
      <c r="C22" s="191" t="s">
        <v>535</v>
      </c>
      <c r="D22" s="3"/>
      <c r="E22" s="462">
        <f t="shared" si="4"/>
        <v>304.16666666666669</v>
      </c>
      <c r="F22" s="462">
        <f ca="1">IFERROR(1/F$3,1)*SUMIFS(Data!$S$3:$S$137,Data!$O$3:$O$137,F$1,Data!$P$3:$P$137,IF(RIGHT(F$2,3)="YTD","&lt;="&amp;LEFT(F$2,2)*1,F$2),Data!$K$3:$K$137,$B22)</f>
        <v>0</v>
      </c>
      <c r="G22" s="462">
        <f t="shared" si="5"/>
        <v>20833.333333333332</v>
      </c>
      <c r="H22" s="3"/>
      <c r="I22" s="462">
        <f>IFERROR(1/I$3,1)*SUMIFS(Data!$S$3:$S$137,Data!$O$3:$O$137,I$1,Data!$P$3:$P$137,IF(RIGHT(I$2,3)="YTD","&lt;="&amp;LEFT(I$2,2)*1,I$2),Data!$K$3:$K$137,$B22)</f>
        <v>0</v>
      </c>
      <c r="J22" s="462">
        <f>IFERROR(1/J$3,1)*SUMIFS(Data!$S$3:$S$137,Data!$O$3:$O$137,J$1,Data!$P$3:$P$137,IF(RIGHT(J$2,3)="YTD","&lt;="&amp;LEFT(J$2,2)*1,J$2),Data!$K$3:$K$137,$B22)</f>
        <v>0</v>
      </c>
      <c r="K22" s="462">
        <f>IFERROR(1/K$3,1)*SUMIFS(Data!$S$3:$S$137,Data!$O$3:$O$137,K$1,Data!$P$3:$P$137,IF(RIGHT(K$2,3)="YTD","&lt;="&amp;LEFT(K$2,2)*1,K$2),Data!$K$3:$K$137,$B22)</f>
        <v>0</v>
      </c>
      <c r="L22" s="462">
        <f>IFERROR(1/L$3,1)*SUMIFS(Data!$S$3:$S$137,Data!$O$3:$O$137,L$1,Data!$P$3:$P$137,IF(RIGHT(L$2,3)="YTD","&lt;="&amp;LEFT(L$2,2)*1,L$2),Data!$K$3:$K$137,$B22)</f>
        <v>0</v>
      </c>
      <c r="M22" s="462">
        <f>IFERROR(1/M$3,1)*SUMIFS(Data!$S$3:$S$137,Data!$O$3:$O$137,M$1,Data!$P$3:$P$137,IF(RIGHT(M$2,3)="YTD","&lt;="&amp;LEFT(M$2,2)*1,M$2),Data!$K$3:$K$137,$B22)</f>
        <v>0</v>
      </c>
      <c r="N22" s="462">
        <f>SUMIFS(Data!$S$3:$S$137,Data!$O$3:$O$137,N$1,Data!$P$3:$P$137,N$2,Data!$K$3:$K$137,$B22)</f>
        <v>0</v>
      </c>
      <c r="O22" s="462">
        <f>SUMIFS(Data!$S$3:$S$137,Data!$O$3:$O$137,O$1,Data!$P$3:$P$137,O$2,Data!$K$3:$K$137,$B22)</f>
        <v>0</v>
      </c>
      <c r="P22" s="462">
        <f>SUMIFS(Data!$S$3:$S$137,Data!$O$3:$O$137,P$1,Data!$P$3:$P$137,P$2,Data!$K$3:$K$137,$B22)</f>
        <v>0</v>
      </c>
      <c r="Q22" s="462">
        <f>SUMIFS(Data!$S$3:$S$137,Data!$O$3:$O$137,Q$1,Data!$P$3:$P$137,Q$2,Data!$K$3:$K$137,$B22)</f>
        <v>0</v>
      </c>
      <c r="R22" s="462">
        <f>SUMIFS(Data!$S$3:$S$137,Data!$O$3:$O$137,R$1,Data!$P$3:$P$137,R$2,Data!$K$3:$K$137,$B22)</f>
        <v>0</v>
      </c>
      <c r="S22" s="462">
        <f>SUMIFS(Data!$S$3:$S$137,Data!$O$3:$O$137,S$1,Data!$P$3:$P$137,S$2,Data!$K$3:$K$137,$B22)</f>
        <v>0</v>
      </c>
      <c r="T22" s="462">
        <f>SUMIFS(Data!$S$3:$S$137,Data!$O$3:$O$137,T$1,Data!$P$3:$P$137,T$2,Data!$K$3:$K$137,$B22)</f>
        <v>0</v>
      </c>
      <c r="U22" s="3"/>
      <c r="V22" s="462">
        <f t="shared" si="6"/>
        <v>304.16666666666669</v>
      </c>
      <c r="W22" s="462">
        <f t="shared" ca="1" si="7"/>
        <v>0</v>
      </c>
      <c r="X22" s="462">
        <f t="shared" si="8"/>
        <v>20833.333333333332</v>
      </c>
      <c r="Y22" s="462">
        <f t="shared" si="9"/>
        <v>20833.333333333332</v>
      </c>
      <c r="Z22" s="462">
        <f t="shared" si="9"/>
        <v>20833.333333333332</v>
      </c>
      <c r="AA22" s="462">
        <f t="shared" si="9"/>
        <v>20833.333333333332</v>
      </c>
      <c r="AB22" s="462">
        <f t="shared" si="9"/>
        <v>20833.333333333332</v>
      </c>
      <c r="AC22" s="462">
        <f t="shared" si="9"/>
        <v>20833.333333333332</v>
      </c>
      <c r="AD22" s="462">
        <f t="shared" si="9"/>
        <v>20833.333333333332</v>
      </c>
      <c r="AE22" s="462">
        <f t="shared" si="9"/>
        <v>20833.333333333332</v>
      </c>
      <c r="AF22" s="462">
        <f t="shared" si="9"/>
        <v>20833.333333333332</v>
      </c>
      <c r="AG22" s="462"/>
      <c r="AH22" s="462">
        <f ca="1">IFERROR(1/AH$3,1)*SUMIFS(Data!$S$3:$S$137,Data!$O$3:$O$137,AH$1,Data!$P$3:$P$137,IF(RIGHT(AH$2,3)="YTD","&lt;="&amp;LEFT(AH$2,2)*1,AH$2),Data!$K$3:$K$137,$B22)</f>
        <v>0</v>
      </c>
      <c r="AI22" s="462">
        <f t="shared" ca="1" si="10"/>
        <v>62500</v>
      </c>
      <c r="AJ22" s="463">
        <f t="shared" ca="1" si="11"/>
        <v>-62500</v>
      </c>
      <c r="AK22" s="3"/>
      <c r="AL22" s="462">
        <v>3650</v>
      </c>
      <c r="AM22" s="462">
        <v>250000</v>
      </c>
      <c r="AN22" s="3"/>
      <c r="AO22" s="3"/>
      <c r="AP22" s="3"/>
      <c r="AQ22" s="3"/>
      <c r="AR22" s="3"/>
      <c r="AS22" s="3"/>
      <c r="AT22" s="3"/>
      <c r="AU22" s="3"/>
    </row>
    <row r="23" spans="1:47" ht="19.5" hidden="1" customHeight="1" x14ac:dyDescent="0.3">
      <c r="A23" s="3" t="s">
        <v>549</v>
      </c>
      <c r="B23" s="33" t="s">
        <v>550</v>
      </c>
      <c r="C23" s="191" t="s">
        <v>535</v>
      </c>
      <c r="D23" s="3"/>
      <c r="E23" s="462">
        <f t="shared" si="4"/>
        <v>70966</v>
      </c>
      <c r="F23" s="462">
        <f ca="1">IFERROR(1/F$3,1)*SUMIFS(Data!$S$3:$S$137,Data!$O$3:$O$137,F$1,Data!$P$3:$P$137,IF(RIGHT(F$2,3)="YTD","&lt;="&amp;LEFT(F$2,2)*1,F$2),Data!$K$3:$K$137,$B23)</f>
        <v>0</v>
      </c>
      <c r="G23" s="462">
        <f t="shared" si="5"/>
        <v>0</v>
      </c>
      <c r="H23" s="3"/>
      <c r="I23" s="462">
        <f>IFERROR(1/I$3,1)*SUMIFS(Data!$S$3:$S$137,Data!$O$3:$O$137,I$1,Data!$P$3:$P$137,IF(RIGHT(I$2,3)="YTD","&lt;="&amp;LEFT(I$2,2)*1,I$2),Data!$K$3:$K$137,$B23)</f>
        <v>0</v>
      </c>
      <c r="J23" s="462">
        <f>IFERROR(1/J$3,1)*SUMIFS(Data!$S$3:$S$137,Data!$O$3:$O$137,J$1,Data!$P$3:$P$137,IF(RIGHT(J$2,3)="YTD","&lt;="&amp;LEFT(J$2,2)*1,J$2),Data!$K$3:$K$137,$B23)</f>
        <v>0</v>
      </c>
      <c r="K23" s="462">
        <f>IFERROR(1/K$3,1)*SUMIFS(Data!$S$3:$S$137,Data!$O$3:$O$137,K$1,Data!$P$3:$P$137,IF(RIGHT(K$2,3)="YTD","&lt;="&amp;LEFT(K$2,2)*1,K$2),Data!$K$3:$K$137,$B23)</f>
        <v>0</v>
      </c>
      <c r="L23" s="462">
        <f>IFERROR(1/L$3,1)*SUMIFS(Data!$S$3:$S$137,Data!$O$3:$O$137,L$1,Data!$P$3:$P$137,IF(RIGHT(L$2,3)="YTD","&lt;="&amp;LEFT(L$2,2)*1,L$2),Data!$K$3:$K$137,$B23)</f>
        <v>0</v>
      </c>
      <c r="M23" s="462">
        <f>IFERROR(1/M$3,1)*SUMIFS(Data!$S$3:$S$137,Data!$O$3:$O$137,M$1,Data!$P$3:$P$137,IF(RIGHT(M$2,3)="YTD","&lt;="&amp;LEFT(M$2,2)*1,M$2),Data!$K$3:$K$137,$B23)</f>
        <v>0</v>
      </c>
      <c r="N23" s="462">
        <f>SUMIFS(Data!$S$3:$S$137,Data!$O$3:$O$137,N$1,Data!$P$3:$P$137,N$2,Data!$K$3:$K$137,$B23)</f>
        <v>0</v>
      </c>
      <c r="O23" s="462">
        <f>SUMIFS(Data!$S$3:$S$137,Data!$O$3:$O$137,O$1,Data!$P$3:$P$137,O$2,Data!$K$3:$K$137,$B23)</f>
        <v>0</v>
      </c>
      <c r="P23" s="462">
        <f>SUMIFS(Data!$S$3:$S$137,Data!$O$3:$O$137,P$1,Data!$P$3:$P$137,P$2,Data!$K$3:$K$137,$B23)</f>
        <v>0</v>
      </c>
      <c r="Q23" s="462">
        <f>SUMIFS(Data!$S$3:$S$137,Data!$O$3:$O$137,Q$1,Data!$P$3:$P$137,Q$2,Data!$K$3:$K$137,$B23)</f>
        <v>0</v>
      </c>
      <c r="R23" s="462">
        <f>SUMIFS(Data!$S$3:$S$137,Data!$O$3:$O$137,R$1,Data!$P$3:$P$137,R$2,Data!$K$3:$K$137,$B23)</f>
        <v>0</v>
      </c>
      <c r="S23" s="462">
        <f>SUMIFS(Data!$S$3:$S$137,Data!$O$3:$O$137,S$1,Data!$P$3:$P$137,S$2,Data!$K$3:$K$137,$B23)</f>
        <v>0</v>
      </c>
      <c r="T23" s="462">
        <f>SUMIFS(Data!$S$3:$S$137,Data!$O$3:$O$137,T$1,Data!$P$3:$P$137,T$2,Data!$K$3:$K$137,$B23)</f>
        <v>0</v>
      </c>
      <c r="U23" s="3"/>
      <c r="V23" s="462">
        <f t="shared" si="6"/>
        <v>70966</v>
      </c>
      <c r="W23" s="462">
        <f t="shared" ca="1" si="7"/>
        <v>0</v>
      </c>
      <c r="X23" s="462">
        <f t="shared" si="8"/>
        <v>0</v>
      </c>
      <c r="Y23" s="462">
        <f t="shared" si="9"/>
        <v>0</v>
      </c>
      <c r="Z23" s="462">
        <f t="shared" si="9"/>
        <v>0</v>
      </c>
      <c r="AA23" s="462">
        <f t="shared" si="9"/>
        <v>0</v>
      </c>
      <c r="AB23" s="462">
        <f t="shared" si="9"/>
        <v>0</v>
      </c>
      <c r="AC23" s="462">
        <f t="shared" si="9"/>
        <v>0</v>
      </c>
      <c r="AD23" s="462">
        <f t="shared" si="9"/>
        <v>0</v>
      </c>
      <c r="AE23" s="462">
        <f t="shared" si="9"/>
        <v>0</v>
      </c>
      <c r="AF23" s="462">
        <f t="shared" si="9"/>
        <v>0</v>
      </c>
      <c r="AG23" s="462"/>
      <c r="AH23" s="462">
        <f ca="1">IFERROR(1/AH$3,1)*SUMIFS(Data!$S$3:$S$137,Data!$O$3:$O$137,AH$1,Data!$P$3:$P$137,IF(RIGHT(AH$2,3)="YTD","&lt;="&amp;LEFT(AH$2,2)*1,AH$2),Data!$K$3:$K$137,$B23)</f>
        <v>0</v>
      </c>
      <c r="AI23" s="462">
        <f t="shared" ca="1" si="10"/>
        <v>0</v>
      </c>
      <c r="AJ23" s="463">
        <f t="shared" ca="1" si="11"/>
        <v>0</v>
      </c>
      <c r="AK23" s="3"/>
      <c r="AL23" s="462">
        <v>851592</v>
      </c>
      <c r="AM23" s="462">
        <v>0</v>
      </c>
      <c r="AN23" s="3"/>
      <c r="AO23" s="3"/>
      <c r="AP23" s="3"/>
      <c r="AQ23" s="3"/>
      <c r="AR23" s="3"/>
      <c r="AS23" s="3"/>
      <c r="AT23" s="3"/>
      <c r="AU23" s="3"/>
    </row>
    <row r="24" spans="1:47" ht="19.5" hidden="1" customHeight="1" x14ac:dyDescent="0.3">
      <c r="A24" s="3"/>
      <c r="B24" s="33" t="s">
        <v>551</v>
      </c>
      <c r="C24" s="191" t="s">
        <v>535</v>
      </c>
      <c r="D24" s="3"/>
      <c r="E24" s="462">
        <f t="shared" si="4"/>
        <v>228467.83333333334</v>
      </c>
      <c r="F24" s="462">
        <f ca="1">IFERROR(1/F$3,1)*SUMIFS(Data!$S$3:$S$137,Data!$O$3:$O$137,F$1,Data!$P$3:$P$137,IF(RIGHT(F$2,3)="YTD","&lt;="&amp;LEFT(F$2,2)*1,F$2),Data!$K$3:$K$137,$B24)</f>
        <v>0</v>
      </c>
      <c r="G24" s="462">
        <f t="shared" si="5"/>
        <v>0</v>
      </c>
      <c r="H24" s="3"/>
      <c r="I24" s="462">
        <f>IFERROR(1/I$3,1)*SUMIFS(Data!$S$3:$S$137,Data!$O$3:$O$137,I$1,Data!$P$3:$P$137,IF(RIGHT(I$2,3)="YTD","&lt;="&amp;LEFT(I$2,2)*1,I$2),Data!$K$3:$K$137,$B24)</f>
        <v>0</v>
      </c>
      <c r="J24" s="462">
        <f>IFERROR(1/J$3,1)*SUMIFS(Data!$S$3:$S$137,Data!$O$3:$O$137,J$1,Data!$P$3:$P$137,IF(RIGHT(J$2,3)="YTD","&lt;="&amp;LEFT(J$2,2)*1,J$2),Data!$K$3:$K$137,$B24)</f>
        <v>0</v>
      </c>
      <c r="K24" s="462">
        <f>IFERROR(1/K$3,1)*SUMIFS(Data!$S$3:$S$137,Data!$O$3:$O$137,K$1,Data!$P$3:$P$137,IF(RIGHT(K$2,3)="YTD","&lt;="&amp;LEFT(K$2,2)*1,K$2),Data!$K$3:$K$137,$B24)</f>
        <v>0</v>
      </c>
      <c r="L24" s="462">
        <f>IFERROR(1/L$3,1)*SUMIFS(Data!$S$3:$S$137,Data!$O$3:$O$137,L$1,Data!$P$3:$P$137,IF(RIGHT(L$2,3)="YTD","&lt;="&amp;LEFT(L$2,2)*1,L$2),Data!$K$3:$K$137,$B24)</f>
        <v>0</v>
      </c>
      <c r="M24" s="462">
        <f>IFERROR(1/M$3,1)*SUMIFS(Data!$S$3:$S$137,Data!$O$3:$O$137,M$1,Data!$P$3:$P$137,IF(RIGHT(M$2,3)="YTD","&lt;="&amp;LEFT(M$2,2)*1,M$2),Data!$K$3:$K$137,$B24)</f>
        <v>0</v>
      </c>
      <c r="N24" s="462">
        <f>SUMIFS(Data!$S$3:$S$137,Data!$O$3:$O$137,N$1,Data!$P$3:$P$137,N$2,Data!$K$3:$K$137,$B24)</f>
        <v>0</v>
      </c>
      <c r="O24" s="462">
        <f>SUMIFS(Data!$S$3:$S$137,Data!$O$3:$O$137,O$1,Data!$P$3:$P$137,O$2,Data!$K$3:$K$137,$B24)</f>
        <v>0</v>
      </c>
      <c r="P24" s="462">
        <f>SUMIFS(Data!$S$3:$S$137,Data!$O$3:$O$137,P$1,Data!$P$3:$P$137,P$2,Data!$K$3:$K$137,$B24)</f>
        <v>0</v>
      </c>
      <c r="Q24" s="462">
        <f>SUMIFS(Data!$S$3:$S$137,Data!$O$3:$O$137,Q$1,Data!$P$3:$P$137,Q$2,Data!$K$3:$K$137,$B24)</f>
        <v>0</v>
      </c>
      <c r="R24" s="462">
        <f>SUMIFS(Data!$S$3:$S$137,Data!$O$3:$O$137,R$1,Data!$P$3:$P$137,R$2,Data!$K$3:$K$137,$B24)</f>
        <v>0</v>
      </c>
      <c r="S24" s="462">
        <f>SUMIFS(Data!$S$3:$S$137,Data!$O$3:$O$137,S$1,Data!$P$3:$P$137,S$2,Data!$K$3:$K$137,$B24)</f>
        <v>0</v>
      </c>
      <c r="T24" s="462">
        <f>SUMIFS(Data!$S$3:$S$137,Data!$O$3:$O$137,T$1,Data!$P$3:$P$137,T$2,Data!$K$3:$K$137,$B24)</f>
        <v>0</v>
      </c>
      <c r="U24" s="3"/>
      <c r="V24" s="462">
        <f t="shared" si="6"/>
        <v>228467.83333333334</v>
      </c>
      <c r="W24" s="462">
        <f t="shared" ca="1" si="7"/>
        <v>0</v>
      </c>
      <c r="X24" s="462">
        <f t="shared" si="8"/>
        <v>0</v>
      </c>
      <c r="Y24" s="462">
        <f t="shared" si="9"/>
        <v>0</v>
      </c>
      <c r="Z24" s="462">
        <f t="shared" si="9"/>
        <v>0</v>
      </c>
      <c r="AA24" s="462">
        <f t="shared" si="9"/>
        <v>0</v>
      </c>
      <c r="AB24" s="462">
        <f t="shared" si="9"/>
        <v>0</v>
      </c>
      <c r="AC24" s="462">
        <f t="shared" si="9"/>
        <v>0</v>
      </c>
      <c r="AD24" s="462">
        <f t="shared" si="9"/>
        <v>0</v>
      </c>
      <c r="AE24" s="462">
        <f t="shared" si="9"/>
        <v>0</v>
      </c>
      <c r="AF24" s="462">
        <f t="shared" si="9"/>
        <v>0</v>
      </c>
      <c r="AG24" s="462"/>
      <c r="AH24" s="462">
        <f ca="1">IFERROR(1/AH$3,1)*SUMIFS(Data!$S$3:$S$137,Data!$O$3:$O$137,AH$1,Data!$P$3:$P$137,IF(RIGHT(AH$2,3)="YTD","&lt;="&amp;LEFT(AH$2,2)*1,AH$2),Data!$K$3:$K$137,$B24)</f>
        <v>0</v>
      </c>
      <c r="AI24" s="462">
        <f t="shared" ca="1" si="10"/>
        <v>0</v>
      </c>
      <c r="AJ24" s="463">
        <f t="shared" ca="1" si="11"/>
        <v>0</v>
      </c>
      <c r="AK24" s="3"/>
      <c r="AL24" s="462">
        <v>2741614</v>
      </c>
      <c r="AM24" s="462">
        <v>0</v>
      </c>
      <c r="AN24" s="3"/>
      <c r="AO24" s="3"/>
      <c r="AP24" s="3"/>
      <c r="AQ24" s="3"/>
      <c r="AR24" s="3"/>
      <c r="AS24" s="3"/>
      <c r="AT24" s="3"/>
      <c r="AU24" s="3"/>
    </row>
    <row r="25" spans="1:47" ht="19.5" hidden="1" customHeight="1" x14ac:dyDescent="0.3">
      <c r="A25" s="3"/>
      <c r="B25" s="41" t="s">
        <v>552</v>
      </c>
      <c r="C25" s="464"/>
      <c r="D25" s="3"/>
      <c r="E25" s="465"/>
      <c r="F25" s="465"/>
      <c r="G25" s="465"/>
      <c r="H25" s="3"/>
      <c r="I25" s="465">
        <f t="shared" ref="I25:T25" si="12">SUM(I15:I24)</f>
        <v>0</v>
      </c>
      <c r="J25" s="465">
        <f t="shared" si="12"/>
        <v>0</v>
      </c>
      <c r="K25" s="465">
        <f t="shared" si="12"/>
        <v>0</v>
      </c>
      <c r="L25" s="465">
        <f t="shared" si="12"/>
        <v>0</v>
      </c>
      <c r="M25" s="465">
        <f t="shared" si="12"/>
        <v>0</v>
      </c>
      <c r="N25" s="465">
        <f t="shared" si="12"/>
        <v>0</v>
      </c>
      <c r="O25" s="465">
        <f t="shared" si="12"/>
        <v>0</v>
      </c>
      <c r="P25" s="465">
        <f t="shared" si="12"/>
        <v>0</v>
      </c>
      <c r="Q25" s="465">
        <f t="shared" si="12"/>
        <v>0</v>
      </c>
      <c r="R25" s="465">
        <f t="shared" si="12"/>
        <v>0</v>
      </c>
      <c r="S25" s="465">
        <f t="shared" si="12"/>
        <v>0</v>
      </c>
      <c r="T25" s="465">
        <f t="shared" si="12"/>
        <v>0</v>
      </c>
      <c r="U25" s="465"/>
      <c r="V25" s="465">
        <f t="shared" ref="V25:AA25" si="13">SUM(V15:V24)</f>
        <v>370399.83333333337</v>
      </c>
      <c r="W25" s="465">
        <f t="shared" ca="1" si="13"/>
        <v>0</v>
      </c>
      <c r="X25" s="465">
        <f t="shared" si="13"/>
        <v>76250</v>
      </c>
      <c r="Y25" s="465">
        <f t="shared" si="13"/>
        <v>76250</v>
      </c>
      <c r="Z25" s="465">
        <f t="shared" si="13"/>
        <v>76250</v>
      </c>
      <c r="AA25" s="465">
        <f t="shared" si="13"/>
        <v>76250</v>
      </c>
      <c r="AB25" s="465"/>
      <c r="AC25" s="465"/>
      <c r="AD25" s="465"/>
      <c r="AE25" s="462">
        <f>$G25</f>
        <v>0</v>
      </c>
      <c r="AF25" s="462">
        <f>$G25</f>
        <v>0</v>
      </c>
      <c r="AG25" s="465"/>
      <c r="AH25" s="462">
        <f ca="1">SUM(AH15:AH24)</f>
        <v>0</v>
      </c>
      <c r="AI25" s="462">
        <f ca="1">SUM(AI15:AI24)</f>
        <v>228750</v>
      </c>
      <c r="AJ25" s="463">
        <f ca="1">SUM(AJ15:AJ24)</f>
        <v>-228750</v>
      </c>
      <c r="AK25" s="3"/>
      <c r="AL25" s="465">
        <f>SUM(AL15:AL24)</f>
        <v>4444798</v>
      </c>
      <c r="AM25" s="465">
        <f>SUM(AM15:AM24)</f>
        <v>915000</v>
      </c>
      <c r="AN25" s="3"/>
      <c r="AO25" s="3"/>
      <c r="AP25" s="3"/>
      <c r="AQ25" s="3"/>
      <c r="AR25" s="3"/>
      <c r="AS25" s="3"/>
      <c r="AT25" s="3"/>
      <c r="AU25" s="3"/>
    </row>
    <row r="26" spans="1:47" ht="19.5" hidden="1" customHeight="1" x14ac:dyDescent="0.3">
      <c r="A26" s="3"/>
      <c r="B26" s="466" t="s">
        <v>553</v>
      </c>
      <c r="C26" s="466" t="s">
        <v>535</v>
      </c>
      <c r="D26" s="3"/>
      <c r="E26" s="467">
        <f ca="1">AL26/12*LEFT($F$2,2)</f>
        <v>685403.5</v>
      </c>
      <c r="F26" s="467">
        <f ca="1">SUM(I26:T26)/LEFT($F$2,2)</f>
        <v>602279.96991060709</v>
      </c>
      <c r="G26" s="467">
        <f>AL26/12</f>
        <v>228467.83333333334</v>
      </c>
      <c r="H26" s="3"/>
      <c r="I26" s="467">
        <f>Reporting!C65</f>
        <v>340509.95</v>
      </c>
      <c r="J26" s="467">
        <f>Reporting!D65</f>
        <v>85704.559731821166</v>
      </c>
      <c r="K26" s="467">
        <f>Reporting!E65</f>
        <v>533231</v>
      </c>
      <c r="L26" s="467">
        <f>Reporting!F65</f>
        <v>847394.4</v>
      </c>
      <c r="M26" s="467">
        <f>Reporting!G65</f>
        <v>0</v>
      </c>
      <c r="N26" s="467">
        <f>Reporting!H65</f>
        <v>0</v>
      </c>
      <c r="O26" s="467">
        <f>Reporting!I65</f>
        <v>0</v>
      </c>
      <c r="P26" s="467">
        <f>Reporting!J65</f>
        <v>0</v>
      </c>
      <c r="Q26" s="467">
        <f>Reporting!K65</f>
        <v>0</v>
      </c>
      <c r="R26" s="467">
        <f>Reporting!L65</f>
        <v>0</v>
      </c>
      <c r="S26" s="467">
        <f>Reporting!M65</f>
        <v>0</v>
      </c>
      <c r="T26" s="467">
        <f>Reporting!N65</f>
        <v>0</v>
      </c>
      <c r="U26" s="3"/>
      <c r="V26" s="467">
        <f>E27</f>
        <v>0</v>
      </c>
      <c r="W26" s="467">
        <f>F27</f>
        <v>0</v>
      </c>
      <c r="X26" s="467">
        <f>G27</f>
        <v>0</v>
      </c>
      <c r="Y26" s="467">
        <f t="shared" ref="Y26:AF26" si="14">$G$26</f>
        <v>228467.83333333334</v>
      </c>
      <c r="Z26" s="467">
        <f t="shared" si="14"/>
        <v>228467.83333333334</v>
      </c>
      <c r="AA26" s="467">
        <f t="shared" si="14"/>
        <v>228467.83333333334</v>
      </c>
      <c r="AB26" s="467">
        <f t="shared" si="14"/>
        <v>228467.83333333334</v>
      </c>
      <c r="AC26" s="467">
        <f t="shared" si="14"/>
        <v>228467.83333333334</v>
      </c>
      <c r="AD26" s="467">
        <f t="shared" si="14"/>
        <v>228467.83333333334</v>
      </c>
      <c r="AE26" s="467">
        <f t="shared" si="14"/>
        <v>228467.83333333334</v>
      </c>
      <c r="AF26" s="467">
        <f t="shared" si="14"/>
        <v>228467.83333333334</v>
      </c>
      <c r="AG26" s="467"/>
      <c r="AH26" s="467">
        <f>SUM(I26:T26)</f>
        <v>1806839.9097318212</v>
      </c>
      <c r="AI26" s="467">
        <f ca="1">AM26/12*$C$5</f>
        <v>2210000</v>
      </c>
      <c r="AJ26" s="468">
        <f ca="1">AH26-AI26</f>
        <v>-403160.09026817884</v>
      </c>
      <c r="AK26" s="3"/>
      <c r="AL26" s="467">
        <v>2741614</v>
      </c>
      <c r="AM26" s="486">
        <v>6630000</v>
      </c>
      <c r="AN26" s="3"/>
      <c r="AO26" s="3"/>
      <c r="AP26" s="3"/>
      <c r="AQ26" s="3"/>
      <c r="AR26" s="3"/>
      <c r="AS26" s="3"/>
      <c r="AT26" s="3"/>
      <c r="AU26" s="3"/>
    </row>
    <row r="27" spans="1:47" ht="19.5" hidden="1" customHeight="1" x14ac:dyDescent="0.3">
      <c r="A27" s="3"/>
      <c r="B27" s="41"/>
      <c r="C27" s="41" t="s">
        <v>535</v>
      </c>
      <c r="D27" s="3"/>
      <c r="E27" s="465"/>
      <c r="F27" s="465"/>
      <c r="G27" s="465"/>
      <c r="H27" s="3"/>
      <c r="I27" s="465">
        <f t="shared" ref="I27:T27" si="15">I25+I26</f>
        <v>340509.95</v>
      </c>
      <c r="J27" s="465">
        <f t="shared" si="15"/>
        <v>85704.559731821166</v>
      </c>
      <c r="K27" s="465">
        <f t="shared" si="15"/>
        <v>533231</v>
      </c>
      <c r="L27" s="465">
        <f t="shared" si="15"/>
        <v>847394.4</v>
      </c>
      <c r="M27" s="465">
        <f t="shared" si="15"/>
        <v>0</v>
      </c>
      <c r="N27" s="465">
        <f t="shared" si="15"/>
        <v>0</v>
      </c>
      <c r="O27" s="465">
        <f t="shared" si="15"/>
        <v>0</v>
      </c>
      <c r="P27" s="465">
        <f t="shared" si="15"/>
        <v>0</v>
      </c>
      <c r="Q27" s="465">
        <f t="shared" si="15"/>
        <v>0</v>
      </c>
      <c r="R27" s="465">
        <f t="shared" si="15"/>
        <v>0</v>
      </c>
      <c r="S27" s="465">
        <f t="shared" si="15"/>
        <v>0</v>
      </c>
      <c r="T27" s="465">
        <f t="shared" si="15"/>
        <v>0</v>
      </c>
      <c r="U27" s="465"/>
      <c r="V27" s="465">
        <f t="shared" ref="V27:AA27" si="16">V25+V26</f>
        <v>370399.83333333337</v>
      </c>
      <c r="W27" s="465">
        <f t="shared" ca="1" si="16"/>
        <v>0</v>
      </c>
      <c r="X27" s="465">
        <f t="shared" si="16"/>
        <v>76250</v>
      </c>
      <c r="Y27" s="465">
        <f t="shared" si="16"/>
        <v>304717.83333333337</v>
      </c>
      <c r="Z27" s="465">
        <f t="shared" si="16"/>
        <v>304717.83333333337</v>
      </c>
      <c r="AA27" s="465">
        <f t="shared" si="16"/>
        <v>304717.83333333337</v>
      </c>
      <c r="AB27" s="469"/>
      <c r="AC27" s="469"/>
      <c r="AD27" s="469"/>
      <c r="AE27" s="469"/>
      <c r="AF27" s="469"/>
      <c r="AG27" s="469"/>
      <c r="AH27" s="465">
        <f>SUM(I27:K27)</f>
        <v>959445.50973182125</v>
      </c>
      <c r="AI27" s="465"/>
      <c r="AJ27" s="469"/>
      <c r="AK27" s="3"/>
      <c r="AL27" s="465">
        <f>SUM(M27:O27)</f>
        <v>0</v>
      </c>
      <c r="AM27" s="469"/>
      <c r="AN27" s="3"/>
      <c r="AO27" s="3"/>
      <c r="AP27" s="3"/>
      <c r="AQ27" s="3"/>
      <c r="AR27" s="3"/>
      <c r="AS27" s="3"/>
      <c r="AT27" s="3"/>
      <c r="AU27" s="3"/>
    </row>
    <row r="28" spans="1:47" ht="19.5" customHeight="1" x14ac:dyDescent="0.3">
      <c r="A28" s="3"/>
      <c r="B28" s="41"/>
      <c r="C28" s="41"/>
      <c r="D28" s="3"/>
      <c r="E28" s="465"/>
      <c r="F28" s="465"/>
      <c r="G28" s="465"/>
      <c r="H28" s="3"/>
      <c r="I28" s="465"/>
      <c r="J28" s="465"/>
      <c r="K28" s="465"/>
      <c r="L28" s="465"/>
      <c r="M28" s="465"/>
      <c r="N28" s="465"/>
      <c r="O28" s="465"/>
      <c r="P28" s="465"/>
      <c r="Q28" s="465"/>
      <c r="R28" s="465"/>
      <c r="S28" s="465"/>
      <c r="T28" s="465"/>
      <c r="U28" s="3"/>
      <c r="V28" s="469"/>
      <c r="W28" s="469"/>
      <c r="X28" s="469"/>
      <c r="Y28" s="469"/>
      <c r="Z28" s="469"/>
      <c r="AA28" s="469"/>
      <c r="AB28" s="469"/>
      <c r="AC28" s="469"/>
      <c r="AD28" s="469"/>
      <c r="AE28" s="469"/>
      <c r="AF28" s="469"/>
      <c r="AG28" s="469"/>
      <c r="AH28" s="465"/>
      <c r="AI28" s="465"/>
      <c r="AJ28" s="469"/>
      <c r="AK28" s="3"/>
      <c r="AL28" s="465"/>
      <c r="AM28" s="469"/>
      <c r="AN28" s="3"/>
      <c r="AO28" s="3"/>
      <c r="AP28" s="3"/>
      <c r="AQ28" s="3"/>
      <c r="AR28" s="3"/>
      <c r="AS28" s="3"/>
      <c r="AT28" s="3"/>
      <c r="AU28" s="3"/>
    </row>
    <row r="29" spans="1:47" ht="19.5" customHeight="1" x14ac:dyDescent="0.3">
      <c r="A29" s="3"/>
      <c r="B29" s="33"/>
      <c r="C29" s="3"/>
      <c r="D29" s="3"/>
      <c r="E29" s="470"/>
      <c r="F29" s="470"/>
      <c r="G29" s="471"/>
      <c r="H29" s="3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3"/>
      <c r="V29" s="471"/>
      <c r="W29" s="471"/>
      <c r="X29" s="471"/>
      <c r="Y29" s="435"/>
      <c r="Z29" s="435"/>
      <c r="AA29" s="435"/>
      <c r="AB29" s="435"/>
      <c r="AC29" s="435"/>
      <c r="AD29" s="435"/>
      <c r="AE29" s="435"/>
      <c r="AF29" s="435"/>
      <c r="AG29" s="462"/>
      <c r="AH29" s="435"/>
      <c r="AI29" s="435"/>
      <c r="AJ29" s="472"/>
      <c r="AK29" s="3"/>
      <c r="AL29" s="435"/>
      <c r="AM29" s="435"/>
      <c r="AN29" s="3"/>
      <c r="AO29" s="3"/>
      <c r="AP29" s="3"/>
      <c r="AQ29" s="3"/>
      <c r="AR29" s="3"/>
      <c r="AS29" s="3"/>
      <c r="AT29" s="3"/>
      <c r="AU29" s="3"/>
    </row>
    <row r="30" spans="1:47" ht="19.5" customHeight="1" x14ac:dyDescent="0.3">
      <c r="A30" s="3"/>
      <c r="B30" s="3"/>
      <c r="C30" s="464"/>
      <c r="D30" s="3"/>
      <c r="E30" s="441" t="s">
        <v>514</v>
      </c>
      <c r="F30" s="444" t="s">
        <v>575</v>
      </c>
      <c r="G30" s="443" t="s">
        <v>575</v>
      </c>
      <c r="H30" s="3"/>
      <c r="I30" s="444" t="str">
        <f t="shared" ref="I30:T30" si="17">TEXT(I$2,"00")&amp;" "&amp;I$1</f>
        <v>01 2022</v>
      </c>
      <c r="J30" s="444" t="str">
        <f t="shared" si="17"/>
        <v>02 2022</v>
      </c>
      <c r="K30" s="444" t="str">
        <f t="shared" si="17"/>
        <v>03 2022</v>
      </c>
      <c r="L30" s="444" t="str">
        <f t="shared" si="17"/>
        <v>04 2022</v>
      </c>
      <c r="M30" s="444" t="str">
        <f t="shared" si="17"/>
        <v>05 2022</v>
      </c>
      <c r="N30" s="444" t="str">
        <f t="shared" si="17"/>
        <v>06 2022</v>
      </c>
      <c r="O30" s="444" t="str">
        <f t="shared" si="17"/>
        <v>07 2022</v>
      </c>
      <c r="P30" s="444" t="str">
        <f t="shared" si="17"/>
        <v>08 2022</v>
      </c>
      <c r="Q30" s="444" t="str">
        <f t="shared" si="17"/>
        <v>09 2022</v>
      </c>
      <c r="R30" s="444" t="str">
        <f t="shared" si="17"/>
        <v>10 2022</v>
      </c>
      <c r="S30" s="444" t="str">
        <f t="shared" si="17"/>
        <v>11 2022</v>
      </c>
      <c r="T30" s="444" t="str">
        <f t="shared" si="17"/>
        <v>12 2022</v>
      </c>
      <c r="U30" s="3"/>
      <c r="V30" s="484" t="str">
        <f t="shared" ref="V30:AF30" si="18">TEXT(V$2,"00")&amp;" "&amp;V$1</f>
        <v>02 2022</v>
      </c>
      <c r="W30" s="484" t="str">
        <f t="shared" si="18"/>
        <v>03 2022</v>
      </c>
      <c r="X30" s="484" t="str">
        <f t="shared" si="18"/>
        <v>04 2022</v>
      </c>
      <c r="Y30" s="484" t="str">
        <f t="shared" si="18"/>
        <v>05 2022</v>
      </c>
      <c r="Z30" s="484" t="str">
        <f t="shared" si="18"/>
        <v>06 2022</v>
      </c>
      <c r="AA30" s="484" t="str">
        <f t="shared" si="18"/>
        <v>07 2022</v>
      </c>
      <c r="AB30" s="484" t="str">
        <f t="shared" si="18"/>
        <v>08 2022</v>
      </c>
      <c r="AC30" s="484" t="str">
        <f t="shared" si="18"/>
        <v>09 2022</v>
      </c>
      <c r="AD30" s="484" t="str">
        <f t="shared" si="18"/>
        <v>10 2022</v>
      </c>
      <c r="AE30" s="484" t="str">
        <f t="shared" si="18"/>
        <v>11 2022</v>
      </c>
      <c r="AF30" s="484" t="str">
        <f t="shared" si="18"/>
        <v>12 2022</v>
      </c>
      <c r="AG30" s="465"/>
      <c r="AH30" s="444" t="str">
        <f ca="1">AH$2&amp;" "&amp;AH$1</f>
        <v>3 YTD 2022</v>
      </c>
      <c r="AI30" s="450" t="str">
        <f ca="1">AI$2&amp;" "&amp;AI$1</f>
        <v>3 YTD 2022</v>
      </c>
      <c r="AJ30" s="451" t="str">
        <f ca="1">AJ$2&amp;" "&amp;AJ$1</f>
        <v>3 YTD 2022</v>
      </c>
      <c r="AK30" s="3"/>
      <c r="AL30" s="452" t="str">
        <f>AL$2&amp;" "&amp;AL$1</f>
        <v>12 YTD 2021</v>
      </c>
      <c r="AM30" s="450" t="str">
        <f>AM$2&amp;" "&amp;AM$1</f>
        <v>12 YTD 2022</v>
      </c>
      <c r="AN30" s="3"/>
      <c r="AO30" s="3"/>
      <c r="AP30" s="3"/>
      <c r="AQ30" s="3"/>
      <c r="AR30" s="3"/>
      <c r="AS30" s="3"/>
      <c r="AT30" s="3"/>
      <c r="AU30" s="3"/>
    </row>
    <row r="31" spans="1:47" ht="19.5" customHeight="1" x14ac:dyDescent="0.3">
      <c r="A31" s="3"/>
      <c r="B31" s="33"/>
      <c r="C31" s="191"/>
      <c r="D31" s="3"/>
      <c r="E31" s="441" t="s">
        <v>40</v>
      </c>
      <c r="F31" s="444" t="s">
        <v>40</v>
      </c>
      <c r="G31" s="443" t="s">
        <v>441</v>
      </c>
      <c r="H31" s="3"/>
      <c r="I31" s="446" t="s">
        <v>40</v>
      </c>
      <c r="J31" s="446" t="s">
        <v>40</v>
      </c>
      <c r="K31" s="446" t="s">
        <v>40</v>
      </c>
      <c r="L31" s="446" t="s">
        <v>40</v>
      </c>
      <c r="M31" s="444" t="s">
        <v>40</v>
      </c>
      <c r="N31" s="444" t="s">
        <v>40</v>
      </c>
      <c r="O31" s="444" t="s">
        <v>40</v>
      </c>
      <c r="P31" s="444" t="s">
        <v>40</v>
      </c>
      <c r="Q31" s="444" t="s">
        <v>40</v>
      </c>
      <c r="R31" s="444" t="s">
        <v>40</v>
      </c>
      <c r="S31" s="444" t="s">
        <v>40</v>
      </c>
      <c r="T31" s="444" t="s">
        <v>40</v>
      </c>
      <c r="U31" s="3"/>
      <c r="V31" s="448" t="s">
        <v>528</v>
      </c>
      <c r="W31" s="448" t="s">
        <v>528</v>
      </c>
      <c r="X31" s="448" t="s">
        <v>528</v>
      </c>
      <c r="Y31" s="448" t="s">
        <v>528</v>
      </c>
      <c r="Z31" s="448" t="s">
        <v>528</v>
      </c>
      <c r="AA31" s="448" t="s">
        <v>528</v>
      </c>
      <c r="AB31" s="448" t="s">
        <v>528</v>
      </c>
      <c r="AC31" s="448" t="s">
        <v>528</v>
      </c>
      <c r="AD31" s="448" t="s">
        <v>528</v>
      </c>
      <c r="AE31" s="448" t="s">
        <v>528</v>
      </c>
      <c r="AF31" s="448" t="s">
        <v>528</v>
      </c>
      <c r="AG31" s="465"/>
      <c r="AH31" s="444" t="s">
        <v>529</v>
      </c>
      <c r="AI31" s="450" t="s">
        <v>530</v>
      </c>
      <c r="AJ31" s="451" t="s">
        <v>531</v>
      </c>
      <c r="AK31" s="3"/>
      <c r="AL31" s="453" t="s">
        <v>529</v>
      </c>
      <c r="AM31" s="454" t="s">
        <v>530</v>
      </c>
      <c r="AN31" s="3"/>
      <c r="AO31" s="3"/>
      <c r="AP31" s="3"/>
      <c r="AQ31" s="3"/>
      <c r="AR31" s="3"/>
      <c r="AS31" s="3"/>
      <c r="AT31" s="3"/>
      <c r="AU31" s="3"/>
    </row>
    <row r="32" spans="1:47" ht="19.5" customHeight="1" x14ac:dyDescent="0.3">
      <c r="A32" s="3"/>
      <c r="B32" s="474" t="s">
        <v>584</v>
      </c>
      <c r="C32" s="63"/>
      <c r="D32" s="3"/>
      <c r="E32" s="456"/>
      <c r="F32" s="456"/>
      <c r="G32" s="457"/>
      <c r="H32" s="3"/>
      <c r="I32" s="457"/>
      <c r="J32" s="457"/>
      <c r="K32" s="457"/>
      <c r="L32" s="457"/>
      <c r="M32" s="457"/>
      <c r="N32" s="456"/>
      <c r="O32" s="456"/>
      <c r="P32" s="456"/>
      <c r="Q32" s="456"/>
      <c r="R32" s="456"/>
      <c r="S32" s="456"/>
      <c r="T32" s="456"/>
      <c r="U32" s="3"/>
      <c r="V32" s="485"/>
      <c r="W32" s="485"/>
      <c r="X32" s="485"/>
      <c r="Y32" s="456"/>
      <c r="Z32" s="456"/>
      <c r="AA32" s="456"/>
      <c r="AB32" s="456"/>
      <c r="AC32" s="456"/>
      <c r="AD32" s="456"/>
      <c r="AE32" s="456"/>
      <c r="AF32" s="458"/>
      <c r="AG32" s="458"/>
      <c r="AH32" s="459"/>
      <c r="AI32" s="460"/>
      <c r="AJ32" s="436"/>
      <c r="AK32" s="3"/>
      <c r="AL32" s="459"/>
      <c r="AM32" s="461"/>
      <c r="AN32" s="3"/>
      <c r="AO32" s="3"/>
      <c r="AP32" s="3"/>
      <c r="AQ32" s="3"/>
      <c r="AR32" s="3"/>
      <c r="AS32" s="3"/>
      <c r="AT32" s="3"/>
      <c r="AU32" s="3"/>
    </row>
    <row r="33" spans="1:47" ht="19.5" customHeight="1" x14ac:dyDescent="0.3">
      <c r="A33" s="33" t="s">
        <v>305</v>
      </c>
      <c r="B33" s="33" t="s">
        <v>577</v>
      </c>
      <c r="C33" s="191" t="s">
        <v>535</v>
      </c>
      <c r="D33" s="3"/>
      <c r="E33" s="462">
        <f>$AL33/E$3</f>
        <v>0</v>
      </c>
      <c r="F33" s="462">
        <f ca="1">IFERROR(1/F$3,1)*SUMIFS(Data!$AD$3:$AD$137,Data!$Y$3:$Y$137,F$1,Data!$Z$3:$Z$137,IF(RIGHT(F$2,3)="YTD","&lt;="&amp;LEFT(F$2,2)*1,F$2),Data!$K$3:$K$137,$B33)</f>
        <v>0</v>
      </c>
      <c r="G33" s="462">
        <f>AM33/12</f>
        <v>0</v>
      </c>
      <c r="H33" s="472"/>
      <c r="I33" s="462">
        <f>IFERROR(1/I$3,1)*SUMIFS(tbl_DCFC[F Montant HT],tbl_DCFC[Revenue_Year],I$1,tbl_DCFC[Revenue_Month],IF(RIGHT(I$2,3)="YTD","&lt;="&amp;LEFT(I$2,2)*1,I$2),tbl_DCFC[BU_Key],$A33)</f>
        <v>0</v>
      </c>
      <c r="J33" s="462">
        <f>IFERROR(1/J$3,1)*SUMIFS(tbl_DCFC[F Montant HT],tbl_DCFC[Revenue_Year],J$1,tbl_DCFC[Revenue_Month],IF(RIGHT(J$2,3)="YTD","&lt;="&amp;LEFT(J$2,2)*1,J$2),tbl_DCFC[BU_Key],$A33)</f>
        <v>0</v>
      </c>
      <c r="K33" s="462">
        <f>IFERROR(1/K$3,1)*SUMIFS(tbl_DCFC[F Montant HT],tbl_DCFC[Revenue_Year],K$1,tbl_DCFC[Revenue_Month],IF(RIGHT(K$2,3)="YTD","&lt;="&amp;LEFT(K$2,2)*1,K$2),tbl_DCFC[BU_Key],$A33)</f>
        <v>0</v>
      </c>
      <c r="L33" s="462">
        <f>IFERROR(1/L$3,1)*SUMIFS(tbl_DCFC[F Montant HT],tbl_DCFC[Revenue_Year],L$1,tbl_DCFC[Revenue_Month],IF(RIGHT(L$2,3)="YTD","&lt;="&amp;LEFT(L$2,2)*1,L$2),tbl_DCFC[BU_Key],$A33)</f>
        <v>0</v>
      </c>
      <c r="M33" s="462">
        <f>IFERROR(1/M$3,1)*SUMIFS(tbl_DCFC[F Montant HT],tbl_DCFC[Revenue_Year],M$1,tbl_DCFC[Revenue_Month],IF(RIGHT(M$2,3)="YTD","&lt;="&amp;LEFT(M$2,2)*1,M$2),tbl_DCFC[BU_Key],$A33)</f>
        <v>0</v>
      </c>
      <c r="N33" s="462">
        <f>IFERROR(1/N$3,1)*SUMIFS(tbl_DCFC[F Montant HT],tbl_DCFC[Revenue_Year],N$1,tbl_DCFC[Revenue_Month],IF(RIGHT(N$2,3)="YTD","&lt;="&amp;LEFT(N$2,2)*1,N$2),tbl_DCFC[BU_Key],$A33)</f>
        <v>0</v>
      </c>
      <c r="O33" s="462">
        <f>IFERROR(1/O$3,1)*SUMIFS(tbl_DCFC[F Montant HT],tbl_DCFC[Revenue_Year],O$1,tbl_DCFC[Revenue_Month],IF(RIGHT(O$2,3)="YTD","&lt;="&amp;LEFT(O$2,2)*1,O$2),tbl_DCFC[BU_Key],$A33)</f>
        <v>0</v>
      </c>
      <c r="P33" s="462">
        <f>IFERROR(1/P$3,1)*SUMIFS(tbl_DCFC[F Montant HT],tbl_DCFC[Revenue_Year],P$1,tbl_DCFC[Revenue_Month],IF(RIGHT(P$2,3)="YTD","&lt;="&amp;LEFT(P$2,2)*1,P$2),tbl_DCFC[BU_Key],$A33)</f>
        <v>0</v>
      </c>
      <c r="Q33" s="462">
        <f>IFERROR(1/Q$3,1)*SUMIFS(tbl_DCFC[F Montant HT],tbl_DCFC[Revenue_Year],Q$1,tbl_DCFC[Revenue_Month],IF(RIGHT(Q$2,3)="YTD","&lt;="&amp;LEFT(Q$2,2)*1,Q$2),tbl_DCFC[BU_Key],$A33)</f>
        <v>0</v>
      </c>
      <c r="R33" s="462">
        <f>IFERROR(1/R$3,1)*SUMIFS(tbl_DCFC[F Montant HT],tbl_DCFC[Revenue_Year],R$1,tbl_DCFC[Revenue_Month],IF(RIGHT(R$2,3)="YTD","&lt;="&amp;LEFT(R$2,2)*1,R$2),tbl_DCFC[BU_Key],$A33)</f>
        <v>0</v>
      </c>
      <c r="S33" s="462">
        <f>IFERROR(1/S$3,1)*SUMIFS(tbl_DCFC[F Montant HT],tbl_DCFC[Revenue_Year],S$1,tbl_DCFC[Revenue_Month],IF(RIGHT(S$2,3)="YTD","&lt;="&amp;LEFT(S$2,2)*1,S$2),tbl_DCFC[BU_Key],$A33)</f>
        <v>0</v>
      </c>
      <c r="T33" s="462">
        <f>IFERROR(1/T$3,1)*SUMIFS(tbl_DCFC[F Montant HT],tbl_DCFC[Revenue_Year],T$1,tbl_DCFC[Revenue_Month],IF(RIGHT(T$2,3)="YTD","&lt;="&amp;LEFT(T$2,2)*1,T$2),tbl_DCFC[BU_Key],$A33)</f>
        <v>0</v>
      </c>
      <c r="U33" s="3"/>
      <c r="V33" s="462">
        <f t="shared" ref="V33:X36" si="19">E33</f>
        <v>0</v>
      </c>
      <c r="W33" s="462">
        <f t="shared" ca="1" si="19"/>
        <v>0</v>
      </c>
      <c r="X33" s="462">
        <f t="shared" si="19"/>
        <v>0</v>
      </c>
      <c r="Y33" s="462">
        <f t="shared" ref="Y33:AF36" si="20">$G33</f>
        <v>0</v>
      </c>
      <c r="Z33" s="462">
        <f t="shared" si="20"/>
        <v>0</v>
      </c>
      <c r="AA33" s="462">
        <f t="shared" si="20"/>
        <v>0</v>
      </c>
      <c r="AB33" s="462">
        <f t="shared" si="20"/>
        <v>0</v>
      </c>
      <c r="AC33" s="462">
        <f t="shared" si="20"/>
        <v>0</v>
      </c>
      <c r="AD33" s="462">
        <f t="shared" si="20"/>
        <v>0</v>
      </c>
      <c r="AE33" s="462">
        <f t="shared" si="20"/>
        <v>0</v>
      </c>
      <c r="AF33" s="462">
        <f t="shared" si="20"/>
        <v>0</v>
      </c>
      <c r="AG33" s="462"/>
      <c r="AH33" s="462">
        <f ca="1">IFERROR(1/AH$3,1)*SUMIFS(tbl_DCFC[F Montant HT],tbl_DCFC[Revenue_Year],AH$1,tbl_DCFC[Revenue_Month],IF(RIGHT(AH$2,3)="YTD","&lt;="&amp;LEFT(AH$2,2)*1,AH$2),tbl_DCFC[BU_Key],$A33)</f>
        <v>0</v>
      </c>
      <c r="AI33" s="462">
        <f ca="1">AM33/12*$C$5</f>
        <v>0</v>
      </c>
      <c r="AJ33" s="463">
        <f ca="1">AH33-AI33</f>
        <v>0</v>
      </c>
      <c r="AK33" s="3"/>
      <c r="AL33" s="462">
        <f>IFERROR(1/AL$3,1)*SUMIFS(tbl_DCFC[F Montant HT],tbl_DCFC[Revenue_Year],AL$1,tbl_DCFC[Revenue_Month],IF(RIGHT(AL$2,3)="YTD","&lt;="&amp;LEFT(AL$2,2)*1,AL$2),tbl_DCFC[BU_Key],$A33)</f>
        <v>0</v>
      </c>
      <c r="AM33" s="462">
        <v>0</v>
      </c>
      <c r="AN33" s="3"/>
      <c r="AO33" s="3"/>
      <c r="AP33" s="3"/>
      <c r="AQ33" s="3"/>
      <c r="AR33" s="3"/>
      <c r="AS33" s="3"/>
      <c r="AT33" s="3"/>
      <c r="AU33" s="3"/>
    </row>
    <row r="34" spans="1:47" ht="19.5" customHeight="1" x14ac:dyDescent="0.3">
      <c r="A34" s="3" t="s">
        <v>578</v>
      </c>
      <c r="B34" s="33" t="s">
        <v>579</v>
      </c>
      <c r="C34" s="191" t="s">
        <v>535</v>
      </c>
      <c r="D34" s="3"/>
      <c r="E34" s="462">
        <f>$AL34/E$3</f>
        <v>0</v>
      </c>
      <c r="F34" s="462">
        <f ca="1">IFERROR(1/F$3,1)*SUMIFS(Data!$S$3:$S$137,Data!$O$3:$O$137,F$1,Data!$P$3:$P$137,IF(RIGHT(F$2,3)="YTD","&lt;="&amp;LEFT(F$2,2)*1,F$2),Data!$K$3:$K$137,$B34)</f>
        <v>0</v>
      </c>
      <c r="G34" s="462">
        <f>AM34/12</f>
        <v>0</v>
      </c>
      <c r="H34" s="3"/>
      <c r="I34" s="462">
        <f>IFERROR(1/I$3,1)*SUMIFS(tbl_DCFC[F Montant HT],tbl_DCFC[Revenue_Year],I$1,tbl_DCFC[Revenue_Month],IF(RIGHT(I$2,3)="YTD","&lt;="&amp;LEFT(I$2,2)*1,I$2),tbl_DCFC[BU_Key],$A34)</f>
        <v>0</v>
      </c>
      <c r="J34" s="462">
        <f>IFERROR(1/J$3,1)*SUMIFS(tbl_DCFC[F Montant HT],tbl_DCFC[Revenue_Year],J$1,tbl_DCFC[Revenue_Month],IF(RIGHT(J$2,3)="YTD","&lt;="&amp;LEFT(J$2,2)*1,J$2),tbl_DCFC[BU_Key],$A34)</f>
        <v>0</v>
      </c>
      <c r="K34" s="462">
        <f>IFERROR(1/K$3,1)*SUMIFS(tbl_DCFC[F Montant HT],tbl_DCFC[Revenue_Year],K$1,tbl_DCFC[Revenue_Month],IF(RIGHT(K$2,3)="YTD","&lt;="&amp;LEFT(K$2,2)*1,K$2),tbl_DCFC[BU_Key],$A34)</f>
        <v>0</v>
      </c>
      <c r="L34" s="462">
        <f>IFERROR(1/L$3,1)*SUMIFS(tbl_DCFC[F Montant HT],tbl_DCFC[Revenue_Year],L$1,tbl_DCFC[Revenue_Month],IF(RIGHT(L$2,3)="YTD","&lt;="&amp;LEFT(L$2,2)*1,L$2),tbl_DCFC[BU_Key],$A34)</f>
        <v>0</v>
      </c>
      <c r="M34" s="462">
        <f>IFERROR(1/M$3,1)*SUMIFS(tbl_DCFC[F Montant HT],tbl_DCFC[Revenue_Year],M$1,tbl_DCFC[Revenue_Month],IF(RIGHT(M$2,3)="YTD","&lt;="&amp;LEFT(M$2,2)*1,M$2),tbl_DCFC[BU_Key],$A34)</f>
        <v>0</v>
      </c>
      <c r="N34" s="462">
        <f>IFERROR(1/N$3,1)*SUMIFS(tbl_DCFC[F Montant HT],tbl_DCFC[Revenue_Year],N$1,tbl_DCFC[Revenue_Month],IF(RIGHT(N$2,3)="YTD","&lt;="&amp;LEFT(N$2,2)*1,N$2),tbl_DCFC[BU_Key],$A34)</f>
        <v>0</v>
      </c>
      <c r="O34" s="462">
        <f>IFERROR(1/O$3,1)*SUMIFS(tbl_DCFC[F Montant HT],tbl_DCFC[Revenue_Year],O$1,tbl_DCFC[Revenue_Month],IF(RIGHT(O$2,3)="YTD","&lt;="&amp;LEFT(O$2,2)*1,O$2),tbl_DCFC[BU_Key],$A34)</f>
        <v>0</v>
      </c>
      <c r="P34" s="462">
        <f>IFERROR(1/P$3,1)*SUMIFS(tbl_DCFC[F Montant HT],tbl_DCFC[Revenue_Year],P$1,tbl_DCFC[Revenue_Month],IF(RIGHT(P$2,3)="YTD","&lt;="&amp;LEFT(P$2,2)*1,P$2),tbl_DCFC[BU_Key],$A34)</f>
        <v>0</v>
      </c>
      <c r="Q34" s="462">
        <f>IFERROR(1/Q$3,1)*SUMIFS(tbl_DCFC[F Montant HT],tbl_DCFC[Revenue_Year],Q$1,tbl_DCFC[Revenue_Month],IF(RIGHT(Q$2,3)="YTD","&lt;="&amp;LEFT(Q$2,2)*1,Q$2),tbl_DCFC[BU_Key],$A34)</f>
        <v>0</v>
      </c>
      <c r="R34" s="462">
        <f>IFERROR(1/R$3,1)*SUMIFS(tbl_DCFC[F Montant HT],tbl_DCFC[Revenue_Year],R$1,tbl_DCFC[Revenue_Month],IF(RIGHT(R$2,3)="YTD","&lt;="&amp;LEFT(R$2,2)*1,R$2),tbl_DCFC[BU_Key],$A34)</f>
        <v>0</v>
      </c>
      <c r="S34" s="462">
        <f>IFERROR(1/S$3,1)*SUMIFS(tbl_DCFC[F Montant HT],tbl_DCFC[Revenue_Year],S$1,tbl_DCFC[Revenue_Month],IF(RIGHT(S$2,3)="YTD","&lt;="&amp;LEFT(S$2,2)*1,S$2),tbl_DCFC[BU_Key],$A34)</f>
        <v>0</v>
      </c>
      <c r="T34" s="462">
        <f>IFERROR(1/T$3,1)*SUMIFS(tbl_DCFC[F Montant HT],tbl_DCFC[Revenue_Year],T$1,tbl_DCFC[Revenue_Month],IF(RIGHT(T$2,3)="YTD","&lt;="&amp;LEFT(T$2,2)*1,T$2),tbl_DCFC[BU_Key],$A34)</f>
        <v>0</v>
      </c>
      <c r="U34" s="3"/>
      <c r="V34" s="462">
        <f t="shared" si="19"/>
        <v>0</v>
      </c>
      <c r="W34" s="462">
        <f t="shared" ca="1" si="19"/>
        <v>0</v>
      </c>
      <c r="X34" s="462">
        <f t="shared" si="19"/>
        <v>0</v>
      </c>
      <c r="Y34" s="462">
        <f t="shared" si="20"/>
        <v>0</v>
      </c>
      <c r="Z34" s="462">
        <f t="shared" si="20"/>
        <v>0</v>
      </c>
      <c r="AA34" s="462">
        <f t="shared" si="20"/>
        <v>0</v>
      </c>
      <c r="AB34" s="462">
        <f t="shared" si="20"/>
        <v>0</v>
      </c>
      <c r="AC34" s="462">
        <f t="shared" si="20"/>
        <v>0</v>
      </c>
      <c r="AD34" s="462">
        <f t="shared" si="20"/>
        <v>0</v>
      </c>
      <c r="AE34" s="462">
        <f t="shared" si="20"/>
        <v>0</v>
      </c>
      <c r="AF34" s="462">
        <f t="shared" si="20"/>
        <v>0</v>
      </c>
      <c r="AG34" s="462"/>
      <c r="AH34" s="462">
        <f ca="1">IFERROR(1/AH$3,1)*SUMIFS(tbl_DCFC[F Montant HT],tbl_DCFC[Revenue_Year],AH$1,tbl_DCFC[Revenue_Month],IF(RIGHT(AH$2,3)="YTD","&lt;="&amp;LEFT(AH$2,2)*1,AH$2),tbl_DCFC[BU_Key],$A34)</f>
        <v>0</v>
      </c>
      <c r="AI34" s="462">
        <f ca="1">AM34/12*LEFT(AI$2,2)*1</f>
        <v>0</v>
      </c>
      <c r="AJ34" s="463">
        <f ca="1">AH34-AI34</f>
        <v>0</v>
      </c>
      <c r="AK34" s="3"/>
      <c r="AL34" s="462">
        <f>IFERROR(1/AL$3,1)*SUMIFS(tbl_DCFC[F Montant HT],tbl_DCFC[Revenue_Year],AL$1,tbl_DCFC[Revenue_Month],IF(RIGHT(AL$2,3)="YTD","&lt;="&amp;LEFT(AL$2,2)*1,AL$2),tbl_DCFC[BU_Key],$A34)</f>
        <v>0</v>
      </c>
      <c r="AM34" s="462">
        <v>0</v>
      </c>
      <c r="AN34" s="3"/>
      <c r="AO34" s="3"/>
      <c r="AP34" s="3"/>
      <c r="AQ34" s="3"/>
      <c r="AR34" s="3"/>
      <c r="AS34" s="3"/>
      <c r="AT34" s="3"/>
      <c r="AU34" s="3"/>
    </row>
    <row r="35" spans="1:47" ht="19.5" customHeight="1" x14ac:dyDescent="0.3">
      <c r="A35" s="33" t="s">
        <v>580</v>
      </c>
      <c r="B35" s="33" t="s">
        <v>581</v>
      </c>
      <c r="C35" s="191" t="s">
        <v>535</v>
      </c>
      <c r="D35" s="3"/>
      <c r="E35" s="462">
        <f>$AL35/E$3</f>
        <v>0</v>
      </c>
      <c r="F35" s="462">
        <f ca="1">IFERROR(1/F$3,1)*SUMIFS(Data!$S$3:$S$137,Data!$O$3:$O$137,F$1,Data!$P$3:$P$137,IF(RIGHT(F$2,3)="YTD","&lt;="&amp;LEFT(F$2,2)*1,F$2),Data!$K$3:$K$137,$B35)</f>
        <v>0</v>
      </c>
      <c r="G35" s="462">
        <f>AM35/12</f>
        <v>58333.333333333336</v>
      </c>
      <c r="H35" s="3"/>
      <c r="I35" s="462">
        <f>IFERROR(1/I$3,1)*SUMIFS(tbl_DCFC[F Montant HT],tbl_DCFC[Revenue_Year],I$1,tbl_DCFC[Revenue_Month],IF(RIGHT(I$2,3)="YTD","&lt;="&amp;LEFT(I$2,2)*1,I$2),tbl_DCFC[BU_Key],$A35)</f>
        <v>0</v>
      </c>
      <c r="J35" s="462">
        <f>IFERROR(1/J$3,1)*SUMIFS(tbl_DCFC[F Montant HT],tbl_DCFC[Revenue_Year],J$1,tbl_DCFC[Revenue_Month],IF(RIGHT(J$2,3)="YTD","&lt;="&amp;LEFT(J$2,2)*1,J$2),tbl_DCFC[BU_Key],$A35)</f>
        <v>0</v>
      </c>
      <c r="K35" s="462">
        <f>IFERROR(1/K$3,1)*SUMIFS(tbl_DCFC[F Montant HT],tbl_DCFC[Revenue_Year],K$1,tbl_DCFC[Revenue_Month],IF(RIGHT(K$2,3)="YTD","&lt;="&amp;LEFT(K$2,2)*1,K$2),tbl_DCFC[BU_Key],$A35)</f>
        <v>0</v>
      </c>
      <c r="L35" s="462">
        <f>IFERROR(1/L$3,1)*SUMIFS(tbl_DCFC[F Montant HT],tbl_DCFC[Revenue_Year],L$1,tbl_DCFC[Revenue_Month],IF(RIGHT(L$2,3)="YTD","&lt;="&amp;LEFT(L$2,2)*1,L$2),tbl_DCFC[BU_Key],$A35)</f>
        <v>0</v>
      </c>
      <c r="M35" s="462">
        <f>IFERROR(1/M$3,1)*SUMIFS(tbl_DCFC[F Montant HT],tbl_DCFC[Revenue_Year],M$1,tbl_DCFC[Revenue_Month],IF(RIGHT(M$2,3)="YTD","&lt;="&amp;LEFT(M$2,2)*1,M$2),tbl_DCFC[BU_Key],$A35)</f>
        <v>0</v>
      </c>
      <c r="N35" s="462">
        <f>IFERROR(1/N$3,1)*SUMIFS(tbl_DCFC[F Montant HT],tbl_DCFC[Revenue_Year],N$1,tbl_DCFC[Revenue_Month],IF(RIGHT(N$2,3)="YTD","&lt;="&amp;LEFT(N$2,2)*1,N$2),tbl_DCFC[BU_Key],$A35)</f>
        <v>0</v>
      </c>
      <c r="O35" s="462">
        <f>IFERROR(1/O$3,1)*SUMIFS(tbl_DCFC[F Montant HT],tbl_DCFC[Revenue_Year],O$1,tbl_DCFC[Revenue_Month],IF(RIGHT(O$2,3)="YTD","&lt;="&amp;LEFT(O$2,2)*1,O$2),tbl_DCFC[BU_Key],$A35)</f>
        <v>0</v>
      </c>
      <c r="P35" s="462">
        <f>IFERROR(1/P$3,1)*SUMIFS(tbl_DCFC[F Montant HT],tbl_DCFC[Revenue_Year],P$1,tbl_DCFC[Revenue_Month],IF(RIGHT(P$2,3)="YTD","&lt;="&amp;LEFT(P$2,2)*1,P$2),tbl_DCFC[BU_Key],$A35)</f>
        <v>0</v>
      </c>
      <c r="Q35" s="462">
        <f>IFERROR(1/Q$3,1)*SUMIFS(tbl_DCFC[F Montant HT],tbl_DCFC[Revenue_Year],Q$1,tbl_DCFC[Revenue_Month],IF(RIGHT(Q$2,3)="YTD","&lt;="&amp;LEFT(Q$2,2)*1,Q$2),tbl_DCFC[BU_Key],$A35)</f>
        <v>0</v>
      </c>
      <c r="R35" s="462">
        <f>IFERROR(1/R$3,1)*SUMIFS(tbl_DCFC[F Montant HT],tbl_DCFC[Revenue_Year],R$1,tbl_DCFC[Revenue_Month],IF(RIGHT(R$2,3)="YTD","&lt;="&amp;LEFT(R$2,2)*1,R$2),tbl_DCFC[BU_Key],$A35)</f>
        <v>0</v>
      </c>
      <c r="S35" s="462">
        <f>IFERROR(1/S$3,1)*SUMIFS(tbl_DCFC[F Montant HT],tbl_DCFC[Revenue_Year],S$1,tbl_DCFC[Revenue_Month],IF(RIGHT(S$2,3)="YTD","&lt;="&amp;LEFT(S$2,2)*1,S$2),tbl_DCFC[BU_Key],$A35)</f>
        <v>0</v>
      </c>
      <c r="T35" s="462">
        <f>IFERROR(1/T$3,1)*SUMIFS(tbl_DCFC[F Montant HT],tbl_DCFC[Revenue_Year],T$1,tbl_DCFC[Revenue_Month],IF(RIGHT(T$2,3)="YTD","&lt;="&amp;LEFT(T$2,2)*1,T$2),tbl_DCFC[BU_Key],$A35)</f>
        <v>0</v>
      </c>
      <c r="U35" s="3"/>
      <c r="V35" s="462">
        <f t="shared" si="19"/>
        <v>0</v>
      </c>
      <c r="W35" s="462">
        <f t="shared" ca="1" si="19"/>
        <v>0</v>
      </c>
      <c r="X35" s="462">
        <f t="shared" si="19"/>
        <v>58333.333333333336</v>
      </c>
      <c r="Y35" s="462">
        <f t="shared" si="20"/>
        <v>58333.333333333336</v>
      </c>
      <c r="Z35" s="462">
        <f t="shared" si="20"/>
        <v>58333.333333333336</v>
      </c>
      <c r="AA35" s="462">
        <f t="shared" si="20"/>
        <v>58333.333333333336</v>
      </c>
      <c r="AB35" s="462">
        <f t="shared" si="20"/>
        <v>58333.333333333336</v>
      </c>
      <c r="AC35" s="462">
        <f t="shared" si="20"/>
        <v>58333.333333333336</v>
      </c>
      <c r="AD35" s="462">
        <f t="shared" si="20"/>
        <v>58333.333333333336</v>
      </c>
      <c r="AE35" s="462">
        <f t="shared" si="20"/>
        <v>58333.333333333336</v>
      </c>
      <c r="AF35" s="462">
        <f t="shared" si="20"/>
        <v>58333.333333333336</v>
      </c>
      <c r="AG35" s="462"/>
      <c r="AH35" s="462">
        <f ca="1">IFERROR(1/AH$3,1)*SUMIFS(tbl_DCFC[F Montant HT],tbl_DCFC[Revenue_Year],AH$1,tbl_DCFC[Revenue_Month],IF(RIGHT(AH$2,3)="YTD","&lt;="&amp;LEFT(AH$2,2)*1,AH$2),tbl_DCFC[BU_Key],$A35)</f>
        <v>0</v>
      </c>
      <c r="AI35" s="462">
        <f ca="1">AM35/12*LEFT(AI$2,2)*1</f>
        <v>175000</v>
      </c>
      <c r="AJ35" s="463">
        <f ca="1">AH35-AI35</f>
        <v>-175000</v>
      </c>
      <c r="AK35" s="3"/>
      <c r="AL35" s="462">
        <f>IFERROR(1/AL$3,1)*SUMIFS(tbl_DCFC[F Montant HT],tbl_DCFC[Revenue_Year],AL$1,tbl_DCFC[Revenue_Month],IF(RIGHT(AL$2,3)="YTD","&lt;="&amp;LEFT(AL$2,2)*1,AL$2),tbl_DCFC[BU_Key],$A35)</f>
        <v>0</v>
      </c>
      <c r="AM35" s="462">
        <v>700000</v>
      </c>
      <c r="AN35" s="3"/>
      <c r="AO35" s="3"/>
      <c r="AP35" s="3"/>
      <c r="AQ35" s="3"/>
      <c r="AR35" s="3"/>
      <c r="AS35" s="3"/>
      <c r="AT35" s="3"/>
      <c r="AU35" s="3"/>
    </row>
    <row r="36" spans="1:47" ht="19.5" customHeight="1" x14ac:dyDescent="0.3">
      <c r="A36" s="41" t="s">
        <v>582</v>
      </c>
      <c r="B36" s="33" t="s">
        <v>458</v>
      </c>
      <c r="C36" s="63"/>
      <c r="D36" s="3"/>
      <c r="E36" s="462">
        <f>$AL36/E$3</f>
        <v>0</v>
      </c>
      <c r="F36" s="462">
        <f ca="1">IFERROR(1/F$3,1)*SUMIFS(Data!$S$3:$S$137,Data!$O$3:$O$137,F$1,Data!$P$3:$P$137,IF(RIGHT(F$2,3)="YTD","&lt;="&amp;LEFT(F$2,2)*1,F$2),Data!$K$3:$K$137,$B36)</f>
        <v>0</v>
      </c>
      <c r="G36" s="462">
        <f>AM36/12</f>
        <v>0</v>
      </c>
      <c r="H36" s="3"/>
      <c r="I36" s="462">
        <f>IFERROR(1/I$3,1)*SUMIFS(tbl_DCFC[F Montant HT],tbl_DCFC[Revenue_Year],I$1,tbl_DCFC[Revenue_Month],IF(RIGHT(I$2,3)="YTD","&lt;="&amp;LEFT(I$2,2)*1,I$2),tbl_DCFC[BU_Key],$A36)</f>
        <v>0</v>
      </c>
      <c r="J36" s="462">
        <f>IFERROR(1/J$3,1)*SUMIFS(tbl_DCFC[F Montant HT],tbl_DCFC[Revenue_Year],J$1,tbl_DCFC[Revenue_Month],IF(RIGHT(J$2,3)="YTD","&lt;="&amp;LEFT(J$2,2)*1,J$2),tbl_DCFC[BU_Key],$A36)</f>
        <v>0</v>
      </c>
      <c r="K36" s="462">
        <f>IFERROR(1/K$3,1)*SUMIFS(tbl_DCFC[F Montant HT],tbl_DCFC[Revenue_Year],K$1,tbl_DCFC[Revenue_Month],IF(RIGHT(K$2,3)="YTD","&lt;="&amp;LEFT(K$2,2)*1,K$2),tbl_DCFC[BU_Key],$A36)</f>
        <v>0</v>
      </c>
      <c r="L36" s="462">
        <f>IFERROR(1/L$3,1)*SUMIFS(tbl_DCFC[F Montant HT],tbl_DCFC[Revenue_Year],L$1,tbl_DCFC[Revenue_Month],IF(RIGHT(L$2,3)="YTD","&lt;="&amp;LEFT(L$2,2)*1,L$2),tbl_DCFC[BU_Key],$A36)</f>
        <v>0</v>
      </c>
      <c r="M36" s="462">
        <f>IFERROR(1/M$3,1)*SUMIFS(tbl_DCFC[F Montant HT],tbl_DCFC[Revenue_Year],M$1,tbl_DCFC[Revenue_Month],IF(RIGHT(M$2,3)="YTD","&lt;="&amp;LEFT(M$2,2)*1,M$2),tbl_DCFC[BU_Key],$A36)</f>
        <v>0</v>
      </c>
      <c r="N36" s="462">
        <f>IFERROR(1/N$3,1)*SUMIFS(tbl_DCFC[F Montant HT],tbl_DCFC[Revenue_Year],N$1,tbl_DCFC[Revenue_Month],IF(RIGHT(N$2,3)="YTD","&lt;="&amp;LEFT(N$2,2)*1,N$2),tbl_DCFC[BU_Key],$A36)</f>
        <v>0</v>
      </c>
      <c r="O36" s="462">
        <f>IFERROR(1/O$3,1)*SUMIFS(tbl_DCFC[F Montant HT],tbl_DCFC[Revenue_Year],O$1,tbl_DCFC[Revenue_Month],IF(RIGHT(O$2,3)="YTD","&lt;="&amp;LEFT(O$2,2)*1,O$2),tbl_DCFC[BU_Key],$A36)</f>
        <v>0</v>
      </c>
      <c r="P36" s="462">
        <f>IFERROR(1/P$3,1)*SUMIFS(tbl_DCFC[F Montant HT],tbl_DCFC[Revenue_Year],P$1,tbl_DCFC[Revenue_Month],IF(RIGHT(P$2,3)="YTD","&lt;="&amp;LEFT(P$2,2)*1,P$2),tbl_DCFC[BU_Key],$A36)</f>
        <v>0</v>
      </c>
      <c r="Q36" s="462">
        <f>IFERROR(1/Q$3,1)*SUMIFS(tbl_DCFC[F Montant HT],tbl_DCFC[Revenue_Year],Q$1,tbl_DCFC[Revenue_Month],IF(RIGHT(Q$2,3)="YTD","&lt;="&amp;LEFT(Q$2,2)*1,Q$2),tbl_DCFC[BU_Key],$A36)</f>
        <v>0</v>
      </c>
      <c r="R36" s="462">
        <f>IFERROR(1/R$3,1)*SUMIFS(tbl_DCFC[F Montant HT],tbl_DCFC[Revenue_Year],R$1,tbl_DCFC[Revenue_Month],IF(RIGHT(R$2,3)="YTD","&lt;="&amp;LEFT(R$2,2)*1,R$2),tbl_DCFC[BU_Key],$A36)</f>
        <v>0</v>
      </c>
      <c r="S36" s="462">
        <f>IFERROR(1/S$3,1)*SUMIFS(tbl_DCFC[F Montant HT],tbl_DCFC[Revenue_Year],S$1,tbl_DCFC[Revenue_Month],IF(RIGHT(S$2,3)="YTD","&lt;="&amp;LEFT(S$2,2)*1,S$2),tbl_DCFC[BU_Key],$A36)</f>
        <v>0</v>
      </c>
      <c r="T36" s="462">
        <f>IFERROR(1/T$3,1)*SUMIFS(tbl_DCFC[F Montant HT],tbl_DCFC[Revenue_Year],T$1,tbl_DCFC[Revenue_Month],IF(RIGHT(T$2,3)="YTD","&lt;="&amp;LEFT(T$2,2)*1,T$2),tbl_DCFC[BU_Key],$A36)</f>
        <v>0</v>
      </c>
      <c r="U36" s="3"/>
      <c r="V36" s="462">
        <f t="shared" si="19"/>
        <v>0</v>
      </c>
      <c r="W36" s="462">
        <f t="shared" ca="1" si="19"/>
        <v>0</v>
      </c>
      <c r="X36" s="462">
        <f t="shared" si="19"/>
        <v>0</v>
      </c>
      <c r="Y36" s="462">
        <f t="shared" si="20"/>
        <v>0</v>
      </c>
      <c r="Z36" s="462">
        <f t="shared" si="20"/>
        <v>0</v>
      </c>
      <c r="AA36" s="462">
        <f t="shared" si="20"/>
        <v>0</v>
      </c>
      <c r="AB36" s="462">
        <f t="shared" si="20"/>
        <v>0</v>
      </c>
      <c r="AC36" s="462">
        <f t="shared" si="20"/>
        <v>0</v>
      </c>
      <c r="AD36" s="462">
        <f t="shared" si="20"/>
        <v>0</v>
      </c>
      <c r="AE36" s="462">
        <f t="shared" si="20"/>
        <v>0</v>
      </c>
      <c r="AF36" s="462">
        <f t="shared" si="20"/>
        <v>0</v>
      </c>
      <c r="AG36" s="462"/>
      <c r="AH36" s="462">
        <f ca="1">IFERROR(1/AH$3,1)*SUMIFS(tbl_DCFC[F Montant HT],tbl_DCFC[Revenue_Year],AH$1,tbl_DCFC[Revenue_Month],IF(RIGHT(AH$2,3)="YTD","&lt;="&amp;LEFT(AH$2,2)*1,AH$2),tbl_DCFC[BU_Key],$A36)</f>
        <v>0</v>
      </c>
      <c r="AI36" s="462">
        <f ca="1">AM36/12*LEFT(AI$2,2)*1</f>
        <v>0</v>
      </c>
      <c r="AJ36" s="463">
        <f ca="1">AH36-AI36</f>
        <v>0</v>
      </c>
      <c r="AK36" s="3"/>
      <c r="AL36" s="462">
        <f>IFERROR(1/AL$3,1)*SUMIFS(tbl_DCFC[F Montant HT],tbl_DCFC[Revenue_Year],AL$1,tbl_DCFC[Revenue_Month],IF(RIGHT(AL$2,3)="YTD","&lt;="&amp;LEFT(AL$2,2)*1,AL$2),tbl_DCFC[BU_Key],$A36)</f>
        <v>0</v>
      </c>
      <c r="AM36" s="465">
        <v>0</v>
      </c>
      <c r="AN36" s="3"/>
      <c r="AO36" s="3"/>
      <c r="AP36" s="3"/>
      <c r="AQ36" s="3"/>
      <c r="AR36" s="3"/>
      <c r="AS36" s="3"/>
      <c r="AT36" s="3"/>
      <c r="AU36" s="3"/>
    </row>
    <row r="37" spans="1:47" ht="19.5" customHeight="1" x14ac:dyDescent="0.3">
      <c r="A37" s="3"/>
      <c r="B37" s="455"/>
      <c r="C37" s="63"/>
      <c r="D37" s="3"/>
      <c r="E37" s="456"/>
      <c r="F37" s="456"/>
      <c r="G37" s="457"/>
      <c r="H37" s="3"/>
      <c r="I37" s="457"/>
      <c r="J37" s="457"/>
      <c r="K37" s="457"/>
      <c r="L37" s="457"/>
      <c r="M37" s="457"/>
      <c r="N37" s="456"/>
      <c r="O37" s="456"/>
      <c r="P37" s="456"/>
      <c r="Q37" s="456"/>
      <c r="R37" s="456"/>
      <c r="S37" s="456"/>
      <c r="T37" s="456"/>
      <c r="U37" s="3"/>
      <c r="V37" s="485"/>
      <c r="W37" s="485"/>
      <c r="X37" s="485"/>
      <c r="Y37" s="456"/>
      <c r="Z37" s="456"/>
      <c r="AA37" s="456"/>
      <c r="AB37" s="456"/>
      <c r="AC37" s="456"/>
      <c r="AD37" s="456"/>
      <c r="AE37" s="456"/>
      <c r="AF37" s="458"/>
      <c r="AG37" s="458"/>
      <c r="AH37" s="459"/>
      <c r="AI37" s="460"/>
      <c r="AJ37" s="436"/>
      <c r="AK37" s="3"/>
      <c r="AL37" s="459"/>
      <c r="AM37" s="461"/>
      <c r="AN37" s="3"/>
      <c r="AO37" s="3"/>
      <c r="AP37" s="3"/>
      <c r="AQ37" s="3"/>
      <c r="AR37" s="3"/>
      <c r="AS37" s="3"/>
      <c r="AT37" s="3"/>
      <c r="AU37" s="3"/>
    </row>
    <row r="38" spans="1:47" ht="19.5" hidden="1" customHeight="1" x14ac:dyDescent="0.3">
      <c r="A38" s="3"/>
      <c r="B38" s="455" t="s">
        <v>446</v>
      </c>
      <c r="C38" s="464"/>
      <c r="D38" s="3"/>
      <c r="E38" s="473"/>
      <c r="F38" s="473"/>
      <c r="G38" s="473"/>
      <c r="H38" s="3"/>
      <c r="I38" s="473"/>
      <c r="J38" s="473"/>
      <c r="K38" s="473"/>
      <c r="L38" s="473"/>
      <c r="M38" s="473"/>
      <c r="N38" s="473"/>
      <c r="O38" s="473"/>
      <c r="P38" s="473"/>
      <c r="Q38" s="473"/>
      <c r="R38" s="473"/>
      <c r="S38" s="473"/>
      <c r="T38" s="473"/>
      <c r="U38" s="3"/>
      <c r="V38" s="473"/>
      <c r="W38" s="473"/>
      <c r="X38" s="473"/>
      <c r="Y38" s="465"/>
      <c r="Z38" s="465"/>
      <c r="AA38" s="465"/>
      <c r="AB38" s="465"/>
      <c r="AC38" s="465"/>
      <c r="AD38" s="465"/>
      <c r="AE38" s="465"/>
      <c r="AF38" s="465"/>
      <c r="AG38" s="465"/>
      <c r="AH38" s="465"/>
      <c r="AI38" s="465"/>
      <c r="AJ38" s="469"/>
      <c r="AK38" s="3"/>
      <c r="AL38" s="465"/>
      <c r="AM38" s="465"/>
      <c r="AN38" s="3"/>
      <c r="AO38" s="3"/>
      <c r="AP38" s="3"/>
      <c r="AQ38" s="3"/>
      <c r="AR38" s="3"/>
      <c r="AS38" s="3"/>
      <c r="AT38" s="3"/>
      <c r="AU38" s="3"/>
    </row>
    <row r="39" spans="1:47" ht="19.5" hidden="1" customHeight="1" x14ac:dyDescent="0.3">
      <c r="A39" s="33" t="s">
        <v>533</v>
      </c>
      <c r="B39" s="474" t="s">
        <v>534</v>
      </c>
      <c r="C39" s="464" t="s">
        <v>535</v>
      </c>
      <c r="D39" s="3"/>
      <c r="E39" s="462">
        <f t="shared" ref="E39:E48" si="21">$AL39/E$3</f>
        <v>57441.666666666664</v>
      </c>
      <c r="F39" s="462">
        <f ca="1">IFERROR(1/F$3,1)*SUMIFS(Data!$AD$3:$AD$137,Data!$Y$3:$Y$137,F$1,Data!$Z$3:$Z$137,IF(RIGHT(F$2,3)="YTD","&lt;="&amp;LEFT(F$2,2)*1,F$2),Data!$K$3:$K$137,$B39)</f>
        <v>0</v>
      </c>
      <c r="G39" s="462">
        <f t="shared" ref="G39:G48" si="22">AM39/12</f>
        <v>30833.333333333332</v>
      </c>
      <c r="H39" s="472"/>
      <c r="I39" s="462">
        <f>IFERROR(1/I$3,1)*SUMIFS(Data!$AD$3:$AD$137,Data!$Y$3:$Y$137,I$1,Data!$Z$3:$Z$137,IF(RIGHT(I$2,3)="YTD","&lt;="&amp;LEFT(I$2,2)*1,I$2),Data!$K$3:$K$137,$B39)</f>
        <v>0</v>
      </c>
      <c r="J39" s="462">
        <f>IFERROR(1/J$3,1)*SUMIFS(Data!$AD$3:$AD$137,Data!$Y$3:$Y$137,J$1,Data!$Z$3:$Z$137,IF(RIGHT(J$2,3)="YTD","&lt;="&amp;LEFT(J$2,2)*1,J$2),Data!$K$3:$K$137,$B39)</f>
        <v>0</v>
      </c>
      <c r="K39" s="462">
        <f>IFERROR(1/K$3,1)*SUMIFS(Data!$AD$3:$AD$137,Data!$Y$3:$Y$137,K$1,Data!$Z$3:$Z$137,IF(RIGHT(K$2,3)="YTD","&lt;="&amp;LEFT(K$2,2)*1,K$2),Data!$K$3:$K$137,$B39)</f>
        <v>0</v>
      </c>
      <c r="L39" s="462">
        <f>IFERROR(1/L$3,1)*SUMIFS(Data!$AD$3:$AD$137,Data!$Y$3:$Y$137,L$1,Data!$Z$3:$Z$137,IF(RIGHT(L$2,3)="YTD","&lt;="&amp;LEFT(L$2,2)*1,L$2),Data!$K$3:$K$137,$B39)</f>
        <v>0</v>
      </c>
      <c r="M39" s="462">
        <f>IFERROR(1/M$3,1)*SUMIFS(Data!$AD$3:$AD$137,Data!$Y$3:$Y$137,M$1,Data!$Z$3:$Z$137,IF(RIGHT(M$2,3)="YTD","&lt;="&amp;LEFT(M$2,2)*1,M$2),Data!$K$3:$K$137,$B39)</f>
        <v>0</v>
      </c>
      <c r="N39" s="462">
        <f>IFERROR(1/N$3,1)*SUMIFS(Data!$AD$3:$AD$137,Data!$Y$3:$Y$137,N$1,Data!$Z$3:$Z$137,IF(RIGHT(N$2,3)="YTD","&lt;="&amp;LEFT(N$2,2)*1,N$2),Data!$K$3:$K$137,$B39)</f>
        <v>0</v>
      </c>
      <c r="O39" s="462">
        <f>IFERROR(1/O$3,1)*SUMIFS(Data!$AD$3:$AD$137,Data!$Y$3:$Y$137,O$1,Data!$Z$3:$Z$137,IF(RIGHT(O$2,3)="YTD","&lt;="&amp;LEFT(O$2,2)*1,O$2),Data!$K$3:$K$137,$B39)</f>
        <v>0</v>
      </c>
      <c r="P39" s="462">
        <f>IFERROR(1/P$3,1)*SUMIFS(Data!$AD$3:$AD$137,Data!$Y$3:$Y$137,P$1,Data!$Z$3:$Z$137,IF(RIGHT(P$2,3)="YTD","&lt;="&amp;LEFT(P$2,2)*1,P$2),Data!$K$3:$K$137,$B39)</f>
        <v>0</v>
      </c>
      <c r="Q39" s="462">
        <f>IFERROR(1/Q$3,1)*SUMIFS(Data!$AD$3:$AD$137,Data!$Y$3:$Y$137,Q$1,Data!$Z$3:$Z$137,IF(RIGHT(Q$2,3)="YTD","&lt;="&amp;LEFT(Q$2,2)*1,Q$2),Data!$K$3:$K$137,$B39)</f>
        <v>0</v>
      </c>
      <c r="R39" s="462">
        <f>IFERROR(1/R$3,1)*SUMIFS(Data!$AD$3:$AD$137,Data!$Y$3:$Y$137,R$1,Data!$Z$3:$Z$137,IF(RIGHT(R$2,3)="YTD","&lt;="&amp;LEFT(R$2,2)*1,R$2),Data!$K$3:$K$137,$B39)</f>
        <v>0</v>
      </c>
      <c r="S39" s="462">
        <f>IFERROR(1/S$3,1)*SUMIFS(Data!$AD$3:$AD$137,Data!$Y$3:$Y$137,S$1,Data!$Z$3:$Z$137,IF(RIGHT(S$2,3)="YTD","&lt;="&amp;LEFT(S$2,2)*1,S$2),Data!$K$3:$K$137,$B39)</f>
        <v>0</v>
      </c>
      <c r="T39" s="462">
        <f>IFERROR(1/T$3,1)*SUMIFS(Data!$AD$3:$AD$137,Data!$Y$3:$Y$137,T$1,Data!$Z$3:$Z$137,IF(RIGHT(T$2,3)="YTD","&lt;="&amp;LEFT(T$2,2)*1,T$2),Data!$K$3:$K$137,$B39)</f>
        <v>0</v>
      </c>
      <c r="U39" s="3"/>
      <c r="V39" s="462">
        <f t="shared" ref="V39:V48" si="23">E39</f>
        <v>57441.666666666664</v>
      </c>
      <c r="W39" s="462">
        <f t="shared" ref="W39:W48" ca="1" si="24">F39</f>
        <v>0</v>
      </c>
      <c r="X39" s="462">
        <f t="shared" ref="X39:X48" si="25">G39</f>
        <v>30833.333333333332</v>
      </c>
      <c r="Y39" s="462">
        <f t="shared" ref="Y39:AF48" si="26">$G39</f>
        <v>30833.333333333332</v>
      </c>
      <c r="Z39" s="462">
        <f t="shared" si="26"/>
        <v>30833.333333333332</v>
      </c>
      <c r="AA39" s="462">
        <f t="shared" si="26"/>
        <v>30833.333333333332</v>
      </c>
      <c r="AB39" s="462">
        <f t="shared" si="26"/>
        <v>30833.333333333332</v>
      </c>
      <c r="AC39" s="462">
        <f t="shared" si="26"/>
        <v>30833.333333333332</v>
      </c>
      <c r="AD39" s="462">
        <f t="shared" si="26"/>
        <v>30833.333333333332</v>
      </c>
      <c r="AE39" s="462">
        <f t="shared" si="26"/>
        <v>30833.333333333332</v>
      </c>
      <c r="AF39" s="462">
        <f t="shared" si="26"/>
        <v>30833.333333333332</v>
      </c>
      <c r="AG39" s="462"/>
      <c r="AH39" s="462">
        <f ca="1">IFERROR(1/AH$3,1)*SUMIFS(Data!$AD$3:$AD$137,Data!$Y$3:$Y$137,AH$1,Data!$Z$3:$Z$137,IF(RIGHT(AH$2,3)="YTD","&lt;="&amp;LEFT(AH$2,2)*1,AH$2),Data!$K$3:$K$137,$B15)</f>
        <v>0</v>
      </c>
      <c r="AI39" s="462">
        <f t="shared" ref="AI39:AI48" ca="1" si="27">AM39/12*$C$5</f>
        <v>123333.33333333333</v>
      </c>
      <c r="AJ39" s="463">
        <f t="shared" ref="AJ39:AJ48" ca="1" si="28">AH39-AI39</f>
        <v>-123333.33333333333</v>
      </c>
      <c r="AK39" s="3"/>
      <c r="AL39" s="462">
        <v>689300</v>
      </c>
      <c r="AM39" s="465">
        <v>370000</v>
      </c>
      <c r="AN39" s="3"/>
      <c r="AO39" s="3"/>
      <c r="AP39" s="3"/>
      <c r="AQ39" s="3"/>
      <c r="AR39" s="3"/>
      <c r="AS39" s="3"/>
      <c r="AT39" s="3"/>
      <c r="AU39" s="3"/>
    </row>
    <row r="40" spans="1:47" ht="19.5" hidden="1" customHeight="1" x14ac:dyDescent="0.3">
      <c r="A40" s="3" t="s">
        <v>536</v>
      </c>
      <c r="B40" s="474" t="s">
        <v>537</v>
      </c>
      <c r="C40" s="464" t="s">
        <v>535</v>
      </c>
      <c r="D40" s="3"/>
      <c r="E40" s="462">
        <f t="shared" si="21"/>
        <v>1674.6666666666667</v>
      </c>
      <c r="F40" s="462">
        <f ca="1">IFERROR(1/F$3,1)*SUMIFS(Data!$AD$3:$AD$137,Data!$Y$3:$Y$137,F$1,Data!$Z$3:$Z$137,IF(RIGHT(F$2,3)="YTD","&lt;="&amp;LEFT(F$2,2)*1,F$2),Data!$K$3:$K$137,$B40)</f>
        <v>0</v>
      </c>
      <c r="G40" s="462">
        <f t="shared" si="22"/>
        <v>0</v>
      </c>
      <c r="H40" s="472"/>
      <c r="I40" s="462">
        <f>IFERROR(1/I$3,1)*SUMIFS(Data!$AD$3:$AD$137,Data!$Y$3:$Y$137,I$1,Data!$Z$3:$Z$137,IF(RIGHT(I$2,3)="YTD","&lt;="&amp;LEFT(I$2,2)*1,I$2),Data!$K$3:$K$137,$B40)</f>
        <v>0</v>
      </c>
      <c r="J40" s="462">
        <f>IFERROR(1/J$3,1)*SUMIFS(Data!$AD$3:$AD$137,Data!$Y$3:$Y$137,J$1,Data!$Z$3:$Z$137,IF(RIGHT(J$2,3)="YTD","&lt;="&amp;LEFT(J$2,2)*1,J$2),Data!$K$3:$K$137,$B40)</f>
        <v>0</v>
      </c>
      <c r="K40" s="462">
        <f>IFERROR(1/K$3,1)*SUMIFS(Data!$AD$3:$AD$137,Data!$Y$3:$Y$137,K$1,Data!$Z$3:$Z$137,IF(RIGHT(K$2,3)="YTD","&lt;="&amp;LEFT(K$2,2)*1,K$2),Data!$K$3:$K$137,$B40)</f>
        <v>0</v>
      </c>
      <c r="L40" s="462">
        <f>IFERROR(1/L$3,1)*SUMIFS(Data!$AD$3:$AD$137,Data!$Y$3:$Y$137,L$1,Data!$Z$3:$Z$137,IF(RIGHT(L$2,3)="YTD","&lt;="&amp;LEFT(L$2,2)*1,L$2),Data!$K$3:$K$137,$B40)</f>
        <v>0</v>
      </c>
      <c r="M40" s="462">
        <f>IFERROR(1/M$3,1)*SUMIFS(Data!$AD$3:$AD$137,Data!$Y$3:$Y$137,M$1,Data!$Z$3:$Z$137,IF(RIGHT(M$2,3)="YTD","&lt;="&amp;LEFT(M$2,2)*1,M$2),Data!$K$3:$K$137,$B40)</f>
        <v>0</v>
      </c>
      <c r="N40" s="462">
        <f>IFERROR(1/N$3,1)*SUMIFS(Data!$AD$3:$AD$137,Data!$Y$3:$Y$137,N$1,Data!$Z$3:$Z$137,IF(RIGHT(N$2,3)="YTD","&lt;="&amp;LEFT(N$2,2)*1,N$2),Data!$K$3:$K$137,$B40)</f>
        <v>0</v>
      </c>
      <c r="O40" s="462">
        <f>IFERROR(1/O$3,1)*SUMIFS(Data!$AD$3:$AD$137,Data!$Y$3:$Y$137,O$1,Data!$Z$3:$Z$137,IF(RIGHT(O$2,3)="YTD","&lt;="&amp;LEFT(O$2,2)*1,O$2),Data!$K$3:$K$137,$B40)</f>
        <v>0</v>
      </c>
      <c r="P40" s="462">
        <f>IFERROR(1/P$3,1)*SUMIFS(Data!$AD$3:$AD$137,Data!$Y$3:$Y$137,P$1,Data!$Z$3:$Z$137,IF(RIGHT(P$2,3)="YTD","&lt;="&amp;LEFT(P$2,2)*1,P$2),Data!$K$3:$K$137,$B40)</f>
        <v>0</v>
      </c>
      <c r="Q40" s="462">
        <f>IFERROR(1/Q$3,1)*SUMIFS(Data!$AD$3:$AD$137,Data!$Y$3:$Y$137,Q$1,Data!$Z$3:$Z$137,IF(RIGHT(Q$2,3)="YTD","&lt;="&amp;LEFT(Q$2,2)*1,Q$2),Data!$K$3:$K$137,$B40)</f>
        <v>0</v>
      </c>
      <c r="R40" s="462">
        <f>IFERROR(1/R$3,1)*SUMIFS(Data!$AD$3:$AD$137,Data!$Y$3:$Y$137,R$1,Data!$Z$3:$Z$137,IF(RIGHT(R$2,3)="YTD","&lt;="&amp;LEFT(R$2,2)*1,R$2),Data!$K$3:$K$137,$B40)</f>
        <v>0</v>
      </c>
      <c r="S40" s="462">
        <f>IFERROR(1/S$3,1)*SUMIFS(Data!$AD$3:$AD$137,Data!$Y$3:$Y$137,S$1,Data!$Z$3:$Z$137,IF(RIGHT(S$2,3)="YTD","&lt;="&amp;LEFT(S$2,2)*1,S$2),Data!$K$3:$K$137,$B40)</f>
        <v>0</v>
      </c>
      <c r="T40" s="462">
        <f>IFERROR(1/T$3,1)*SUMIFS(Data!$AD$3:$AD$137,Data!$Y$3:$Y$137,T$1,Data!$Z$3:$Z$137,IF(RIGHT(T$2,3)="YTD","&lt;="&amp;LEFT(T$2,2)*1,T$2),Data!$K$3:$K$137,$B40)</f>
        <v>0</v>
      </c>
      <c r="U40" s="3"/>
      <c r="V40" s="462">
        <f t="shared" si="23"/>
        <v>1674.6666666666667</v>
      </c>
      <c r="W40" s="462">
        <f t="shared" ca="1" si="24"/>
        <v>0</v>
      </c>
      <c r="X40" s="462">
        <f t="shared" si="25"/>
        <v>0</v>
      </c>
      <c r="Y40" s="462">
        <f t="shared" si="26"/>
        <v>0</v>
      </c>
      <c r="Z40" s="462">
        <f t="shared" si="26"/>
        <v>0</v>
      </c>
      <c r="AA40" s="462">
        <f t="shared" si="26"/>
        <v>0</v>
      </c>
      <c r="AB40" s="462">
        <f t="shared" si="26"/>
        <v>0</v>
      </c>
      <c r="AC40" s="462">
        <f t="shared" si="26"/>
        <v>0</v>
      </c>
      <c r="AD40" s="462">
        <f t="shared" si="26"/>
        <v>0</v>
      </c>
      <c r="AE40" s="462">
        <f t="shared" si="26"/>
        <v>0</v>
      </c>
      <c r="AF40" s="462">
        <f t="shared" si="26"/>
        <v>0</v>
      </c>
      <c r="AG40" s="462"/>
      <c r="AH40" s="462">
        <f ca="1">IFERROR(1/AH$3,1)*SUMIFS(Data!$AD$3:$AD$137,Data!$Y$3:$Y$137,AH$1,Data!$Z$3:$Z$137,IF(RIGHT(AH$2,3)="YTD","&lt;="&amp;LEFT(AH$2,2)*1,AH$2),Data!$K$3:$K$137,$B16)</f>
        <v>0</v>
      </c>
      <c r="AI40" s="462">
        <f t="shared" ca="1" si="27"/>
        <v>0</v>
      </c>
      <c r="AJ40" s="463">
        <f t="shared" ca="1" si="28"/>
        <v>0</v>
      </c>
      <c r="AK40" s="3"/>
      <c r="AL40" s="462">
        <v>20096</v>
      </c>
      <c r="AM40" s="462">
        <v>0</v>
      </c>
      <c r="AN40" s="3"/>
      <c r="AO40" s="3"/>
      <c r="AP40" s="3"/>
      <c r="AQ40" s="3"/>
      <c r="AR40" s="3"/>
      <c r="AS40" s="3"/>
      <c r="AT40" s="3"/>
      <c r="AU40" s="3"/>
    </row>
    <row r="41" spans="1:47" ht="19.5" hidden="1" customHeight="1" x14ac:dyDescent="0.3">
      <c r="A41" s="3"/>
      <c r="B41" s="474" t="s">
        <v>538</v>
      </c>
      <c r="C41" s="464" t="s">
        <v>535</v>
      </c>
      <c r="D41" s="3"/>
      <c r="E41" s="462">
        <f t="shared" si="21"/>
        <v>422.91666666666669</v>
      </c>
      <c r="F41" s="462">
        <f ca="1">IFERROR(1/F$3,1)*SUMIFS(Data!$AD$3:$AD$137,Data!$Y$3:$Y$137,F$1,Data!$Z$3:$Z$137,IF(RIGHT(F$2,3)="YTD","&lt;="&amp;LEFT(F$2,2)*1,F$2),Data!$K$3:$K$137,$B41)</f>
        <v>0</v>
      </c>
      <c r="G41" s="462">
        <f t="shared" si="22"/>
        <v>0</v>
      </c>
      <c r="H41" s="472"/>
      <c r="I41" s="462">
        <f>IFERROR(1/I$3,1)*SUMIFS(Data!$AD$3:$AD$137,Data!$Y$3:$Y$137,I$1,Data!$Z$3:$Z$137,IF(RIGHT(I$2,3)="YTD","&lt;="&amp;LEFT(I$2,2)*1,I$2),Data!$K$3:$K$137,$B41)</f>
        <v>0</v>
      </c>
      <c r="J41" s="462">
        <f>IFERROR(1/J$3,1)*SUMIFS(Data!$AD$3:$AD$137,Data!$Y$3:$Y$137,J$1,Data!$Z$3:$Z$137,IF(RIGHT(J$2,3)="YTD","&lt;="&amp;LEFT(J$2,2)*1,J$2),Data!$K$3:$K$137,$B41)</f>
        <v>0</v>
      </c>
      <c r="K41" s="462">
        <f>IFERROR(1/K$3,1)*SUMIFS(Data!$AD$3:$AD$137,Data!$Y$3:$Y$137,K$1,Data!$Z$3:$Z$137,IF(RIGHT(K$2,3)="YTD","&lt;="&amp;LEFT(K$2,2)*1,K$2),Data!$K$3:$K$137,$B41)</f>
        <v>0</v>
      </c>
      <c r="L41" s="462">
        <f>IFERROR(1/L$3,1)*SUMIFS(Data!$AD$3:$AD$137,Data!$Y$3:$Y$137,L$1,Data!$Z$3:$Z$137,IF(RIGHT(L$2,3)="YTD","&lt;="&amp;LEFT(L$2,2)*1,L$2),Data!$K$3:$K$137,$B41)</f>
        <v>0</v>
      </c>
      <c r="M41" s="462">
        <f>IFERROR(1/M$3,1)*SUMIFS(Data!$AD$3:$AD$137,Data!$Y$3:$Y$137,M$1,Data!$Z$3:$Z$137,IF(RIGHT(M$2,3)="YTD","&lt;="&amp;LEFT(M$2,2)*1,M$2),Data!$K$3:$K$137,$B41)</f>
        <v>0</v>
      </c>
      <c r="N41" s="462">
        <f>IFERROR(1/N$3,1)*SUMIFS(Data!$AD$3:$AD$137,Data!$Y$3:$Y$137,N$1,Data!$Z$3:$Z$137,IF(RIGHT(N$2,3)="YTD","&lt;="&amp;LEFT(N$2,2)*1,N$2),Data!$K$3:$K$137,$B41)</f>
        <v>0</v>
      </c>
      <c r="O41" s="462">
        <f>IFERROR(1/O$3,1)*SUMIFS(Data!$AD$3:$AD$137,Data!$Y$3:$Y$137,O$1,Data!$Z$3:$Z$137,IF(RIGHT(O$2,3)="YTD","&lt;="&amp;LEFT(O$2,2)*1,O$2),Data!$K$3:$K$137,$B41)</f>
        <v>0</v>
      </c>
      <c r="P41" s="462">
        <f>IFERROR(1/P$3,1)*SUMIFS(Data!$AD$3:$AD$137,Data!$Y$3:$Y$137,P$1,Data!$Z$3:$Z$137,IF(RIGHT(P$2,3)="YTD","&lt;="&amp;LEFT(P$2,2)*1,P$2),Data!$K$3:$K$137,$B41)</f>
        <v>0</v>
      </c>
      <c r="Q41" s="462">
        <f>IFERROR(1/Q$3,1)*SUMIFS(Data!$AD$3:$AD$137,Data!$Y$3:$Y$137,Q$1,Data!$Z$3:$Z$137,IF(RIGHT(Q$2,3)="YTD","&lt;="&amp;LEFT(Q$2,2)*1,Q$2),Data!$K$3:$K$137,$B41)</f>
        <v>0</v>
      </c>
      <c r="R41" s="462">
        <f>IFERROR(1/R$3,1)*SUMIFS(Data!$AD$3:$AD$137,Data!$Y$3:$Y$137,R$1,Data!$Z$3:$Z$137,IF(RIGHT(R$2,3)="YTD","&lt;="&amp;LEFT(R$2,2)*1,R$2),Data!$K$3:$K$137,$B41)</f>
        <v>0</v>
      </c>
      <c r="S41" s="462">
        <f>IFERROR(1/S$3,1)*SUMIFS(Data!$AD$3:$AD$137,Data!$Y$3:$Y$137,S$1,Data!$Z$3:$Z$137,IF(RIGHT(S$2,3)="YTD","&lt;="&amp;LEFT(S$2,2)*1,S$2),Data!$K$3:$K$137,$B41)</f>
        <v>0</v>
      </c>
      <c r="T41" s="462">
        <f>IFERROR(1/T$3,1)*SUMIFS(Data!$AD$3:$AD$137,Data!$Y$3:$Y$137,T$1,Data!$Z$3:$Z$137,IF(RIGHT(T$2,3)="YTD","&lt;="&amp;LEFT(T$2,2)*1,T$2),Data!$K$3:$K$137,$B41)</f>
        <v>0</v>
      </c>
      <c r="U41" s="3"/>
      <c r="V41" s="462">
        <f t="shared" si="23"/>
        <v>422.91666666666669</v>
      </c>
      <c r="W41" s="462">
        <f t="shared" ca="1" si="24"/>
        <v>0</v>
      </c>
      <c r="X41" s="462">
        <f t="shared" si="25"/>
        <v>0</v>
      </c>
      <c r="Y41" s="462">
        <f t="shared" si="26"/>
        <v>0</v>
      </c>
      <c r="Z41" s="462">
        <f t="shared" si="26"/>
        <v>0</v>
      </c>
      <c r="AA41" s="462">
        <f t="shared" si="26"/>
        <v>0</v>
      </c>
      <c r="AB41" s="462">
        <f t="shared" si="26"/>
        <v>0</v>
      </c>
      <c r="AC41" s="462">
        <f t="shared" si="26"/>
        <v>0</v>
      </c>
      <c r="AD41" s="462">
        <f t="shared" si="26"/>
        <v>0</v>
      </c>
      <c r="AE41" s="462">
        <f t="shared" si="26"/>
        <v>0</v>
      </c>
      <c r="AF41" s="462">
        <f t="shared" si="26"/>
        <v>0</v>
      </c>
      <c r="AG41" s="462"/>
      <c r="AH41" s="462">
        <f ca="1">IFERROR(1/AH$3,1)*SUMIFS(Data!$AD$3:$AD$137,Data!$Y$3:$Y$137,AH$1,Data!$Z$3:$Z$137,IF(RIGHT(AH$2,3)="YTD","&lt;="&amp;LEFT(AH$2,2)*1,AH$2),Data!$K$3:$K$137,$B17)</f>
        <v>0</v>
      </c>
      <c r="AI41" s="462">
        <f t="shared" ca="1" si="27"/>
        <v>0</v>
      </c>
      <c r="AJ41" s="463">
        <f t="shared" ca="1" si="28"/>
        <v>0</v>
      </c>
      <c r="AK41" s="3"/>
      <c r="AL41" s="462">
        <v>5075</v>
      </c>
      <c r="AM41" s="462">
        <v>0</v>
      </c>
      <c r="AN41" s="3"/>
      <c r="AO41" s="3"/>
      <c r="AP41" s="3"/>
      <c r="AQ41" s="3"/>
      <c r="AR41" s="3"/>
      <c r="AS41" s="3"/>
      <c r="AT41" s="3"/>
      <c r="AU41" s="3"/>
    </row>
    <row r="42" spans="1:47" ht="19.5" hidden="1" customHeight="1" x14ac:dyDescent="0.3">
      <c r="A42" s="3" t="s">
        <v>539</v>
      </c>
      <c r="B42" s="474" t="s">
        <v>540</v>
      </c>
      <c r="C42" s="464" t="s">
        <v>535</v>
      </c>
      <c r="D42" s="3"/>
      <c r="E42" s="462">
        <f t="shared" si="21"/>
        <v>3145.2083333333335</v>
      </c>
      <c r="F42" s="462">
        <f ca="1">IFERROR(1/F$3,1)*SUMIFS(Data!$AD$3:$AD$137,Data!$Y$3:$Y$137,F$1,Data!$Z$3:$Z$137,IF(RIGHT(F$2,3)="YTD","&lt;="&amp;LEFT(F$2,2)*1,F$2),Data!$K$3:$K$137,$B42)</f>
        <v>0</v>
      </c>
      <c r="G42" s="462">
        <f t="shared" si="22"/>
        <v>0</v>
      </c>
      <c r="H42" s="472"/>
      <c r="I42" s="462">
        <f>IFERROR(1/I$3,1)*SUMIFS(Data!$AD$3:$AD$137,Data!$Y$3:$Y$137,I$1,Data!$Z$3:$Z$137,IF(RIGHT(I$2,3)="YTD","&lt;="&amp;LEFT(I$2,2)*1,I$2),Data!$K$3:$K$137,$B42)</f>
        <v>0</v>
      </c>
      <c r="J42" s="462">
        <f>IFERROR(1/J$3,1)*SUMIFS(Data!$AD$3:$AD$137,Data!$Y$3:$Y$137,J$1,Data!$Z$3:$Z$137,IF(RIGHT(J$2,3)="YTD","&lt;="&amp;LEFT(J$2,2)*1,J$2),Data!$K$3:$K$137,$B42)</f>
        <v>0</v>
      </c>
      <c r="K42" s="462">
        <f>IFERROR(1/K$3,1)*SUMIFS(Data!$AD$3:$AD$137,Data!$Y$3:$Y$137,K$1,Data!$Z$3:$Z$137,IF(RIGHT(K$2,3)="YTD","&lt;="&amp;LEFT(K$2,2)*1,K$2),Data!$K$3:$K$137,$B42)</f>
        <v>0</v>
      </c>
      <c r="L42" s="462">
        <f>IFERROR(1/L$3,1)*SUMIFS(Data!$AD$3:$AD$137,Data!$Y$3:$Y$137,L$1,Data!$Z$3:$Z$137,IF(RIGHT(L$2,3)="YTD","&lt;="&amp;LEFT(L$2,2)*1,L$2),Data!$K$3:$K$137,$B42)</f>
        <v>0</v>
      </c>
      <c r="M42" s="462">
        <f>IFERROR(1/M$3,1)*SUMIFS(Data!$AD$3:$AD$137,Data!$Y$3:$Y$137,M$1,Data!$Z$3:$Z$137,IF(RIGHT(M$2,3)="YTD","&lt;="&amp;LEFT(M$2,2)*1,M$2),Data!$K$3:$K$137,$B42)</f>
        <v>0</v>
      </c>
      <c r="N42" s="462">
        <f>IFERROR(1/N$3,1)*SUMIFS(Data!$AD$3:$AD$137,Data!$Y$3:$Y$137,N$1,Data!$Z$3:$Z$137,IF(RIGHT(N$2,3)="YTD","&lt;="&amp;LEFT(N$2,2)*1,N$2),Data!$K$3:$K$137,$B42)</f>
        <v>0</v>
      </c>
      <c r="O42" s="462">
        <f>IFERROR(1/O$3,1)*SUMIFS(Data!$AD$3:$AD$137,Data!$Y$3:$Y$137,O$1,Data!$Z$3:$Z$137,IF(RIGHT(O$2,3)="YTD","&lt;="&amp;LEFT(O$2,2)*1,O$2),Data!$K$3:$K$137,$B42)</f>
        <v>0</v>
      </c>
      <c r="P42" s="462">
        <f>IFERROR(1/P$3,1)*SUMIFS(Data!$AD$3:$AD$137,Data!$Y$3:$Y$137,P$1,Data!$Z$3:$Z$137,IF(RIGHT(P$2,3)="YTD","&lt;="&amp;LEFT(P$2,2)*1,P$2),Data!$K$3:$K$137,$B42)</f>
        <v>0</v>
      </c>
      <c r="Q42" s="462">
        <f>IFERROR(1/Q$3,1)*SUMIFS(Data!$AD$3:$AD$137,Data!$Y$3:$Y$137,Q$1,Data!$Z$3:$Z$137,IF(RIGHT(Q$2,3)="YTD","&lt;="&amp;LEFT(Q$2,2)*1,Q$2),Data!$K$3:$K$137,$B42)</f>
        <v>0</v>
      </c>
      <c r="R42" s="462">
        <f>IFERROR(1/R$3,1)*SUMIFS(Data!$AD$3:$AD$137,Data!$Y$3:$Y$137,R$1,Data!$Z$3:$Z$137,IF(RIGHT(R$2,3)="YTD","&lt;="&amp;LEFT(R$2,2)*1,R$2),Data!$K$3:$K$137,$B42)</f>
        <v>0</v>
      </c>
      <c r="S42" s="462">
        <f>IFERROR(1/S$3,1)*SUMIFS(Data!$AD$3:$AD$137,Data!$Y$3:$Y$137,S$1,Data!$Z$3:$Z$137,IF(RIGHT(S$2,3)="YTD","&lt;="&amp;LEFT(S$2,2)*1,S$2),Data!$K$3:$K$137,$B42)</f>
        <v>0</v>
      </c>
      <c r="T42" s="462">
        <f>IFERROR(1/T$3,1)*SUMIFS(Data!$AD$3:$AD$137,Data!$Y$3:$Y$137,T$1,Data!$Z$3:$Z$137,IF(RIGHT(T$2,3)="YTD","&lt;="&amp;LEFT(T$2,2)*1,T$2),Data!$K$3:$K$137,$B42)</f>
        <v>0</v>
      </c>
      <c r="U42" s="3"/>
      <c r="V42" s="462">
        <f t="shared" si="23"/>
        <v>3145.2083333333335</v>
      </c>
      <c r="W42" s="462">
        <f t="shared" ca="1" si="24"/>
        <v>0</v>
      </c>
      <c r="X42" s="462">
        <f t="shared" si="25"/>
        <v>0</v>
      </c>
      <c r="Y42" s="462">
        <f t="shared" si="26"/>
        <v>0</v>
      </c>
      <c r="Z42" s="462">
        <f t="shared" si="26"/>
        <v>0</v>
      </c>
      <c r="AA42" s="462">
        <f t="shared" si="26"/>
        <v>0</v>
      </c>
      <c r="AB42" s="462">
        <f t="shared" si="26"/>
        <v>0</v>
      </c>
      <c r="AC42" s="462">
        <f t="shared" si="26"/>
        <v>0</v>
      </c>
      <c r="AD42" s="462">
        <f t="shared" si="26"/>
        <v>0</v>
      </c>
      <c r="AE42" s="462">
        <f t="shared" si="26"/>
        <v>0</v>
      </c>
      <c r="AF42" s="462">
        <f t="shared" si="26"/>
        <v>0</v>
      </c>
      <c r="AG42" s="462"/>
      <c r="AH42" s="462">
        <f ca="1">IFERROR(1/AH$3,1)*SUMIFS(Data!$AD$3:$AD$137,Data!$Y$3:$Y$137,AH$1,Data!$Z$3:$Z$137,IF(RIGHT(AH$2,3)="YTD","&lt;="&amp;LEFT(AH$2,2)*1,AH$2),Data!$K$3:$K$137,$B18)</f>
        <v>0</v>
      </c>
      <c r="AI42" s="462">
        <f t="shared" ca="1" si="27"/>
        <v>0</v>
      </c>
      <c r="AJ42" s="463">
        <f t="shared" ca="1" si="28"/>
        <v>0</v>
      </c>
      <c r="AK42" s="3"/>
      <c r="AL42" s="462">
        <v>37742.5</v>
      </c>
      <c r="AM42" s="462">
        <v>0</v>
      </c>
      <c r="AN42" s="3"/>
      <c r="AO42" s="3"/>
      <c r="AP42" s="3"/>
      <c r="AQ42" s="3"/>
      <c r="AR42" s="3"/>
      <c r="AS42" s="3"/>
      <c r="AT42" s="3"/>
      <c r="AU42" s="3"/>
    </row>
    <row r="43" spans="1:47" ht="19.5" hidden="1" customHeight="1" x14ac:dyDescent="0.3">
      <c r="A43" s="3" t="s">
        <v>541</v>
      </c>
      <c r="B43" s="474" t="s">
        <v>542</v>
      </c>
      <c r="C43" s="464" t="s">
        <v>535</v>
      </c>
      <c r="D43" s="3"/>
      <c r="E43" s="462">
        <f t="shared" si="21"/>
        <v>22610</v>
      </c>
      <c r="F43" s="462">
        <f ca="1">IFERROR(1/F$3,1)*SUMIFS(Data!$AD$3:$AD$137,Data!$Y$3:$Y$137,F$1,Data!$Z$3:$Z$137,IF(RIGHT(F$2,3)="YTD","&lt;="&amp;LEFT(F$2,2)*1,F$2),Data!$K$3:$K$137,$B43)</f>
        <v>0</v>
      </c>
      <c r="G43" s="462">
        <f t="shared" si="22"/>
        <v>0</v>
      </c>
      <c r="H43" s="472"/>
      <c r="I43" s="462">
        <f>IFERROR(1/I$3,1)*SUMIFS(Data!$AD$3:$AD$137,Data!$Y$3:$Y$137,I$1,Data!$Z$3:$Z$137,IF(RIGHT(I$2,3)="YTD","&lt;="&amp;LEFT(I$2,2)*1,I$2),Data!$K$3:$K$137,$B43)</f>
        <v>0</v>
      </c>
      <c r="J43" s="462">
        <f>IFERROR(1/J$3,1)*SUMIFS(Data!$AD$3:$AD$137,Data!$Y$3:$Y$137,J$1,Data!$Z$3:$Z$137,IF(RIGHT(J$2,3)="YTD","&lt;="&amp;LEFT(J$2,2)*1,J$2),Data!$K$3:$K$137,$B43)</f>
        <v>0</v>
      </c>
      <c r="K43" s="462">
        <f>IFERROR(1/K$3,1)*SUMIFS(Data!$AD$3:$AD$137,Data!$Y$3:$Y$137,K$1,Data!$Z$3:$Z$137,IF(RIGHT(K$2,3)="YTD","&lt;="&amp;LEFT(K$2,2)*1,K$2),Data!$K$3:$K$137,$B43)</f>
        <v>0</v>
      </c>
      <c r="L43" s="462">
        <f>IFERROR(1/L$3,1)*SUMIFS(Data!$AD$3:$AD$137,Data!$Y$3:$Y$137,L$1,Data!$Z$3:$Z$137,IF(RIGHT(L$2,3)="YTD","&lt;="&amp;LEFT(L$2,2)*1,L$2),Data!$K$3:$K$137,$B43)</f>
        <v>0</v>
      </c>
      <c r="M43" s="462">
        <f>IFERROR(1/M$3,1)*SUMIFS(Data!$AD$3:$AD$137,Data!$Y$3:$Y$137,M$1,Data!$Z$3:$Z$137,IF(RIGHT(M$2,3)="YTD","&lt;="&amp;LEFT(M$2,2)*1,M$2),Data!$K$3:$K$137,$B43)</f>
        <v>0</v>
      </c>
      <c r="N43" s="462">
        <f>IFERROR(1/N$3,1)*SUMIFS(Data!$AD$3:$AD$137,Data!$Y$3:$Y$137,N$1,Data!$Z$3:$Z$137,IF(RIGHT(N$2,3)="YTD","&lt;="&amp;LEFT(N$2,2)*1,N$2),Data!$K$3:$K$137,$B43)</f>
        <v>0</v>
      </c>
      <c r="O43" s="462">
        <f>IFERROR(1/O$3,1)*SUMIFS(Data!$AD$3:$AD$137,Data!$Y$3:$Y$137,O$1,Data!$Z$3:$Z$137,IF(RIGHT(O$2,3)="YTD","&lt;="&amp;LEFT(O$2,2)*1,O$2),Data!$K$3:$K$137,$B43)</f>
        <v>0</v>
      </c>
      <c r="P43" s="462">
        <f>IFERROR(1/P$3,1)*SUMIFS(Data!$AD$3:$AD$137,Data!$Y$3:$Y$137,P$1,Data!$Z$3:$Z$137,IF(RIGHT(P$2,3)="YTD","&lt;="&amp;LEFT(P$2,2)*1,P$2),Data!$K$3:$K$137,$B43)</f>
        <v>0</v>
      </c>
      <c r="Q43" s="462">
        <f>IFERROR(1/Q$3,1)*SUMIFS(Data!$AD$3:$AD$137,Data!$Y$3:$Y$137,Q$1,Data!$Z$3:$Z$137,IF(RIGHT(Q$2,3)="YTD","&lt;="&amp;LEFT(Q$2,2)*1,Q$2),Data!$K$3:$K$137,$B43)</f>
        <v>0</v>
      </c>
      <c r="R43" s="462">
        <f>IFERROR(1/R$3,1)*SUMIFS(Data!$AD$3:$AD$137,Data!$Y$3:$Y$137,R$1,Data!$Z$3:$Z$137,IF(RIGHT(R$2,3)="YTD","&lt;="&amp;LEFT(R$2,2)*1,R$2),Data!$K$3:$K$137,$B43)</f>
        <v>0</v>
      </c>
      <c r="S43" s="462">
        <f>IFERROR(1/S$3,1)*SUMIFS(Data!$AD$3:$AD$137,Data!$Y$3:$Y$137,S$1,Data!$Z$3:$Z$137,IF(RIGHT(S$2,3)="YTD","&lt;="&amp;LEFT(S$2,2)*1,S$2),Data!$K$3:$K$137,$B43)</f>
        <v>0</v>
      </c>
      <c r="T43" s="462">
        <f>IFERROR(1/T$3,1)*SUMIFS(Data!$AD$3:$AD$137,Data!$Y$3:$Y$137,T$1,Data!$Z$3:$Z$137,IF(RIGHT(T$2,3)="YTD","&lt;="&amp;LEFT(T$2,2)*1,T$2),Data!$K$3:$K$137,$B43)</f>
        <v>0</v>
      </c>
      <c r="U43" s="3"/>
      <c r="V43" s="462">
        <f t="shared" si="23"/>
        <v>22610</v>
      </c>
      <c r="W43" s="462">
        <f t="shared" ca="1" si="24"/>
        <v>0</v>
      </c>
      <c r="X43" s="462">
        <f t="shared" si="25"/>
        <v>0</v>
      </c>
      <c r="Y43" s="462">
        <f t="shared" si="26"/>
        <v>0</v>
      </c>
      <c r="Z43" s="462">
        <f t="shared" si="26"/>
        <v>0</v>
      </c>
      <c r="AA43" s="462">
        <f t="shared" si="26"/>
        <v>0</v>
      </c>
      <c r="AB43" s="462">
        <f t="shared" si="26"/>
        <v>0</v>
      </c>
      <c r="AC43" s="462">
        <f t="shared" si="26"/>
        <v>0</v>
      </c>
      <c r="AD43" s="462">
        <f t="shared" si="26"/>
        <v>0</v>
      </c>
      <c r="AE43" s="462">
        <f t="shared" si="26"/>
        <v>0</v>
      </c>
      <c r="AF43" s="462">
        <f t="shared" si="26"/>
        <v>0</v>
      </c>
      <c r="AG43" s="462"/>
      <c r="AH43" s="462">
        <f ca="1">IFERROR(1/AH$3,1)*SUMIFS(Data!$AD$3:$AD$137,Data!$Y$3:$Y$137,AH$1,Data!$Z$3:$Z$137,IF(RIGHT(AH$2,3)="YTD","&lt;="&amp;LEFT(AH$2,2)*1,AH$2),Data!$K$3:$K$137,$B19)</f>
        <v>0</v>
      </c>
      <c r="AI43" s="462">
        <f t="shared" ca="1" si="27"/>
        <v>0</v>
      </c>
      <c r="AJ43" s="463">
        <f t="shared" ca="1" si="28"/>
        <v>0</v>
      </c>
      <c r="AK43" s="3"/>
      <c r="AL43" s="462">
        <v>271320</v>
      </c>
      <c r="AM43" s="462">
        <v>0</v>
      </c>
      <c r="AN43" s="3"/>
      <c r="AO43" s="3"/>
      <c r="AP43" s="3"/>
      <c r="AQ43" s="3"/>
      <c r="AR43" s="3"/>
      <c r="AS43" s="3"/>
      <c r="AT43" s="3"/>
      <c r="AU43" s="3"/>
    </row>
    <row r="44" spans="1:47" ht="19.5" hidden="1" customHeight="1" x14ac:dyDescent="0.3">
      <c r="A44" s="3" t="s">
        <v>543</v>
      </c>
      <c r="B44" s="474" t="s">
        <v>544</v>
      </c>
      <c r="C44" s="464" t="s">
        <v>535</v>
      </c>
      <c r="D44" s="3"/>
      <c r="E44" s="462">
        <f t="shared" si="21"/>
        <v>3760.8333333333335</v>
      </c>
      <c r="F44" s="462">
        <f ca="1">IFERROR(1/F$3,1)*SUMIFS(Data!$AD$3:$AD$137,Data!$Y$3:$Y$137,F$1,Data!$Z$3:$Z$137,IF(RIGHT(F$2,3)="YTD","&lt;="&amp;LEFT(F$2,2)*1,F$2),Data!$K$3:$K$137,$B44)</f>
        <v>0</v>
      </c>
      <c r="G44" s="462">
        <f t="shared" si="22"/>
        <v>20833.333333333332</v>
      </c>
      <c r="H44" s="472"/>
      <c r="I44" s="462">
        <f>IFERROR(1/I$3,1)*SUMIFS(Data!$AD$3:$AD$137,Data!$Y$3:$Y$137,I$1,Data!$Z$3:$Z$137,IF(RIGHT(I$2,3)="YTD","&lt;="&amp;LEFT(I$2,2)*1,I$2),Data!$K$3:$K$137,$B44)</f>
        <v>0</v>
      </c>
      <c r="J44" s="462">
        <f>IFERROR(1/J$3,1)*SUMIFS(Data!$AD$3:$AD$137,Data!$Y$3:$Y$137,J$1,Data!$Z$3:$Z$137,IF(RIGHT(J$2,3)="YTD","&lt;="&amp;LEFT(J$2,2)*1,J$2),Data!$K$3:$K$137,$B44)</f>
        <v>0</v>
      </c>
      <c r="K44" s="462">
        <f>IFERROR(1/K$3,1)*SUMIFS(Data!$AD$3:$AD$137,Data!$Y$3:$Y$137,K$1,Data!$Z$3:$Z$137,IF(RIGHT(K$2,3)="YTD","&lt;="&amp;LEFT(K$2,2)*1,K$2),Data!$K$3:$K$137,$B44)</f>
        <v>0</v>
      </c>
      <c r="L44" s="462">
        <f>IFERROR(1/L$3,1)*SUMIFS(Data!$AD$3:$AD$137,Data!$Y$3:$Y$137,L$1,Data!$Z$3:$Z$137,IF(RIGHT(L$2,3)="YTD","&lt;="&amp;LEFT(L$2,2)*1,L$2),Data!$K$3:$K$137,$B44)</f>
        <v>0</v>
      </c>
      <c r="M44" s="462">
        <f>IFERROR(1/M$3,1)*SUMIFS(Data!$AD$3:$AD$137,Data!$Y$3:$Y$137,M$1,Data!$Z$3:$Z$137,IF(RIGHT(M$2,3)="YTD","&lt;="&amp;LEFT(M$2,2)*1,M$2),Data!$K$3:$K$137,$B44)</f>
        <v>0</v>
      </c>
      <c r="N44" s="462">
        <f>IFERROR(1/N$3,1)*SUMIFS(Data!$AD$3:$AD$137,Data!$Y$3:$Y$137,N$1,Data!$Z$3:$Z$137,IF(RIGHT(N$2,3)="YTD","&lt;="&amp;LEFT(N$2,2)*1,N$2),Data!$K$3:$K$137,$B44)</f>
        <v>0</v>
      </c>
      <c r="O44" s="462">
        <f>IFERROR(1/O$3,1)*SUMIFS(Data!$AD$3:$AD$137,Data!$Y$3:$Y$137,O$1,Data!$Z$3:$Z$137,IF(RIGHT(O$2,3)="YTD","&lt;="&amp;LEFT(O$2,2)*1,O$2),Data!$K$3:$K$137,$B44)</f>
        <v>0</v>
      </c>
      <c r="P44" s="462">
        <f>IFERROR(1/P$3,1)*SUMIFS(Data!$AD$3:$AD$137,Data!$Y$3:$Y$137,P$1,Data!$Z$3:$Z$137,IF(RIGHT(P$2,3)="YTD","&lt;="&amp;LEFT(P$2,2)*1,P$2),Data!$K$3:$K$137,$B44)</f>
        <v>0</v>
      </c>
      <c r="Q44" s="462">
        <f>IFERROR(1/Q$3,1)*SUMIFS(Data!$AD$3:$AD$137,Data!$Y$3:$Y$137,Q$1,Data!$Z$3:$Z$137,IF(RIGHT(Q$2,3)="YTD","&lt;="&amp;LEFT(Q$2,2)*1,Q$2),Data!$K$3:$K$137,$B44)</f>
        <v>0</v>
      </c>
      <c r="R44" s="462">
        <f>IFERROR(1/R$3,1)*SUMIFS(Data!$AD$3:$AD$137,Data!$Y$3:$Y$137,R$1,Data!$Z$3:$Z$137,IF(RIGHT(R$2,3)="YTD","&lt;="&amp;LEFT(R$2,2)*1,R$2),Data!$K$3:$K$137,$B44)</f>
        <v>0</v>
      </c>
      <c r="S44" s="462">
        <f>IFERROR(1/S$3,1)*SUMIFS(Data!$AD$3:$AD$137,Data!$Y$3:$Y$137,S$1,Data!$Z$3:$Z$137,IF(RIGHT(S$2,3)="YTD","&lt;="&amp;LEFT(S$2,2)*1,S$2),Data!$K$3:$K$137,$B44)</f>
        <v>0</v>
      </c>
      <c r="T44" s="462">
        <f>IFERROR(1/T$3,1)*SUMIFS(Data!$AD$3:$AD$137,Data!$Y$3:$Y$137,T$1,Data!$Z$3:$Z$137,IF(RIGHT(T$2,3)="YTD","&lt;="&amp;LEFT(T$2,2)*1,T$2),Data!$K$3:$K$137,$B44)</f>
        <v>0</v>
      </c>
      <c r="U44" s="3"/>
      <c r="V44" s="462">
        <f t="shared" si="23"/>
        <v>3760.8333333333335</v>
      </c>
      <c r="W44" s="462">
        <f t="shared" ca="1" si="24"/>
        <v>0</v>
      </c>
      <c r="X44" s="462">
        <f t="shared" si="25"/>
        <v>20833.333333333332</v>
      </c>
      <c r="Y44" s="462">
        <f t="shared" si="26"/>
        <v>20833.333333333332</v>
      </c>
      <c r="Z44" s="462">
        <f t="shared" si="26"/>
        <v>20833.333333333332</v>
      </c>
      <c r="AA44" s="462">
        <f t="shared" si="26"/>
        <v>20833.333333333332</v>
      </c>
      <c r="AB44" s="462">
        <f t="shared" si="26"/>
        <v>20833.333333333332</v>
      </c>
      <c r="AC44" s="462">
        <f t="shared" si="26"/>
        <v>20833.333333333332</v>
      </c>
      <c r="AD44" s="462">
        <f t="shared" si="26"/>
        <v>20833.333333333332</v>
      </c>
      <c r="AE44" s="462">
        <f t="shared" si="26"/>
        <v>20833.333333333332</v>
      </c>
      <c r="AF44" s="462">
        <f t="shared" si="26"/>
        <v>20833.333333333332</v>
      </c>
      <c r="AG44" s="462"/>
      <c r="AH44" s="462">
        <f ca="1">IFERROR(1/AH$3,1)*SUMIFS(Data!$AD$3:$AD$137,Data!$Y$3:$Y$137,AH$1,Data!$Z$3:$Z$137,IF(RIGHT(AH$2,3)="YTD","&lt;="&amp;LEFT(AH$2,2)*1,AH$2),Data!$K$3:$K$137,$B20)</f>
        <v>0</v>
      </c>
      <c r="AI44" s="462">
        <f t="shared" ca="1" si="27"/>
        <v>83333.333333333328</v>
      </c>
      <c r="AJ44" s="463">
        <f t="shared" ca="1" si="28"/>
        <v>-83333.333333333328</v>
      </c>
      <c r="AK44" s="3"/>
      <c r="AL44" s="462">
        <v>45130</v>
      </c>
      <c r="AM44" s="465">
        <v>250000</v>
      </c>
      <c r="AN44" s="3"/>
      <c r="AO44" s="3"/>
      <c r="AP44" s="3"/>
      <c r="AQ44" s="3"/>
      <c r="AR44" s="3"/>
      <c r="AS44" s="3"/>
      <c r="AT44" s="3"/>
      <c r="AU44" s="3"/>
    </row>
    <row r="45" spans="1:47" ht="19.5" hidden="1" customHeight="1" x14ac:dyDescent="0.3">
      <c r="A45" s="33" t="s">
        <v>545</v>
      </c>
      <c r="B45" s="474" t="s">
        <v>546</v>
      </c>
      <c r="C45" s="464" t="s">
        <v>535</v>
      </c>
      <c r="D45" s="3"/>
      <c r="E45" s="462">
        <f t="shared" si="21"/>
        <v>10592.833333333334</v>
      </c>
      <c r="F45" s="462">
        <f ca="1">IFERROR(1/F$3,1)*SUMIFS(Data!$AD$3:$AD$137,Data!$Y$3:$Y$137,F$1,Data!$Z$3:$Z$137,IF(RIGHT(F$2,3)="YTD","&lt;="&amp;LEFT(F$2,2)*1,F$2),Data!$K$3:$K$137,$B45)</f>
        <v>0</v>
      </c>
      <c r="G45" s="462">
        <f t="shared" si="22"/>
        <v>3750</v>
      </c>
      <c r="H45" s="472"/>
      <c r="I45" s="462">
        <f>IFERROR(1/I$3,1)*SUMIFS(Data!$AD$3:$AD$137,Data!$Y$3:$Y$137,I$1,Data!$Z$3:$Z$137,IF(RIGHT(I$2,3)="YTD","&lt;="&amp;LEFT(I$2,2)*1,I$2),Data!$K$3:$K$137,$B45)</f>
        <v>0</v>
      </c>
      <c r="J45" s="462">
        <f>IFERROR(1/J$3,1)*SUMIFS(Data!$AD$3:$AD$137,Data!$Y$3:$Y$137,J$1,Data!$Z$3:$Z$137,IF(RIGHT(J$2,3)="YTD","&lt;="&amp;LEFT(J$2,2)*1,J$2),Data!$K$3:$K$137,$B45)</f>
        <v>0</v>
      </c>
      <c r="K45" s="462">
        <f>IFERROR(1/K$3,1)*SUMIFS(Data!$AD$3:$AD$137,Data!$Y$3:$Y$137,K$1,Data!$Z$3:$Z$137,IF(RIGHT(K$2,3)="YTD","&lt;="&amp;LEFT(K$2,2)*1,K$2),Data!$K$3:$K$137,$B45)</f>
        <v>0</v>
      </c>
      <c r="L45" s="462">
        <f>IFERROR(1/L$3,1)*SUMIFS(Data!$AD$3:$AD$137,Data!$Y$3:$Y$137,L$1,Data!$Z$3:$Z$137,IF(RIGHT(L$2,3)="YTD","&lt;="&amp;LEFT(L$2,2)*1,L$2),Data!$K$3:$K$137,$B45)</f>
        <v>0</v>
      </c>
      <c r="M45" s="462">
        <f>IFERROR(1/M$3,1)*SUMIFS(Data!$AD$3:$AD$137,Data!$Y$3:$Y$137,M$1,Data!$Z$3:$Z$137,IF(RIGHT(M$2,3)="YTD","&lt;="&amp;LEFT(M$2,2)*1,M$2),Data!$K$3:$K$137,$B45)</f>
        <v>0</v>
      </c>
      <c r="N45" s="462">
        <f>IFERROR(1/N$3,1)*SUMIFS(Data!$AD$3:$AD$137,Data!$Y$3:$Y$137,N$1,Data!$Z$3:$Z$137,IF(RIGHT(N$2,3)="YTD","&lt;="&amp;LEFT(N$2,2)*1,N$2),Data!$K$3:$K$137,$B45)</f>
        <v>0</v>
      </c>
      <c r="O45" s="462">
        <f>IFERROR(1/O$3,1)*SUMIFS(Data!$AD$3:$AD$137,Data!$Y$3:$Y$137,O$1,Data!$Z$3:$Z$137,IF(RIGHT(O$2,3)="YTD","&lt;="&amp;LEFT(O$2,2)*1,O$2),Data!$K$3:$K$137,$B45)</f>
        <v>0</v>
      </c>
      <c r="P45" s="462">
        <f>IFERROR(1/P$3,1)*SUMIFS(Data!$AD$3:$AD$137,Data!$Y$3:$Y$137,P$1,Data!$Z$3:$Z$137,IF(RIGHT(P$2,3)="YTD","&lt;="&amp;LEFT(P$2,2)*1,P$2),Data!$K$3:$K$137,$B45)</f>
        <v>0</v>
      </c>
      <c r="Q45" s="462">
        <f>IFERROR(1/Q$3,1)*SUMIFS(Data!$AD$3:$AD$137,Data!$Y$3:$Y$137,Q$1,Data!$Z$3:$Z$137,IF(RIGHT(Q$2,3)="YTD","&lt;="&amp;LEFT(Q$2,2)*1,Q$2),Data!$K$3:$K$137,$B45)</f>
        <v>0</v>
      </c>
      <c r="R45" s="462">
        <f>IFERROR(1/R$3,1)*SUMIFS(Data!$AD$3:$AD$137,Data!$Y$3:$Y$137,R$1,Data!$Z$3:$Z$137,IF(RIGHT(R$2,3)="YTD","&lt;="&amp;LEFT(R$2,2)*1,R$2),Data!$K$3:$K$137,$B45)</f>
        <v>0</v>
      </c>
      <c r="S45" s="462">
        <f>IFERROR(1/S$3,1)*SUMIFS(Data!$AD$3:$AD$137,Data!$Y$3:$Y$137,S$1,Data!$Z$3:$Z$137,IF(RIGHT(S$2,3)="YTD","&lt;="&amp;LEFT(S$2,2)*1,S$2),Data!$K$3:$K$137,$B45)</f>
        <v>0</v>
      </c>
      <c r="T45" s="462">
        <f>IFERROR(1/T$3,1)*SUMIFS(Data!$AD$3:$AD$137,Data!$Y$3:$Y$137,T$1,Data!$Z$3:$Z$137,IF(RIGHT(T$2,3)="YTD","&lt;="&amp;LEFT(T$2,2)*1,T$2),Data!$K$3:$K$137,$B45)</f>
        <v>0</v>
      </c>
      <c r="U45" s="3"/>
      <c r="V45" s="462">
        <f t="shared" si="23"/>
        <v>10592.833333333334</v>
      </c>
      <c r="W45" s="462">
        <f t="shared" ca="1" si="24"/>
        <v>0</v>
      </c>
      <c r="X45" s="462">
        <f t="shared" si="25"/>
        <v>3750</v>
      </c>
      <c r="Y45" s="462">
        <f t="shared" si="26"/>
        <v>3750</v>
      </c>
      <c r="Z45" s="462">
        <f t="shared" si="26"/>
        <v>3750</v>
      </c>
      <c r="AA45" s="462">
        <f t="shared" si="26"/>
        <v>3750</v>
      </c>
      <c r="AB45" s="462">
        <f t="shared" si="26"/>
        <v>3750</v>
      </c>
      <c r="AC45" s="462">
        <f t="shared" si="26"/>
        <v>3750</v>
      </c>
      <c r="AD45" s="462">
        <f t="shared" si="26"/>
        <v>3750</v>
      </c>
      <c r="AE45" s="462">
        <f t="shared" si="26"/>
        <v>3750</v>
      </c>
      <c r="AF45" s="462">
        <f t="shared" si="26"/>
        <v>3750</v>
      </c>
      <c r="AG45" s="462"/>
      <c r="AH45" s="462">
        <f ca="1">IFERROR(1/AH$3,1)*SUMIFS(Data!$AD$3:$AD$137,Data!$Y$3:$Y$137,AH$1,Data!$Z$3:$Z$137,IF(RIGHT(AH$2,3)="YTD","&lt;="&amp;LEFT(AH$2,2)*1,AH$2),Data!$K$3:$K$137,$B21)</f>
        <v>0</v>
      </c>
      <c r="AI45" s="462">
        <f t="shared" ca="1" si="27"/>
        <v>15000</v>
      </c>
      <c r="AJ45" s="463">
        <f t="shared" ca="1" si="28"/>
        <v>-15000</v>
      </c>
      <c r="AK45" s="3"/>
      <c r="AL45" s="462">
        <v>127114</v>
      </c>
      <c r="AM45" s="465">
        <v>45000</v>
      </c>
      <c r="AN45" s="3"/>
      <c r="AO45" s="3"/>
      <c r="AP45" s="3"/>
      <c r="AQ45" s="3"/>
      <c r="AR45" s="3"/>
      <c r="AS45" s="3"/>
      <c r="AT45" s="3"/>
      <c r="AU45" s="3"/>
    </row>
    <row r="46" spans="1:47" ht="19.5" hidden="1" customHeight="1" x14ac:dyDescent="0.3">
      <c r="A46" s="33" t="s">
        <v>547</v>
      </c>
      <c r="B46" s="474" t="s">
        <v>548</v>
      </c>
      <c r="C46" s="464" t="s">
        <v>535</v>
      </c>
      <c r="D46" s="3"/>
      <c r="E46" s="462">
        <f t="shared" si="21"/>
        <v>10881.333333333334</v>
      </c>
      <c r="F46" s="462">
        <f ca="1">IFERROR(1/F$3,1)*SUMIFS(Data!$AD$3:$AD$137,Data!$Y$3:$Y$137,F$1,Data!$Z$3:$Z$137,IF(RIGHT(F$2,3)="YTD","&lt;="&amp;LEFT(F$2,2)*1,F$2),Data!$K$3:$K$137,$B46)</f>
        <v>0</v>
      </c>
      <c r="G46" s="462">
        <f t="shared" si="22"/>
        <v>20833.333333333332</v>
      </c>
      <c r="H46" s="472"/>
      <c r="I46" s="462">
        <f>IFERROR(1/I$3,1)*SUMIFS(Data!$AD$3:$AD$137,Data!$Y$3:$Y$137,I$1,Data!$Z$3:$Z$137,IF(RIGHT(I$2,3)="YTD","&lt;="&amp;LEFT(I$2,2)*1,I$2),Data!$K$3:$K$137,$B46)</f>
        <v>0</v>
      </c>
      <c r="J46" s="462">
        <f>IFERROR(1/J$3,1)*SUMIFS(Data!$AD$3:$AD$137,Data!$Y$3:$Y$137,J$1,Data!$Z$3:$Z$137,IF(RIGHT(J$2,3)="YTD","&lt;="&amp;LEFT(J$2,2)*1,J$2),Data!$K$3:$K$137,$B46)</f>
        <v>0</v>
      </c>
      <c r="K46" s="462">
        <f>IFERROR(1/K$3,1)*SUMIFS(Data!$AD$3:$AD$137,Data!$Y$3:$Y$137,K$1,Data!$Z$3:$Z$137,IF(RIGHT(K$2,3)="YTD","&lt;="&amp;LEFT(K$2,2)*1,K$2),Data!$K$3:$K$137,$B46)</f>
        <v>0</v>
      </c>
      <c r="L46" s="462">
        <f>IFERROR(1/L$3,1)*SUMIFS(Data!$AD$3:$AD$137,Data!$Y$3:$Y$137,L$1,Data!$Z$3:$Z$137,IF(RIGHT(L$2,3)="YTD","&lt;="&amp;LEFT(L$2,2)*1,L$2),Data!$K$3:$K$137,$B46)</f>
        <v>0</v>
      </c>
      <c r="M46" s="462">
        <f>IFERROR(1/M$3,1)*SUMIFS(Data!$AD$3:$AD$137,Data!$Y$3:$Y$137,M$1,Data!$Z$3:$Z$137,IF(RIGHT(M$2,3)="YTD","&lt;="&amp;LEFT(M$2,2)*1,M$2),Data!$K$3:$K$137,$B46)</f>
        <v>0</v>
      </c>
      <c r="N46" s="462">
        <f>IFERROR(1/N$3,1)*SUMIFS(Data!$AD$3:$AD$137,Data!$Y$3:$Y$137,N$1,Data!$Z$3:$Z$137,IF(RIGHT(N$2,3)="YTD","&lt;="&amp;LEFT(N$2,2)*1,N$2),Data!$K$3:$K$137,$B46)</f>
        <v>0</v>
      </c>
      <c r="O46" s="462">
        <f>IFERROR(1/O$3,1)*SUMIFS(Data!$AD$3:$AD$137,Data!$Y$3:$Y$137,O$1,Data!$Z$3:$Z$137,IF(RIGHT(O$2,3)="YTD","&lt;="&amp;LEFT(O$2,2)*1,O$2),Data!$K$3:$K$137,$B46)</f>
        <v>0</v>
      </c>
      <c r="P46" s="462">
        <f>IFERROR(1/P$3,1)*SUMIFS(Data!$AD$3:$AD$137,Data!$Y$3:$Y$137,P$1,Data!$Z$3:$Z$137,IF(RIGHT(P$2,3)="YTD","&lt;="&amp;LEFT(P$2,2)*1,P$2),Data!$K$3:$K$137,$B46)</f>
        <v>0</v>
      </c>
      <c r="Q46" s="462">
        <f>IFERROR(1/Q$3,1)*SUMIFS(Data!$AD$3:$AD$137,Data!$Y$3:$Y$137,Q$1,Data!$Z$3:$Z$137,IF(RIGHT(Q$2,3)="YTD","&lt;="&amp;LEFT(Q$2,2)*1,Q$2),Data!$K$3:$K$137,$B46)</f>
        <v>0</v>
      </c>
      <c r="R46" s="462">
        <f>IFERROR(1/R$3,1)*SUMIFS(Data!$AD$3:$AD$137,Data!$Y$3:$Y$137,R$1,Data!$Z$3:$Z$137,IF(RIGHT(R$2,3)="YTD","&lt;="&amp;LEFT(R$2,2)*1,R$2),Data!$K$3:$K$137,$B46)</f>
        <v>0</v>
      </c>
      <c r="S46" s="462">
        <f>IFERROR(1/S$3,1)*SUMIFS(Data!$AD$3:$AD$137,Data!$Y$3:$Y$137,S$1,Data!$Z$3:$Z$137,IF(RIGHT(S$2,3)="YTD","&lt;="&amp;LEFT(S$2,2)*1,S$2),Data!$K$3:$K$137,$B46)</f>
        <v>0</v>
      </c>
      <c r="T46" s="462">
        <f>IFERROR(1/T$3,1)*SUMIFS(Data!$AD$3:$AD$137,Data!$Y$3:$Y$137,T$1,Data!$Z$3:$Z$137,IF(RIGHT(T$2,3)="YTD","&lt;="&amp;LEFT(T$2,2)*1,T$2),Data!$K$3:$K$137,$B46)</f>
        <v>0</v>
      </c>
      <c r="U46" s="3"/>
      <c r="V46" s="462">
        <f t="shared" si="23"/>
        <v>10881.333333333334</v>
      </c>
      <c r="W46" s="462">
        <f t="shared" ca="1" si="24"/>
        <v>0</v>
      </c>
      <c r="X46" s="462">
        <f t="shared" si="25"/>
        <v>20833.333333333332</v>
      </c>
      <c r="Y46" s="462">
        <f t="shared" si="26"/>
        <v>20833.333333333332</v>
      </c>
      <c r="Z46" s="462">
        <f t="shared" si="26"/>
        <v>20833.333333333332</v>
      </c>
      <c r="AA46" s="462">
        <f t="shared" si="26"/>
        <v>20833.333333333332</v>
      </c>
      <c r="AB46" s="462">
        <f t="shared" si="26"/>
        <v>20833.333333333332</v>
      </c>
      <c r="AC46" s="462">
        <f t="shared" si="26"/>
        <v>20833.333333333332</v>
      </c>
      <c r="AD46" s="462">
        <f t="shared" si="26"/>
        <v>20833.333333333332</v>
      </c>
      <c r="AE46" s="462">
        <f t="shared" si="26"/>
        <v>20833.333333333332</v>
      </c>
      <c r="AF46" s="462">
        <f t="shared" si="26"/>
        <v>20833.333333333332</v>
      </c>
      <c r="AG46" s="462"/>
      <c r="AH46" s="462">
        <f ca="1">IFERROR(1/AH$3,1)*SUMIFS(Data!$AD$3:$AD$137,Data!$Y$3:$Y$137,AH$1,Data!$Z$3:$Z$137,IF(RIGHT(AH$2,3)="YTD","&lt;="&amp;LEFT(AH$2,2)*1,AH$2),Data!$K$3:$K$137,$B22)</f>
        <v>0</v>
      </c>
      <c r="AI46" s="462">
        <f t="shared" ca="1" si="27"/>
        <v>83333.333333333328</v>
      </c>
      <c r="AJ46" s="463">
        <f t="shared" ca="1" si="28"/>
        <v>-83333.333333333328</v>
      </c>
      <c r="AK46" s="3"/>
      <c r="AL46" s="462">
        <v>130576</v>
      </c>
      <c r="AM46" s="465">
        <v>250000</v>
      </c>
      <c r="AN46" s="3"/>
      <c r="AO46" s="3"/>
      <c r="AP46" s="3"/>
      <c r="AQ46" s="3"/>
      <c r="AR46" s="3"/>
      <c r="AS46" s="3"/>
      <c r="AT46" s="3"/>
      <c r="AU46" s="3"/>
    </row>
    <row r="47" spans="1:47" ht="19.5" hidden="1" customHeight="1" x14ac:dyDescent="0.3">
      <c r="A47" s="3" t="s">
        <v>549</v>
      </c>
      <c r="B47" s="474" t="s">
        <v>550</v>
      </c>
      <c r="C47" s="464" t="s">
        <v>535</v>
      </c>
      <c r="D47" s="3"/>
      <c r="E47" s="462">
        <f t="shared" si="21"/>
        <v>742</v>
      </c>
      <c r="F47" s="462">
        <f ca="1">IFERROR(1/F$3,1)*SUMIFS(Data!$AD$3:$AD$137,Data!$Y$3:$Y$137,F$1,Data!$Z$3:$Z$137,IF(RIGHT(F$2,3)="YTD","&lt;="&amp;LEFT(F$2,2)*1,F$2),Data!$K$3:$K$137,$B47)</f>
        <v>0</v>
      </c>
      <c r="G47" s="462">
        <f t="shared" si="22"/>
        <v>0</v>
      </c>
      <c r="H47" s="472"/>
      <c r="I47" s="462">
        <f>IFERROR(1/I$3,1)*SUMIFS(Data!$AD$3:$AD$137,Data!$Y$3:$Y$137,I$1,Data!$Z$3:$Z$137,IF(RIGHT(I$2,3)="YTD","&lt;="&amp;LEFT(I$2,2)*1,I$2),Data!$K$3:$K$137,$B47)</f>
        <v>0</v>
      </c>
      <c r="J47" s="462">
        <f>IFERROR(1/J$3,1)*SUMIFS(Data!$AD$3:$AD$137,Data!$Y$3:$Y$137,J$1,Data!$Z$3:$Z$137,IF(RIGHT(J$2,3)="YTD","&lt;="&amp;LEFT(J$2,2)*1,J$2),Data!$K$3:$K$137,$B47)</f>
        <v>0</v>
      </c>
      <c r="K47" s="462">
        <f>IFERROR(1/K$3,1)*SUMIFS(Data!$AD$3:$AD$137,Data!$Y$3:$Y$137,K$1,Data!$Z$3:$Z$137,IF(RIGHT(K$2,3)="YTD","&lt;="&amp;LEFT(K$2,2)*1,K$2),Data!$K$3:$K$137,$B47)</f>
        <v>0</v>
      </c>
      <c r="L47" s="462">
        <f>IFERROR(1/L$3,1)*SUMIFS(Data!$AD$3:$AD$137,Data!$Y$3:$Y$137,L$1,Data!$Z$3:$Z$137,IF(RIGHT(L$2,3)="YTD","&lt;="&amp;LEFT(L$2,2)*1,L$2),Data!$K$3:$K$137,$B47)</f>
        <v>0</v>
      </c>
      <c r="M47" s="462">
        <f>IFERROR(1/M$3,1)*SUMIFS(Data!$AD$3:$AD$137,Data!$Y$3:$Y$137,M$1,Data!$Z$3:$Z$137,IF(RIGHT(M$2,3)="YTD","&lt;="&amp;LEFT(M$2,2)*1,M$2),Data!$K$3:$K$137,$B47)</f>
        <v>0</v>
      </c>
      <c r="N47" s="462">
        <f>IFERROR(1/N$3,1)*SUMIFS(Data!$AD$3:$AD$137,Data!$Y$3:$Y$137,N$1,Data!$Z$3:$Z$137,IF(RIGHT(N$2,3)="YTD","&lt;="&amp;LEFT(N$2,2)*1,N$2),Data!$K$3:$K$137,$B47)</f>
        <v>0</v>
      </c>
      <c r="O47" s="462">
        <f>IFERROR(1/O$3,1)*SUMIFS(Data!$AD$3:$AD$137,Data!$Y$3:$Y$137,O$1,Data!$Z$3:$Z$137,IF(RIGHT(O$2,3)="YTD","&lt;="&amp;LEFT(O$2,2)*1,O$2),Data!$K$3:$K$137,$B47)</f>
        <v>0</v>
      </c>
      <c r="P47" s="462">
        <f>IFERROR(1/P$3,1)*SUMIFS(Data!$AD$3:$AD$137,Data!$Y$3:$Y$137,P$1,Data!$Z$3:$Z$137,IF(RIGHT(P$2,3)="YTD","&lt;="&amp;LEFT(P$2,2)*1,P$2),Data!$K$3:$K$137,$B47)</f>
        <v>0</v>
      </c>
      <c r="Q47" s="462">
        <f>IFERROR(1/Q$3,1)*SUMIFS(Data!$AD$3:$AD$137,Data!$Y$3:$Y$137,Q$1,Data!$Z$3:$Z$137,IF(RIGHT(Q$2,3)="YTD","&lt;="&amp;LEFT(Q$2,2)*1,Q$2),Data!$K$3:$K$137,$B47)</f>
        <v>0</v>
      </c>
      <c r="R47" s="462">
        <f>IFERROR(1/R$3,1)*SUMIFS(Data!$AD$3:$AD$137,Data!$Y$3:$Y$137,R$1,Data!$Z$3:$Z$137,IF(RIGHT(R$2,3)="YTD","&lt;="&amp;LEFT(R$2,2)*1,R$2),Data!$K$3:$K$137,$B47)</f>
        <v>0</v>
      </c>
      <c r="S47" s="462">
        <f>IFERROR(1/S$3,1)*SUMIFS(Data!$AD$3:$AD$137,Data!$Y$3:$Y$137,S$1,Data!$Z$3:$Z$137,IF(RIGHT(S$2,3)="YTD","&lt;="&amp;LEFT(S$2,2)*1,S$2),Data!$K$3:$K$137,$B47)</f>
        <v>0</v>
      </c>
      <c r="T47" s="462">
        <f>IFERROR(1/T$3,1)*SUMIFS(Data!$AD$3:$AD$137,Data!$Y$3:$Y$137,T$1,Data!$Z$3:$Z$137,IF(RIGHT(T$2,3)="YTD","&lt;="&amp;LEFT(T$2,2)*1,T$2),Data!$K$3:$K$137,$B47)</f>
        <v>0</v>
      </c>
      <c r="U47" s="3"/>
      <c r="V47" s="462">
        <f t="shared" si="23"/>
        <v>742</v>
      </c>
      <c r="W47" s="462">
        <f t="shared" ca="1" si="24"/>
        <v>0</v>
      </c>
      <c r="X47" s="462">
        <f t="shared" si="25"/>
        <v>0</v>
      </c>
      <c r="Y47" s="462">
        <f t="shared" si="26"/>
        <v>0</v>
      </c>
      <c r="Z47" s="462">
        <f t="shared" si="26"/>
        <v>0</v>
      </c>
      <c r="AA47" s="462">
        <f t="shared" si="26"/>
        <v>0</v>
      </c>
      <c r="AB47" s="462">
        <f t="shared" si="26"/>
        <v>0</v>
      </c>
      <c r="AC47" s="462">
        <f t="shared" si="26"/>
        <v>0</v>
      </c>
      <c r="AD47" s="462">
        <f t="shared" si="26"/>
        <v>0</v>
      </c>
      <c r="AE47" s="462">
        <f t="shared" si="26"/>
        <v>0</v>
      </c>
      <c r="AF47" s="462">
        <f t="shared" si="26"/>
        <v>0</v>
      </c>
      <c r="AG47" s="462"/>
      <c r="AH47" s="462">
        <f ca="1">IFERROR(1/AH$3,1)*SUMIFS(Data!$AD$3:$AD$137,Data!$Y$3:$Y$137,AH$1,Data!$Z$3:$Z$137,IF(RIGHT(AH$2,3)="YTD","&lt;="&amp;LEFT(AH$2,2)*1,AH$2),Data!$K$3:$K$137,$B23)</f>
        <v>0</v>
      </c>
      <c r="AI47" s="462">
        <f t="shared" ca="1" si="27"/>
        <v>0</v>
      </c>
      <c r="AJ47" s="463">
        <f t="shared" ca="1" si="28"/>
        <v>0</v>
      </c>
      <c r="AK47" s="3"/>
      <c r="AL47" s="462">
        <v>8904</v>
      </c>
      <c r="AM47" s="462">
        <v>0</v>
      </c>
      <c r="AN47" s="3"/>
      <c r="AO47" s="3"/>
      <c r="AP47" s="3"/>
      <c r="AQ47" s="3"/>
      <c r="AR47" s="3"/>
      <c r="AS47" s="3"/>
      <c r="AT47" s="3"/>
      <c r="AU47" s="3"/>
    </row>
    <row r="48" spans="1:47" ht="19.5" hidden="1" customHeight="1" x14ac:dyDescent="0.3">
      <c r="A48" s="3"/>
      <c r="B48" s="474" t="s">
        <v>551</v>
      </c>
      <c r="C48" s="464" t="s">
        <v>535</v>
      </c>
      <c r="D48" s="3"/>
      <c r="E48" s="462">
        <f t="shared" si="21"/>
        <v>22610</v>
      </c>
      <c r="F48" s="462">
        <f ca="1">IFERROR(1/F$3,1)*SUMIFS(Data!$AD$3:$AD$137,Data!$Y$3:$Y$137,F$1,Data!$Z$3:$Z$137,IF(RIGHT(F$2,3)="YTD","&lt;="&amp;LEFT(F$2,2)*1,F$2),Data!$K$3:$K$137,$B48)</f>
        <v>0</v>
      </c>
      <c r="G48" s="462">
        <f t="shared" si="22"/>
        <v>0</v>
      </c>
      <c r="H48" s="472"/>
      <c r="I48" s="462">
        <f>IFERROR(1/I$3,1)*SUMIFS(Data!$AD$3:$AD$137,Data!$Y$3:$Y$137,I$1,Data!$Z$3:$Z$137,IF(RIGHT(I$2,3)="YTD","&lt;="&amp;LEFT(I$2,2)*1,I$2),Data!$K$3:$K$137,$B48)</f>
        <v>0</v>
      </c>
      <c r="J48" s="462">
        <f>IFERROR(1/J$3,1)*SUMIFS(Data!$AD$3:$AD$137,Data!$Y$3:$Y$137,J$1,Data!$Z$3:$Z$137,IF(RIGHT(J$2,3)="YTD","&lt;="&amp;LEFT(J$2,2)*1,J$2),Data!$K$3:$K$137,$B48)</f>
        <v>0</v>
      </c>
      <c r="K48" s="462">
        <f>IFERROR(1/K$3,1)*SUMIFS(Data!$AD$3:$AD$137,Data!$Y$3:$Y$137,K$1,Data!$Z$3:$Z$137,IF(RIGHT(K$2,3)="YTD","&lt;="&amp;LEFT(K$2,2)*1,K$2),Data!$K$3:$K$137,$B48)</f>
        <v>0</v>
      </c>
      <c r="L48" s="462">
        <f>IFERROR(1/L$3,1)*SUMIFS(Data!$AD$3:$AD$137,Data!$Y$3:$Y$137,L$1,Data!$Z$3:$Z$137,IF(RIGHT(L$2,3)="YTD","&lt;="&amp;LEFT(L$2,2)*1,L$2),Data!$K$3:$K$137,$B48)</f>
        <v>0</v>
      </c>
      <c r="M48" s="462">
        <f>IFERROR(1/M$3,1)*SUMIFS(Data!$AD$3:$AD$137,Data!$Y$3:$Y$137,M$1,Data!$Z$3:$Z$137,IF(RIGHT(M$2,3)="YTD","&lt;="&amp;LEFT(M$2,2)*1,M$2),Data!$K$3:$K$137,$B48)</f>
        <v>0</v>
      </c>
      <c r="N48" s="462">
        <f>IFERROR(1/N$3,1)*SUMIFS(Data!$AD$3:$AD$137,Data!$Y$3:$Y$137,N$1,Data!$Z$3:$Z$137,IF(RIGHT(N$2,3)="YTD","&lt;="&amp;LEFT(N$2,2)*1,N$2),Data!$K$3:$K$137,$B48)</f>
        <v>0</v>
      </c>
      <c r="O48" s="462">
        <f>IFERROR(1/O$3,1)*SUMIFS(Data!$AD$3:$AD$137,Data!$Y$3:$Y$137,O$1,Data!$Z$3:$Z$137,IF(RIGHT(O$2,3)="YTD","&lt;="&amp;LEFT(O$2,2)*1,O$2),Data!$K$3:$K$137,$B48)</f>
        <v>0</v>
      </c>
      <c r="P48" s="462">
        <f>IFERROR(1/P$3,1)*SUMIFS(Data!$AD$3:$AD$137,Data!$Y$3:$Y$137,P$1,Data!$Z$3:$Z$137,IF(RIGHT(P$2,3)="YTD","&lt;="&amp;LEFT(P$2,2)*1,P$2),Data!$K$3:$K$137,$B48)</f>
        <v>0</v>
      </c>
      <c r="Q48" s="462">
        <f>IFERROR(1/Q$3,1)*SUMIFS(Data!$AD$3:$AD$137,Data!$Y$3:$Y$137,Q$1,Data!$Z$3:$Z$137,IF(RIGHT(Q$2,3)="YTD","&lt;="&amp;LEFT(Q$2,2)*1,Q$2),Data!$K$3:$K$137,$B48)</f>
        <v>0</v>
      </c>
      <c r="R48" s="462">
        <f>IFERROR(1/R$3,1)*SUMIFS(Data!$AD$3:$AD$137,Data!$Y$3:$Y$137,R$1,Data!$Z$3:$Z$137,IF(RIGHT(R$2,3)="YTD","&lt;="&amp;LEFT(R$2,2)*1,R$2),Data!$K$3:$K$137,$B48)</f>
        <v>0</v>
      </c>
      <c r="S48" s="462">
        <f>IFERROR(1/S$3,1)*SUMIFS(Data!$AD$3:$AD$137,Data!$Y$3:$Y$137,S$1,Data!$Z$3:$Z$137,IF(RIGHT(S$2,3)="YTD","&lt;="&amp;LEFT(S$2,2)*1,S$2),Data!$K$3:$K$137,$B48)</f>
        <v>0</v>
      </c>
      <c r="T48" s="462">
        <f>IFERROR(1/T$3,1)*SUMIFS(Data!$AD$3:$AD$137,Data!$Y$3:$Y$137,T$1,Data!$Z$3:$Z$137,IF(RIGHT(T$2,3)="YTD","&lt;="&amp;LEFT(T$2,2)*1,T$2),Data!$K$3:$K$137,$B48)</f>
        <v>0</v>
      </c>
      <c r="U48" s="3"/>
      <c r="V48" s="462">
        <f t="shared" si="23"/>
        <v>22610</v>
      </c>
      <c r="W48" s="462">
        <f t="shared" ca="1" si="24"/>
        <v>0</v>
      </c>
      <c r="X48" s="462">
        <f t="shared" si="25"/>
        <v>0</v>
      </c>
      <c r="Y48" s="462">
        <f t="shared" si="26"/>
        <v>0</v>
      </c>
      <c r="Z48" s="462">
        <f t="shared" si="26"/>
        <v>0</v>
      </c>
      <c r="AA48" s="462">
        <f t="shared" si="26"/>
        <v>0</v>
      </c>
      <c r="AB48" s="462">
        <f t="shared" si="26"/>
        <v>0</v>
      </c>
      <c r="AC48" s="462">
        <f t="shared" si="26"/>
        <v>0</v>
      </c>
      <c r="AD48" s="462">
        <f t="shared" si="26"/>
        <v>0</v>
      </c>
      <c r="AE48" s="462">
        <f t="shared" si="26"/>
        <v>0</v>
      </c>
      <c r="AF48" s="462">
        <f t="shared" si="26"/>
        <v>0</v>
      </c>
      <c r="AG48" s="462"/>
      <c r="AH48" s="462">
        <f ca="1">IFERROR(1/AH$3,1)*SUMIFS(Data!$AD$3:$AD$137,Data!$Y$3:$Y$137,AH$1,Data!$Z$3:$Z$137,IF(RIGHT(AH$2,3)="YTD","&lt;="&amp;LEFT(AH$2,2)*1,AH$2),Data!$K$3:$K$137,$B24)</f>
        <v>0</v>
      </c>
      <c r="AI48" s="462">
        <f t="shared" ca="1" si="27"/>
        <v>0</v>
      </c>
      <c r="AJ48" s="463">
        <f t="shared" ca="1" si="28"/>
        <v>0</v>
      </c>
      <c r="AK48" s="3"/>
      <c r="AL48" s="462">
        <v>271320</v>
      </c>
      <c r="AM48" s="462">
        <v>0</v>
      </c>
      <c r="AN48" s="3"/>
      <c r="AO48" s="3"/>
      <c r="AP48" s="3"/>
      <c r="AQ48" s="3"/>
      <c r="AR48" s="3"/>
      <c r="AS48" s="3"/>
      <c r="AT48" s="3"/>
      <c r="AU48" s="3"/>
    </row>
    <row r="49" spans="1:47" ht="19.5" hidden="1" customHeight="1" x14ac:dyDescent="0.3">
      <c r="A49" s="3"/>
      <c r="B49" s="41" t="s">
        <v>552</v>
      </c>
      <c r="C49" s="464" t="s">
        <v>535</v>
      </c>
      <c r="D49" s="3"/>
      <c r="E49" s="465"/>
      <c r="F49" s="465"/>
      <c r="G49" s="462"/>
      <c r="H49" s="472"/>
      <c r="I49" s="465">
        <f t="shared" ref="I49:T49" si="29">SUM(I39:I48)</f>
        <v>0</v>
      </c>
      <c r="J49" s="465">
        <f t="shared" si="29"/>
        <v>0</v>
      </c>
      <c r="K49" s="465">
        <f t="shared" si="29"/>
        <v>0</v>
      </c>
      <c r="L49" s="465">
        <f t="shared" si="29"/>
        <v>0</v>
      </c>
      <c r="M49" s="465">
        <f t="shared" si="29"/>
        <v>0</v>
      </c>
      <c r="N49" s="465">
        <f t="shared" si="29"/>
        <v>0</v>
      </c>
      <c r="O49" s="465">
        <f t="shared" si="29"/>
        <v>0</v>
      </c>
      <c r="P49" s="465">
        <f t="shared" si="29"/>
        <v>0</v>
      </c>
      <c r="Q49" s="465">
        <f t="shared" si="29"/>
        <v>0</v>
      </c>
      <c r="R49" s="465">
        <f t="shared" si="29"/>
        <v>0</v>
      </c>
      <c r="S49" s="465">
        <f t="shared" si="29"/>
        <v>0</v>
      </c>
      <c r="T49" s="465">
        <f t="shared" si="29"/>
        <v>0</v>
      </c>
      <c r="U49" s="465"/>
      <c r="V49" s="465">
        <f t="shared" ref="V49:AA49" si="30">SUM(V39:V48)</f>
        <v>133881.45833333331</v>
      </c>
      <c r="W49" s="465">
        <f t="shared" ca="1" si="30"/>
        <v>0</v>
      </c>
      <c r="X49" s="465">
        <f t="shared" si="30"/>
        <v>76250</v>
      </c>
      <c r="Y49" s="465">
        <f t="shared" si="30"/>
        <v>76250</v>
      </c>
      <c r="Z49" s="465">
        <f t="shared" si="30"/>
        <v>76250</v>
      </c>
      <c r="AA49" s="465">
        <f t="shared" si="30"/>
        <v>76250</v>
      </c>
      <c r="AB49" s="465"/>
      <c r="AC49" s="465"/>
      <c r="AD49" s="465"/>
      <c r="AE49" s="465"/>
      <c r="AF49" s="465"/>
      <c r="AG49" s="465"/>
      <c r="AH49" s="465">
        <f ca="1">SUM(AH39:AH48)</f>
        <v>0</v>
      </c>
      <c r="AI49" s="465">
        <f ca="1">SUM(AI39:AI48)</f>
        <v>305000</v>
      </c>
      <c r="AJ49" s="465">
        <f ca="1">SUM(AJ39:AJ48)</f>
        <v>-305000</v>
      </c>
      <c r="AK49" s="3"/>
      <c r="AL49" s="465">
        <v>1606577.5</v>
      </c>
      <c r="AM49" s="465">
        <f>SUM(AM39:AM48)</f>
        <v>915000</v>
      </c>
      <c r="AN49" s="3"/>
      <c r="AO49" s="3"/>
      <c r="AP49" s="3"/>
      <c r="AQ49" s="3"/>
      <c r="AR49" s="3"/>
      <c r="AS49" s="3"/>
      <c r="AT49" s="3"/>
      <c r="AU49" s="3"/>
    </row>
    <row r="50" spans="1:47" ht="19.5" hidden="1" customHeight="1" x14ac:dyDescent="0.3">
      <c r="A50" s="3"/>
      <c r="B50" s="466" t="s">
        <v>553</v>
      </c>
      <c r="C50" s="464" t="s">
        <v>535</v>
      </c>
      <c r="D50" s="3"/>
      <c r="E50" s="467">
        <f>$AL50/E$3</f>
        <v>245265.98583333334</v>
      </c>
      <c r="F50" s="467">
        <f ca="1">SUM(I50:T50)/LEFT($F$2,2)</f>
        <v>291979.6366666666</v>
      </c>
      <c r="G50" s="467">
        <f>AM50/12</f>
        <v>552500</v>
      </c>
      <c r="H50" s="472"/>
      <c r="I50" s="467">
        <f>Reporting!C74</f>
        <v>387460</v>
      </c>
      <c r="J50" s="467">
        <f>Reporting!D74</f>
        <v>296375.80999999988</v>
      </c>
      <c r="K50" s="467">
        <f>Reporting!E74</f>
        <v>176379.5</v>
      </c>
      <c r="L50" s="467">
        <f>Reporting!F74</f>
        <v>15723.6</v>
      </c>
      <c r="M50" s="467">
        <f>Reporting!G74</f>
        <v>0</v>
      </c>
      <c r="N50" s="475">
        <f>Reporting!H74</f>
        <v>0</v>
      </c>
      <c r="O50" s="475">
        <f>Reporting!I74</f>
        <v>0</v>
      </c>
      <c r="P50" s="475">
        <f>Reporting!J74</f>
        <v>0</v>
      </c>
      <c r="Q50" s="475">
        <f>Reporting!K74</f>
        <v>0</v>
      </c>
      <c r="R50" s="475">
        <f>Reporting!L74</f>
        <v>0</v>
      </c>
      <c r="S50" s="475">
        <f>Reporting!M74</f>
        <v>0</v>
      </c>
      <c r="T50" s="475">
        <f>Reporting!N74</f>
        <v>0</v>
      </c>
      <c r="U50" s="3"/>
      <c r="V50" s="475">
        <f>E50</f>
        <v>245265.98583333334</v>
      </c>
      <c r="W50" s="475">
        <f ca="1">F50</f>
        <v>291979.6366666666</v>
      </c>
      <c r="X50" s="475">
        <f>G50</f>
        <v>552500</v>
      </c>
      <c r="Y50" s="467">
        <f>G50</f>
        <v>552500</v>
      </c>
      <c r="Z50" s="467">
        <f>G50</f>
        <v>552500</v>
      </c>
      <c r="AA50" s="467">
        <f>G50</f>
        <v>552500</v>
      </c>
      <c r="AB50" s="467">
        <f>X50</f>
        <v>552500</v>
      </c>
      <c r="AC50" s="467">
        <f>X50</f>
        <v>552500</v>
      </c>
      <c r="AD50" s="467">
        <f>X50</f>
        <v>552500</v>
      </c>
      <c r="AE50" s="467">
        <f>X50</f>
        <v>552500</v>
      </c>
      <c r="AF50" s="467">
        <f>AB50</f>
        <v>552500</v>
      </c>
      <c r="AG50" s="467"/>
      <c r="AH50" s="467">
        <f>SUM(I50:T50)</f>
        <v>875938.9099999998</v>
      </c>
      <c r="AI50" s="467">
        <f ca="1">AM50/12*$C$5</f>
        <v>2210000</v>
      </c>
      <c r="AJ50" s="468"/>
      <c r="AK50" s="3"/>
      <c r="AL50" s="467">
        <v>2943191.83</v>
      </c>
      <c r="AM50" s="486">
        <v>6630000</v>
      </c>
      <c r="AN50" s="3"/>
      <c r="AO50" s="3"/>
      <c r="AP50" s="3"/>
      <c r="AQ50" s="3"/>
      <c r="AR50" s="3"/>
      <c r="AS50" s="3"/>
      <c r="AT50" s="3"/>
      <c r="AU50" s="3"/>
    </row>
    <row r="51" spans="1:47" ht="19.5" hidden="1" customHeight="1" x14ac:dyDescent="0.3">
      <c r="A51" s="3"/>
      <c r="B51" s="41" t="s">
        <v>554</v>
      </c>
      <c r="C51" s="464" t="s">
        <v>535</v>
      </c>
      <c r="D51" s="3"/>
      <c r="E51" s="465"/>
      <c r="F51" s="465"/>
      <c r="G51" s="462"/>
      <c r="H51" s="472"/>
      <c r="I51" s="465">
        <f t="shared" ref="I51:T51" si="31">I49+I50</f>
        <v>387460</v>
      </c>
      <c r="J51" s="465">
        <f t="shared" si="31"/>
        <v>296375.80999999988</v>
      </c>
      <c r="K51" s="465">
        <f t="shared" si="31"/>
        <v>176379.5</v>
      </c>
      <c r="L51" s="465">
        <f t="shared" si="31"/>
        <v>15723.6</v>
      </c>
      <c r="M51" s="465">
        <f t="shared" si="31"/>
        <v>0</v>
      </c>
      <c r="N51" s="465">
        <f t="shared" si="31"/>
        <v>0</v>
      </c>
      <c r="O51" s="465">
        <f t="shared" si="31"/>
        <v>0</v>
      </c>
      <c r="P51" s="465">
        <f t="shared" si="31"/>
        <v>0</v>
      </c>
      <c r="Q51" s="465">
        <f t="shared" si="31"/>
        <v>0</v>
      </c>
      <c r="R51" s="465">
        <f t="shared" si="31"/>
        <v>0</v>
      </c>
      <c r="S51" s="465">
        <f t="shared" si="31"/>
        <v>0</v>
      </c>
      <c r="T51" s="465">
        <f t="shared" si="31"/>
        <v>0</v>
      </c>
      <c r="U51" s="465"/>
      <c r="V51" s="465">
        <f t="shared" ref="V51:AA51" si="32">V49+V50</f>
        <v>379147.44416666665</v>
      </c>
      <c r="W51" s="465">
        <f t="shared" ca="1" si="32"/>
        <v>291979.6366666666</v>
      </c>
      <c r="X51" s="465">
        <f t="shared" si="32"/>
        <v>628750</v>
      </c>
      <c r="Y51" s="465">
        <f t="shared" si="32"/>
        <v>628750</v>
      </c>
      <c r="Z51" s="465">
        <f t="shared" si="32"/>
        <v>628750</v>
      </c>
      <c r="AA51" s="465">
        <f t="shared" si="32"/>
        <v>628750</v>
      </c>
      <c r="AB51" s="465">
        <f>Y51</f>
        <v>628750</v>
      </c>
      <c r="AC51" s="465">
        <f>Z51</f>
        <v>628750</v>
      </c>
      <c r="AD51" s="465">
        <f>Z51</f>
        <v>628750</v>
      </c>
      <c r="AE51" s="465">
        <f>Z51</f>
        <v>628750</v>
      </c>
      <c r="AF51" s="465">
        <f>Z51</f>
        <v>628750</v>
      </c>
      <c r="AG51" s="465"/>
      <c r="AH51" s="465">
        <f>SUM(I51:S51)</f>
        <v>875938.9099999998</v>
      </c>
      <c r="AI51" s="465">
        <f ca="1">AF51*C5</f>
        <v>2515000</v>
      </c>
      <c r="AJ51" s="469"/>
      <c r="AK51" s="3"/>
      <c r="AL51" s="465">
        <f ca="1">SUM(M51:Y51)</f>
        <v>1928627.0808333333</v>
      </c>
      <c r="AM51" s="465"/>
      <c r="AN51" s="474"/>
      <c r="AO51" s="474"/>
      <c r="AP51" s="474"/>
      <c r="AQ51" s="474"/>
      <c r="AR51" s="474"/>
      <c r="AS51" s="474"/>
      <c r="AT51" s="474"/>
      <c r="AU51" s="474"/>
    </row>
    <row r="52" spans="1:47" ht="19.5" customHeight="1" x14ac:dyDescent="0.3">
      <c r="A52" s="3"/>
      <c r="B52" s="41"/>
      <c r="C52" s="464"/>
      <c r="D52" s="3"/>
      <c r="E52" s="465"/>
      <c r="F52" s="465"/>
      <c r="G52" s="462"/>
      <c r="H52" s="472"/>
      <c r="I52" s="465"/>
      <c r="J52" s="465"/>
      <c r="K52" s="465"/>
      <c r="L52" s="465"/>
      <c r="M52" s="465"/>
      <c r="N52" s="473"/>
      <c r="O52" s="473"/>
      <c r="P52" s="473"/>
      <c r="Q52" s="473"/>
      <c r="R52" s="473"/>
      <c r="S52" s="473"/>
      <c r="T52" s="473"/>
      <c r="U52" s="3"/>
      <c r="V52" s="473"/>
      <c r="W52" s="473"/>
      <c r="X52" s="473"/>
      <c r="Y52" s="465"/>
      <c r="Z52" s="465"/>
      <c r="AA52" s="465"/>
      <c r="AB52" s="465"/>
      <c r="AC52" s="465"/>
      <c r="AD52" s="465"/>
      <c r="AE52" s="465"/>
      <c r="AF52" s="465"/>
      <c r="AG52" s="465"/>
      <c r="AH52" s="465"/>
      <c r="AI52" s="465"/>
      <c r="AJ52" s="469"/>
      <c r="AK52" s="3"/>
      <c r="AL52" s="465"/>
      <c r="AM52" s="465"/>
      <c r="AN52" s="474"/>
      <c r="AO52" s="474"/>
      <c r="AP52" s="474"/>
      <c r="AQ52" s="474"/>
      <c r="AR52" s="474"/>
      <c r="AS52" s="474"/>
      <c r="AT52" s="474"/>
      <c r="AU52" s="474"/>
    </row>
    <row r="53" spans="1:47" ht="19.5" hidden="1" customHeight="1" x14ac:dyDescent="0.3">
      <c r="A53" s="3"/>
      <c r="B53" s="194"/>
      <c r="C53" s="30"/>
      <c r="D53" s="3"/>
      <c r="E53" s="471"/>
      <c r="F53" s="471"/>
      <c r="G53" s="471"/>
      <c r="H53" s="3"/>
      <c r="I53" s="471"/>
      <c r="J53" s="471"/>
      <c r="K53" s="471"/>
      <c r="L53" s="471"/>
      <c r="M53" s="471"/>
      <c r="N53" s="471"/>
      <c r="O53" s="471"/>
      <c r="P53" s="471"/>
      <c r="Q53" s="471"/>
      <c r="R53" s="471"/>
      <c r="S53" s="471"/>
      <c r="T53" s="471"/>
      <c r="U53" s="3"/>
      <c r="V53" s="471"/>
      <c r="W53" s="471"/>
      <c r="X53" s="471"/>
      <c r="Y53" s="471"/>
      <c r="Z53" s="471"/>
      <c r="AA53" s="471"/>
      <c r="AB53" s="471"/>
      <c r="AC53" s="471"/>
      <c r="AD53" s="471"/>
      <c r="AE53" s="471"/>
      <c r="AF53" s="436"/>
      <c r="AG53" s="436"/>
      <c r="AH53" s="436"/>
      <c r="AI53" s="436"/>
      <c r="AJ53" s="436"/>
      <c r="AK53" s="3"/>
      <c r="AL53" s="476"/>
      <c r="AM53" s="483"/>
      <c r="AN53" s="3"/>
      <c r="AO53" s="3"/>
      <c r="AP53" s="3"/>
      <c r="AQ53" s="3"/>
      <c r="AR53" s="3"/>
      <c r="AS53" s="3"/>
      <c r="AT53" s="3"/>
      <c r="AU53" s="3"/>
    </row>
    <row r="54" spans="1:47" ht="19.5" hidden="1" customHeight="1" x14ac:dyDescent="0.3">
      <c r="A54" s="3"/>
      <c r="B54" s="3"/>
      <c r="C54" s="464"/>
      <c r="D54" s="474"/>
      <c r="E54" s="441" t="s">
        <v>513</v>
      </c>
      <c r="F54" s="444" t="s">
        <v>514</v>
      </c>
      <c r="G54" s="443" t="s">
        <v>575</v>
      </c>
      <c r="H54" s="33"/>
      <c r="I54" s="444" t="str">
        <f t="shared" ref="I54:T54" si="33">TEXT(I$2,"00")&amp;" "&amp;I$1</f>
        <v>01 2022</v>
      </c>
      <c r="J54" s="444" t="str">
        <f t="shared" si="33"/>
        <v>02 2022</v>
      </c>
      <c r="K54" s="444" t="str">
        <f t="shared" si="33"/>
        <v>03 2022</v>
      </c>
      <c r="L54" s="444" t="str">
        <f t="shared" si="33"/>
        <v>04 2022</v>
      </c>
      <c r="M54" s="444" t="str">
        <f t="shared" si="33"/>
        <v>05 2022</v>
      </c>
      <c r="N54" s="444" t="str">
        <f t="shared" si="33"/>
        <v>06 2022</v>
      </c>
      <c r="O54" s="444" t="str">
        <f t="shared" si="33"/>
        <v>07 2022</v>
      </c>
      <c r="P54" s="444" t="str">
        <f t="shared" si="33"/>
        <v>08 2022</v>
      </c>
      <c r="Q54" s="444" t="str">
        <f t="shared" si="33"/>
        <v>09 2022</v>
      </c>
      <c r="R54" s="444" t="str">
        <f t="shared" si="33"/>
        <v>10 2022</v>
      </c>
      <c r="S54" s="444" t="str">
        <f t="shared" si="33"/>
        <v>11 2022</v>
      </c>
      <c r="T54" s="444" t="str">
        <f t="shared" si="33"/>
        <v>12 2022</v>
      </c>
      <c r="U54" s="33"/>
      <c r="V54" s="448" t="s">
        <v>585</v>
      </c>
      <c r="W54" s="448" t="s">
        <v>585</v>
      </c>
      <c r="X54" s="448" t="s">
        <v>585</v>
      </c>
      <c r="Y54" s="448" t="s">
        <v>522</v>
      </c>
      <c r="Z54" s="448" t="s">
        <v>522</v>
      </c>
      <c r="AA54" s="448" t="s">
        <v>522</v>
      </c>
      <c r="AB54" s="448" t="s">
        <v>522</v>
      </c>
      <c r="AC54" s="448" t="s">
        <v>522</v>
      </c>
      <c r="AD54" s="448" t="s">
        <v>522</v>
      </c>
      <c r="AE54" s="448" t="s">
        <v>522</v>
      </c>
      <c r="AF54" s="448" t="s">
        <v>522</v>
      </c>
      <c r="AG54" s="477"/>
      <c r="AH54" s="444" t="str">
        <f ca="1">AH$2&amp;" "&amp;AH$1</f>
        <v>3 YTD 2022</v>
      </c>
      <c r="AI54" s="450" t="str">
        <f ca="1">AI$2&amp;" "&amp;AI$1</f>
        <v>3 YTD 2022</v>
      </c>
      <c r="AJ54" s="451" t="str">
        <f ca="1">AJ$2&amp;" "&amp;AJ$1</f>
        <v>3 YTD 2022</v>
      </c>
      <c r="AK54" s="33"/>
      <c r="AL54" s="452" t="str">
        <f>AL$2&amp;" "&amp;AL$1</f>
        <v>12 YTD 2021</v>
      </c>
      <c r="AM54" s="450" t="str">
        <f>AM$2&amp;" "&amp;AM$1</f>
        <v>12 YTD 2022</v>
      </c>
      <c r="AN54" s="3"/>
      <c r="AO54" s="3"/>
      <c r="AP54" s="3"/>
      <c r="AQ54" s="3"/>
      <c r="AR54" s="3"/>
      <c r="AS54" s="3"/>
      <c r="AT54" s="3"/>
      <c r="AU54" s="3"/>
    </row>
    <row r="55" spans="1:47" ht="19.5" hidden="1" customHeight="1" x14ac:dyDescent="0.3">
      <c r="A55" s="3"/>
      <c r="B55" s="3"/>
      <c r="C55" s="191"/>
      <c r="D55" s="33"/>
      <c r="E55" s="441" t="s">
        <v>40</v>
      </c>
      <c r="F55" s="444" t="s">
        <v>40</v>
      </c>
      <c r="G55" s="443" t="s">
        <v>441</v>
      </c>
      <c r="H55" s="33"/>
      <c r="I55" s="446" t="s">
        <v>40</v>
      </c>
      <c r="J55" s="446" t="s">
        <v>40</v>
      </c>
      <c r="K55" s="446" t="s">
        <v>40</v>
      </c>
      <c r="L55" s="446" t="s">
        <v>40</v>
      </c>
      <c r="M55" s="444" t="s">
        <v>40</v>
      </c>
      <c r="N55" s="444" t="s">
        <v>40</v>
      </c>
      <c r="O55" s="444" t="s">
        <v>40</v>
      </c>
      <c r="P55" s="444" t="s">
        <v>40</v>
      </c>
      <c r="Q55" s="444" t="s">
        <v>40</v>
      </c>
      <c r="R55" s="444" t="s">
        <v>40</v>
      </c>
      <c r="S55" s="444" t="s">
        <v>40</v>
      </c>
      <c r="T55" s="444" t="s">
        <v>40</v>
      </c>
      <c r="U55" s="33"/>
      <c r="V55" s="448" t="s">
        <v>528</v>
      </c>
      <c r="W55" s="448" t="s">
        <v>528</v>
      </c>
      <c r="X55" s="448" t="s">
        <v>528</v>
      </c>
      <c r="Y55" s="448" t="s">
        <v>528</v>
      </c>
      <c r="Z55" s="448" t="s">
        <v>528</v>
      </c>
      <c r="AA55" s="448" t="s">
        <v>528</v>
      </c>
      <c r="AB55" s="448" t="s">
        <v>528</v>
      </c>
      <c r="AC55" s="448" t="s">
        <v>528</v>
      </c>
      <c r="AD55" s="448" t="s">
        <v>528</v>
      </c>
      <c r="AE55" s="448" t="s">
        <v>528</v>
      </c>
      <c r="AF55" s="448" t="s">
        <v>528</v>
      </c>
      <c r="AG55" s="477"/>
      <c r="AH55" s="444" t="s">
        <v>529</v>
      </c>
      <c r="AI55" s="450" t="s">
        <v>530</v>
      </c>
      <c r="AJ55" s="451" t="s">
        <v>531</v>
      </c>
      <c r="AK55" s="33"/>
      <c r="AL55" s="453" t="s">
        <v>529</v>
      </c>
      <c r="AM55" s="454" t="s">
        <v>530</v>
      </c>
      <c r="AN55" s="3"/>
      <c r="AO55" s="3"/>
      <c r="AP55" s="3"/>
      <c r="AQ55" s="3"/>
      <c r="AR55" s="3"/>
      <c r="AS55" s="3"/>
      <c r="AT55" s="3"/>
      <c r="AU55" s="3"/>
    </row>
    <row r="56" spans="1:47" ht="19.5" hidden="1" customHeight="1" x14ac:dyDescent="0.3">
      <c r="A56" s="3"/>
      <c r="B56" s="455" t="s">
        <v>563</v>
      </c>
      <c r="C56" s="3"/>
      <c r="D56" s="3"/>
      <c r="E56" s="8"/>
      <c r="F56" s="436"/>
      <c r="G56" s="8"/>
      <c r="H56" s="3"/>
      <c r="I56" s="483"/>
      <c r="J56" s="483"/>
      <c r="K56" s="483"/>
      <c r="L56" s="483"/>
      <c r="M56" s="436"/>
      <c r="N56" s="436"/>
      <c r="O56" s="436"/>
      <c r="P56" s="436"/>
      <c r="Q56" s="436"/>
      <c r="R56" s="436"/>
      <c r="S56" s="436"/>
      <c r="T56" s="436"/>
      <c r="U56" s="3"/>
      <c r="V56" s="436"/>
      <c r="W56" s="436"/>
      <c r="X56" s="436"/>
      <c r="Y56" s="436"/>
      <c r="Z56" s="436"/>
      <c r="AA56" s="436"/>
      <c r="AB56" s="436"/>
      <c r="AC56" s="436"/>
      <c r="AD56" s="436"/>
      <c r="AE56" s="436"/>
      <c r="AF56" s="436"/>
      <c r="AG56" s="436"/>
      <c r="AH56" s="436"/>
      <c r="AI56" s="436"/>
      <c r="AJ56" s="436"/>
      <c r="AK56" s="3"/>
      <c r="AL56" s="483"/>
      <c r="AM56" s="483"/>
      <c r="AN56" s="3"/>
      <c r="AO56" s="3"/>
      <c r="AP56" s="3"/>
      <c r="AQ56" s="3"/>
      <c r="AR56" s="3"/>
      <c r="AS56" s="3"/>
      <c r="AT56" s="3"/>
      <c r="AU56" s="3"/>
    </row>
    <row r="57" spans="1:47" ht="19.5" hidden="1" customHeight="1" x14ac:dyDescent="0.3">
      <c r="A57" s="3"/>
      <c r="B57" s="474" t="s">
        <v>564</v>
      </c>
      <c r="C57" s="464" t="s">
        <v>565</v>
      </c>
      <c r="D57" s="3"/>
      <c r="E57" s="465"/>
      <c r="F57" s="465">
        <f ca="1">IFERROR(1/F$3,1)*SUM(I57:T57)</f>
        <v>54.333333333333329</v>
      </c>
      <c r="G57" s="465">
        <f>AM57/12</f>
        <v>95.75</v>
      </c>
      <c r="H57" s="469"/>
      <c r="I57" s="465">
        <v>46</v>
      </c>
      <c r="J57" s="465">
        <v>44</v>
      </c>
      <c r="K57" s="465">
        <v>61</v>
      </c>
      <c r="L57" s="465">
        <v>12</v>
      </c>
      <c r="M57" s="465"/>
      <c r="N57" s="465"/>
      <c r="O57" s="465"/>
      <c r="P57" s="465"/>
      <c r="Q57" s="465"/>
      <c r="R57" s="465"/>
      <c r="S57" s="465"/>
      <c r="T57" s="465"/>
      <c r="U57" s="469"/>
      <c r="V57" s="465">
        <f t="shared" ref="V57:X59" si="34">E57</f>
        <v>0</v>
      </c>
      <c r="W57" s="465">
        <f t="shared" ca="1" si="34"/>
        <v>54.333333333333329</v>
      </c>
      <c r="X57" s="465">
        <f t="shared" si="34"/>
        <v>95.75</v>
      </c>
      <c r="Y57" s="465">
        <f>G57</f>
        <v>95.75</v>
      </c>
      <c r="Z57" s="465">
        <f>G57</f>
        <v>95.75</v>
      </c>
      <c r="AA57" s="465">
        <f>G57</f>
        <v>95.75</v>
      </c>
      <c r="AB57" s="465">
        <f>G57</f>
        <v>95.75</v>
      </c>
      <c r="AC57" s="465">
        <f t="shared" ref="AC57:AF59" si="35">Y57</f>
        <v>95.75</v>
      </c>
      <c r="AD57" s="465">
        <f t="shared" si="35"/>
        <v>95.75</v>
      </c>
      <c r="AE57" s="465">
        <f t="shared" si="35"/>
        <v>95.75</v>
      </c>
      <c r="AF57" s="465">
        <f t="shared" si="35"/>
        <v>95.75</v>
      </c>
      <c r="AG57" s="465"/>
      <c r="AH57" s="465">
        <f>SUM(I57:L57)</f>
        <v>163</v>
      </c>
      <c r="AI57" s="465">
        <f ca="1">AF57*C5</f>
        <v>383</v>
      </c>
      <c r="AJ57" s="469"/>
      <c r="AK57" s="469"/>
      <c r="AL57" s="465">
        <f>SUM(M57:P57)</f>
        <v>0</v>
      </c>
      <c r="AM57" s="465">
        <v>1149</v>
      </c>
      <c r="AN57" s="3"/>
      <c r="AO57" s="3"/>
      <c r="AP57" s="3"/>
      <c r="AQ57" s="3"/>
      <c r="AR57" s="3"/>
      <c r="AS57" s="3"/>
      <c r="AT57" s="3"/>
      <c r="AU57" s="3"/>
    </row>
    <row r="58" spans="1:47" ht="19.5" hidden="1" customHeight="1" x14ac:dyDescent="0.3">
      <c r="A58" s="3"/>
      <c r="B58" s="474" t="s">
        <v>568</v>
      </c>
      <c r="C58" s="464" t="s">
        <v>569</v>
      </c>
      <c r="D58" s="3"/>
      <c r="E58" s="465"/>
      <c r="F58" s="465">
        <f ca="1">IFERROR(1/F$3,1)*SUM(I58:T58)</f>
        <v>6302.2599999999993</v>
      </c>
      <c r="G58" s="465">
        <f>AM58/12</f>
        <v>17833.333333333332</v>
      </c>
      <c r="H58" s="469"/>
      <c r="I58" s="465">
        <v>8169.79</v>
      </c>
      <c r="J58" s="465">
        <v>7471.4</v>
      </c>
      <c r="K58" s="465">
        <v>-410.41</v>
      </c>
      <c r="L58" s="465">
        <v>3676</v>
      </c>
      <c r="M58" s="465"/>
      <c r="N58" s="465"/>
      <c r="O58" s="465"/>
      <c r="P58" s="465"/>
      <c r="Q58" s="465"/>
      <c r="R58" s="465"/>
      <c r="S58" s="465"/>
      <c r="T58" s="465"/>
      <c r="U58" s="469"/>
      <c r="V58" s="465">
        <f t="shared" si="34"/>
        <v>0</v>
      </c>
      <c r="W58" s="465">
        <f t="shared" ca="1" si="34"/>
        <v>6302.2599999999993</v>
      </c>
      <c r="X58" s="465">
        <f t="shared" si="34"/>
        <v>17833.333333333332</v>
      </c>
      <c r="Y58" s="465">
        <f>G58</f>
        <v>17833.333333333332</v>
      </c>
      <c r="Z58" s="465">
        <f>G58</f>
        <v>17833.333333333332</v>
      </c>
      <c r="AA58" s="465">
        <f>G58</f>
        <v>17833.333333333332</v>
      </c>
      <c r="AB58" s="465">
        <f>G58</f>
        <v>17833.333333333332</v>
      </c>
      <c r="AC58" s="465">
        <f t="shared" si="35"/>
        <v>17833.333333333332</v>
      </c>
      <c r="AD58" s="465">
        <f t="shared" si="35"/>
        <v>17833.333333333332</v>
      </c>
      <c r="AE58" s="465">
        <f t="shared" si="35"/>
        <v>17833.333333333332</v>
      </c>
      <c r="AF58" s="465">
        <f t="shared" si="35"/>
        <v>17833.333333333332</v>
      </c>
      <c r="AG58" s="465"/>
      <c r="AH58" s="465">
        <f>SUM(I58:K58)</f>
        <v>15230.779999999999</v>
      </c>
      <c r="AI58" s="465">
        <f ca="1">AF58*C5</f>
        <v>71333.333333333328</v>
      </c>
      <c r="AJ58" s="469"/>
      <c r="AK58" s="469"/>
      <c r="AL58" s="465">
        <f>SUM(M58:O58)</f>
        <v>0</v>
      </c>
      <c r="AM58" s="465">
        <v>214000</v>
      </c>
      <c r="AN58" s="3"/>
      <c r="AO58" s="3"/>
      <c r="AP58" s="3"/>
      <c r="AQ58" s="3"/>
      <c r="AR58" s="3"/>
      <c r="AS58" s="3"/>
      <c r="AT58" s="3"/>
      <c r="AU58" s="3"/>
    </row>
    <row r="59" spans="1:47" ht="19.5" hidden="1" customHeight="1" x14ac:dyDescent="0.3">
      <c r="A59" s="3"/>
      <c r="B59" s="474" t="s">
        <v>572</v>
      </c>
      <c r="C59" s="464" t="s">
        <v>569</v>
      </c>
      <c r="D59" s="3"/>
      <c r="E59" s="465"/>
      <c r="F59" s="465">
        <f ca="1">IFERROR(1/F$3,1)*SUM(I59:T59)</f>
        <v>10738.866666666665</v>
      </c>
      <c r="G59" s="465">
        <f>AM59/12</f>
        <v>41666.666666666664</v>
      </c>
      <c r="H59" s="469"/>
      <c r="I59" s="465">
        <v>11726</v>
      </c>
      <c r="J59" s="465">
        <v>11843.6</v>
      </c>
      <c r="K59" s="465">
        <v>3296</v>
      </c>
      <c r="L59" s="465">
        <v>5351</v>
      </c>
      <c r="M59" s="465"/>
      <c r="N59" s="465"/>
      <c r="O59" s="465"/>
      <c r="P59" s="465"/>
      <c r="Q59" s="465"/>
      <c r="R59" s="465"/>
      <c r="S59" s="465"/>
      <c r="T59" s="465"/>
      <c r="U59" s="469"/>
      <c r="V59" s="465">
        <f t="shared" si="34"/>
        <v>0</v>
      </c>
      <c r="W59" s="465">
        <f t="shared" ca="1" si="34"/>
        <v>10738.866666666665</v>
      </c>
      <c r="X59" s="465">
        <f t="shared" si="34"/>
        <v>41666.666666666664</v>
      </c>
      <c r="Y59" s="465">
        <f>G59</f>
        <v>41666.666666666664</v>
      </c>
      <c r="Z59" s="465">
        <f>G59</f>
        <v>41666.666666666664</v>
      </c>
      <c r="AA59" s="465">
        <f>G59</f>
        <v>41666.666666666664</v>
      </c>
      <c r="AB59" s="465">
        <f>G59</f>
        <v>41666.666666666664</v>
      </c>
      <c r="AC59" s="465">
        <f t="shared" si="35"/>
        <v>41666.666666666664</v>
      </c>
      <c r="AD59" s="465">
        <f t="shared" si="35"/>
        <v>41666.666666666664</v>
      </c>
      <c r="AE59" s="465">
        <f t="shared" si="35"/>
        <v>41666.666666666664</v>
      </c>
      <c r="AF59" s="465">
        <f t="shared" si="35"/>
        <v>41666.666666666664</v>
      </c>
      <c r="AG59" s="465"/>
      <c r="AH59" s="465">
        <f>SUM(I59:K59)</f>
        <v>26865.599999999999</v>
      </c>
      <c r="AI59" s="465">
        <f ca="1">AF59*C5</f>
        <v>166666.66666666666</v>
      </c>
      <c r="AJ59" s="469"/>
      <c r="AK59" s="469"/>
      <c r="AL59" s="465">
        <f>SUM(M59:O59)</f>
        <v>0</v>
      </c>
      <c r="AM59" s="465">
        <v>500000</v>
      </c>
      <c r="AN59" s="3"/>
      <c r="AO59" s="3"/>
      <c r="AP59" s="3"/>
      <c r="AQ59" s="3"/>
      <c r="AR59" s="3"/>
      <c r="AS59" s="3"/>
      <c r="AT59" s="3"/>
      <c r="AU59" s="3"/>
    </row>
    <row r="60" spans="1:47" ht="19.5" hidden="1" customHeight="1" x14ac:dyDescent="0.3">
      <c r="A60" s="3"/>
      <c r="B60" s="33"/>
      <c r="C60" s="3"/>
      <c r="D60" s="3"/>
      <c r="E60" s="8"/>
      <c r="F60" s="436"/>
      <c r="G60" s="8"/>
      <c r="H60" s="3"/>
      <c r="I60" s="483"/>
      <c r="J60" s="483"/>
      <c r="K60" s="483"/>
      <c r="L60" s="483"/>
      <c r="M60" s="436"/>
      <c r="N60" s="436"/>
      <c r="O60" s="436"/>
      <c r="P60" s="436"/>
      <c r="Q60" s="436"/>
      <c r="R60" s="436"/>
      <c r="S60" s="436"/>
      <c r="T60" s="436"/>
      <c r="U60" s="3"/>
      <c r="V60" s="436"/>
      <c r="W60" s="436"/>
      <c r="X60" s="436"/>
      <c r="Y60" s="436"/>
      <c r="Z60" s="436"/>
      <c r="AA60" s="436"/>
      <c r="AB60" s="436"/>
      <c r="AC60" s="436"/>
      <c r="AD60" s="436"/>
      <c r="AE60" s="436"/>
      <c r="AF60" s="436"/>
      <c r="AG60" s="436"/>
      <c r="AH60" s="436"/>
      <c r="AI60" s="436"/>
      <c r="AJ60" s="436"/>
      <c r="AK60" s="3"/>
      <c r="AL60" s="483"/>
      <c r="AM60" s="483"/>
      <c r="AN60" s="3"/>
      <c r="AO60" s="3"/>
      <c r="AP60" s="3"/>
      <c r="AQ60" s="3"/>
      <c r="AR60" s="3"/>
      <c r="AS60" s="3"/>
      <c r="AT60" s="3"/>
      <c r="AU60" s="3"/>
    </row>
    <row r="61" spans="1:47" ht="19.5" hidden="1" customHeight="1" x14ac:dyDescent="0.3">
      <c r="A61" s="3"/>
      <c r="B61" s="3"/>
      <c r="C61" s="3"/>
      <c r="D61" s="3"/>
      <c r="E61" s="8"/>
      <c r="F61" s="436"/>
      <c r="G61" s="8"/>
      <c r="H61" s="3"/>
      <c r="I61" s="483"/>
      <c r="J61" s="483"/>
      <c r="K61" s="483"/>
      <c r="L61" s="483"/>
      <c r="M61" s="436"/>
      <c r="N61" s="436"/>
      <c r="O61" s="436"/>
      <c r="P61" s="436"/>
      <c r="Q61" s="436"/>
      <c r="R61" s="436"/>
      <c r="S61" s="436"/>
      <c r="T61" s="436"/>
      <c r="U61" s="3"/>
      <c r="V61" s="436"/>
      <c r="W61" s="436"/>
      <c r="X61" s="436"/>
      <c r="Y61" s="436"/>
      <c r="Z61" s="436"/>
      <c r="AA61" s="436"/>
      <c r="AB61" s="436"/>
      <c r="AC61" s="436"/>
      <c r="AD61" s="436"/>
      <c r="AE61" s="436"/>
      <c r="AF61" s="436"/>
      <c r="AG61" s="436"/>
      <c r="AH61" s="436"/>
      <c r="AI61" s="436"/>
      <c r="AJ61" s="436"/>
      <c r="AK61" s="3"/>
      <c r="AL61" s="483"/>
      <c r="AM61" s="483"/>
      <c r="AN61" s="3"/>
      <c r="AO61" s="3"/>
      <c r="AP61" s="3"/>
      <c r="AQ61" s="3"/>
      <c r="AR61" s="3"/>
      <c r="AS61" s="3"/>
      <c r="AT61" s="3"/>
      <c r="AU61" s="3"/>
    </row>
    <row r="62" spans="1:47" ht="19.5" hidden="1" customHeight="1" x14ac:dyDescent="0.3">
      <c r="A62" s="3"/>
      <c r="B62" s="3"/>
      <c r="C62" s="3"/>
      <c r="D62" s="3"/>
      <c r="E62" s="8"/>
      <c r="F62" s="487"/>
      <c r="G62" s="8"/>
      <c r="H62" s="3"/>
      <c r="I62" s="483"/>
      <c r="J62" s="483"/>
      <c r="K62" s="483"/>
      <c r="L62" s="483"/>
      <c r="M62" s="436"/>
      <c r="N62" s="436"/>
      <c r="O62" s="436"/>
      <c r="P62" s="436"/>
      <c r="Q62" s="436"/>
      <c r="R62" s="436"/>
      <c r="S62" s="436"/>
      <c r="T62" s="436"/>
      <c r="U62" s="3"/>
      <c r="V62" s="436"/>
      <c r="W62" s="436"/>
      <c r="X62" s="436"/>
      <c r="Y62" s="436"/>
      <c r="Z62" s="436"/>
      <c r="AA62" s="436"/>
      <c r="AB62" s="436"/>
      <c r="AC62" s="436"/>
      <c r="AD62" s="436"/>
      <c r="AE62" s="436"/>
      <c r="AF62" s="436"/>
      <c r="AG62" s="436"/>
      <c r="AH62" s="436"/>
      <c r="AI62" s="436"/>
      <c r="AJ62" s="436"/>
      <c r="AK62" s="3"/>
      <c r="AL62" s="483"/>
      <c r="AM62" s="483"/>
      <c r="AN62" s="3"/>
      <c r="AO62" s="3"/>
      <c r="AP62" s="3"/>
      <c r="AQ62" s="3"/>
      <c r="AR62" s="3"/>
      <c r="AS62" s="3"/>
      <c r="AT62" s="3"/>
      <c r="AU62" s="3"/>
    </row>
    <row r="63" spans="1:47" ht="19.5" hidden="1" customHeight="1" x14ac:dyDescent="0.3">
      <c r="A63" s="3"/>
      <c r="B63" s="3"/>
      <c r="C63" s="3"/>
      <c r="D63" s="3"/>
      <c r="E63" s="8"/>
      <c r="F63" s="436"/>
      <c r="G63" s="8"/>
      <c r="H63" s="3"/>
      <c r="I63" s="483"/>
      <c r="J63" s="483"/>
      <c r="K63" s="483"/>
      <c r="L63" s="483"/>
      <c r="M63" s="436"/>
      <c r="N63" s="436"/>
      <c r="O63" s="436"/>
      <c r="P63" s="436"/>
      <c r="Q63" s="436"/>
      <c r="R63" s="436"/>
      <c r="S63" s="436"/>
      <c r="T63" s="436"/>
      <c r="U63" s="3"/>
      <c r="V63" s="436"/>
      <c r="W63" s="436"/>
      <c r="X63" s="436"/>
      <c r="Y63" s="436"/>
      <c r="Z63" s="436"/>
      <c r="AA63" s="436"/>
      <c r="AB63" s="436"/>
      <c r="AC63" s="436"/>
      <c r="AD63" s="436"/>
      <c r="AE63" s="436"/>
      <c r="AF63" s="436"/>
      <c r="AG63" s="436"/>
      <c r="AH63" s="436"/>
      <c r="AI63" s="436"/>
      <c r="AJ63" s="436"/>
      <c r="AK63" s="3"/>
      <c r="AL63" s="483"/>
      <c r="AM63" s="483"/>
      <c r="AN63" s="3"/>
      <c r="AO63" s="3"/>
      <c r="AP63" s="3"/>
      <c r="AQ63" s="3"/>
      <c r="AR63" s="3"/>
      <c r="AS63" s="3"/>
      <c r="AT63" s="3"/>
      <c r="AU63" s="3"/>
    </row>
    <row r="64" spans="1:47" ht="19.5" customHeight="1" x14ac:dyDescent="0.3">
      <c r="A64" s="3"/>
      <c r="B64" s="3"/>
      <c r="C64" s="3"/>
      <c r="D64" s="3"/>
      <c r="E64" s="8"/>
      <c r="F64" s="436"/>
      <c r="G64" s="8"/>
      <c r="H64" s="3"/>
      <c r="I64" s="483"/>
      <c r="J64" s="483"/>
      <c r="K64" s="483"/>
      <c r="L64" s="483"/>
      <c r="M64" s="436"/>
      <c r="N64" s="436"/>
      <c r="O64" s="436"/>
      <c r="P64" s="436"/>
      <c r="Q64" s="436"/>
      <c r="R64" s="436"/>
      <c r="S64" s="436"/>
      <c r="T64" s="436"/>
      <c r="U64" s="3"/>
      <c r="V64" s="436"/>
      <c r="W64" s="436"/>
      <c r="X64" s="436"/>
      <c r="Y64" s="436"/>
      <c r="Z64" s="436"/>
      <c r="AA64" s="436"/>
      <c r="AB64" s="436"/>
      <c r="AC64" s="436"/>
      <c r="AD64" s="436"/>
      <c r="AE64" s="436"/>
      <c r="AF64" s="436"/>
      <c r="AG64" s="436"/>
      <c r="AH64" s="436"/>
      <c r="AI64" s="436"/>
      <c r="AJ64" s="436"/>
      <c r="AK64" s="3"/>
      <c r="AL64" s="483"/>
      <c r="AM64" s="483"/>
      <c r="AN64" s="3"/>
      <c r="AO64" s="3"/>
      <c r="AP64" s="3"/>
      <c r="AQ64" s="3"/>
      <c r="AR64" s="3"/>
      <c r="AS64" s="3"/>
      <c r="AT64" s="3"/>
      <c r="AU6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R56"/>
  <sheetViews>
    <sheetView topLeftCell="A6" workbookViewId="0"/>
  </sheetViews>
  <sheetFormatPr baseColWidth="10" defaultColWidth="8.88671875" defaultRowHeight="14.4" x14ac:dyDescent="0.3"/>
  <cols>
    <col min="1" max="1" width="14.5546875" style="17" bestFit="1" customWidth="1"/>
    <col min="2" max="2" width="50.88671875" style="479" bestFit="1" customWidth="1"/>
    <col min="3" max="4" width="14.109375" style="17" hidden="1" bestFit="1" customWidth="1"/>
    <col min="5" max="7" width="14.109375" style="18" hidden="1" bestFit="1" customWidth="1"/>
    <col min="8" max="8" width="14.109375" style="17" hidden="1" bestFit="1" customWidth="1"/>
    <col min="9" max="9" width="11.88671875" style="480" bestFit="1" customWidth="1"/>
    <col min="10" max="12" width="10.88671875" style="480" bestFit="1" customWidth="1"/>
    <col min="13" max="20" width="14.109375" style="481" hidden="1" bestFit="1" customWidth="1"/>
    <col min="21" max="21" width="14.109375" style="17" hidden="1" bestFit="1" customWidth="1"/>
    <col min="22" max="22" width="8.44140625" style="480" bestFit="1" customWidth="1"/>
    <col min="23" max="27" width="8.88671875" style="480" bestFit="1" customWidth="1"/>
    <col min="28" max="29" width="8.88671875" style="481" bestFit="1" customWidth="1"/>
    <col min="30" max="32" width="14.109375" style="481" hidden="1" bestFit="1" customWidth="1"/>
    <col min="33" max="33" width="14.109375" style="482" hidden="1" bestFit="1" customWidth="1"/>
    <col min="34" max="34" width="14.109375" style="17" hidden="1" bestFit="1" customWidth="1"/>
    <col min="35" max="35" width="14.109375" style="480" hidden="1" bestFit="1" customWidth="1"/>
    <col min="36" max="36" width="15.5546875" style="480" bestFit="1" customWidth="1"/>
    <col min="37" max="37" width="8.88671875" style="17" bestFit="1" customWidth="1"/>
    <col min="38" max="44" width="14.109375" style="17" bestFit="1" customWidth="1"/>
  </cols>
  <sheetData>
    <row r="1" spans="1:44" ht="19.5" hidden="1" customHeight="1" x14ac:dyDescent="0.3">
      <c r="A1" s="3"/>
      <c r="B1" s="191" t="s">
        <v>510</v>
      </c>
      <c r="C1" s="3"/>
      <c r="D1" s="3"/>
      <c r="E1" s="433">
        <v>2020</v>
      </c>
      <c r="F1" s="433">
        <v>2021</v>
      </c>
      <c r="G1" s="116">
        <v>2021</v>
      </c>
      <c r="H1" s="3"/>
      <c r="I1" s="116">
        <v>2021</v>
      </c>
      <c r="J1" s="116">
        <v>2021</v>
      </c>
      <c r="K1" s="116">
        <v>2021</v>
      </c>
      <c r="L1" s="116">
        <v>2021</v>
      </c>
      <c r="M1" s="116">
        <v>2021</v>
      </c>
      <c r="N1" s="116">
        <v>2021</v>
      </c>
      <c r="O1" s="116">
        <v>2021</v>
      </c>
      <c r="P1" s="116">
        <v>2021</v>
      </c>
      <c r="Q1" s="116">
        <v>2021</v>
      </c>
      <c r="R1" s="116">
        <v>2021</v>
      </c>
      <c r="S1" s="116">
        <v>2021</v>
      </c>
      <c r="T1" s="116">
        <v>2021</v>
      </c>
      <c r="U1" s="3"/>
      <c r="V1" s="116">
        <v>2021</v>
      </c>
      <c r="W1" s="116">
        <v>2021</v>
      </c>
      <c r="X1" s="116">
        <v>2021</v>
      </c>
      <c r="Y1" s="116">
        <v>2021</v>
      </c>
      <c r="Z1" s="116">
        <v>2021</v>
      </c>
      <c r="AA1" s="116">
        <v>2021</v>
      </c>
      <c r="AB1" s="116">
        <v>2021</v>
      </c>
      <c r="AC1" s="116">
        <v>2021</v>
      </c>
      <c r="AD1" s="63"/>
      <c r="AE1" s="116">
        <v>2021</v>
      </c>
      <c r="AF1" s="116">
        <v>2021</v>
      </c>
      <c r="AG1" s="116">
        <v>2021</v>
      </c>
      <c r="AH1" s="3"/>
      <c r="AI1" s="162">
        <v>2020</v>
      </c>
      <c r="AJ1" s="116">
        <v>2021</v>
      </c>
      <c r="AK1" s="3"/>
      <c r="AL1" s="3"/>
      <c r="AM1" s="3"/>
      <c r="AN1" s="3"/>
      <c r="AO1" s="3"/>
      <c r="AP1" s="3"/>
      <c r="AQ1" s="3"/>
      <c r="AR1" s="3"/>
    </row>
    <row r="2" spans="1:44" ht="19.5" hidden="1" customHeight="1" x14ac:dyDescent="0.3">
      <c r="A2" s="3"/>
      <c r="B2" s="191" t="s">
        <v>511</v>
      </c>
      <c r="C2" s="3"/>
      <c r="D2" s="3"/>
      <c r="E2" s="433" t="s">
        <v>30</v>
      </c>
      <c r="F2" s="433" t="str">
        <f ca="1">MONTH(TODAY())-1&amp;" YTD"</f>
        <v>3 YTD</v>
      </c>
      <c r="G2" s="433" t="s">
        <v>30</v>
      </c>
      <c r="H2" s="3"/>
      <c r="I2" s="116">
        <v>1</v>
      </c>
      <c r="J2" s="116">
        <v>2</v>
      </c>
      <c r="K2" s="116">
        <v>3</v>
      </c>
      <c r="L2" s="116">
        <v>4</v>
      </c>
      <c r="M2" s="116">
        <v>5</v>
      </c>
      <c r="N2" s="116">
        <v>6</v>
      </c>
      <c r="O2" s="116">
        <v>7</v>
      </c>
      <c r="P2" s="116">
        <v>8</v>
      </c>
      <c r="Q2" s="116">
        <v>9</v>
      </c>
      <c r="R2" s="116">
        <v>10</v>
      </c>
      <c r="S2" s="116">
        <v>11</v>
      </c>
      <c r="T2" s="116">
        <v>12</v>
      </c>
      <c r="U2" s="3"/>
      <c r="V2" s="116">
        <v>5</v>
      </c>
      <c r="W2" s="116">
        <v>6</v>
      </c>
      <c r="X2" s="116">
        <v>7</v>
      </c>
      <c r="Y2" s="116">
        <v>8</v>
      </c>
      <c r="Z2" s="116">
        <v>9</v>
      </c>
      <c r="AA2" s="116">
        <v>10</v>
      </c>
      <c r="AB2" s="116">
        <v>11</v>
      </c>
      <c r="AC2" s="116">
        <v>12</v>
      </c>
      <c r="AD2" s="63"/>
      <c r="AE2" s="434" t="str">
        <f ca="1">MONTH(TODAY())-1&amp;" YTD"</f>
        <v>3 YTD</v>
      </c>
      <c r="AF2" s="434" t="str">
        <f ca="1">MONTH(TODAY())-1&amp;" YTD"</f>
        <v>3 YTD</v>
      </c>
      <c r="AG2" s="434" t="str">
        <f ca="1">MONTH(TODAY())-1&amp;" YTD"</f>
        <v>3 YTD</v>
      </c>
      <c r="AH2" s="3"/>
      <c r="AI2" s="435" t="s">
        <v>30</v>
      </c>
      <c r="AJ2" s="435" t="s">
        <v>30</v>
      </c>
      <c r="AK2" s="3"/>
      <c r="AL2" s="3"/>
      <c r="AM2" s="3"/>
      <c r="AN2" s="3"/>
      <c r="AO2" s="3"/>
      <c r="AP2" s="3"/>
      <c r="AQ2" s="3"/>
      <c r="AR2" s="3"/>
    </row>
    <row r="3" spans="1:44" ht="19.5" hidden="1" customHeight="1" x14ac:dyDescent="0.3">
      <c r="A3" s="3"/>
      <c r="B3" s="191" t="s">
        <v>512</v>
      </c>
      <c r="C3" s="3"/>
      <c r="D3" s="3"/>
      <c r="E3" s="433">
        <v>12</v>
      </c>
      <c r="F3" s="433">
        <f ca="1">LEFT(F$2,2)*1</f>
        <v>3</v>
      </c>
      <c r="G3" s="433">
        <v>12</v>
      </c>
      <c r="H3" s="3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3"/>
      <c r="V3" s="116"/>
      <c r="W3" s="116"/>
      <c r="X3" s="116"/>
      <c r="Y3" s="116"/>
      <c r="Z3" s="116"/>
      <c r="AA3" s="116"/>
      <c r="AB3" s="116"/>
      <c r="AC3" s="116"/>
      <c r="AD3" s="63"/>
      <c r="AE3" s="116"/>
      <c r="AF3" s="116"/>
      <c r="AG3" s="436"/>
      <c r="AH3" s="3"/>
      <c r="AI3" s="437"/>
      <c r="AJ3" s="116"/>
      <c r="AK3" s="3"/>
      <c r="AL3" s="3"/>
      <c r="AM3" s="3"/>
      <c r="AN3" s="3"/>
      <c r="AO3" s="3"/>
      <c r="AP3" s="3"/>
      <c r="AQ3" s="3"/>
      <c r="AR3" s="3"/>
    </row>
    <row r="4" spans="1:44" ht="19.5" hidden="1" customHeight="1" x14ac:dyDescent="0.3">
      <c r="A4" s="3"/>
      <c r="B4" s="438"/>
      <c r="C4" s="3"/>
      <c r="D4" s="3"/>
      <c r="E4" s="8"/>
      <c r="F4" s="8"/>
      <c r="G4" s="8"/>
      <c r="H4" s="3"/>
      <c r="I4" s="437"/>
      <c r="J4" s="437"/>
      <c r="K4" s="437"/>
      <c r="L4" s="437"/>
      <c r="M4" s="439"/>
      <c r="N4" s="439"/>
      <c r="O4" s="439"/>
      <c r="P4" s="439"/>
      <c r="Q4" s="439"/>
      <c r="R4" s="439"/>
      <c r="S4" s="439"/>
      <c r="T4" s="439"/>
      <c r="U4" s="3"/>
      <c r="V4" s="437"/>
      <c r="W4" s="437"/>
      <c r="X4" s="437"/>
      <c r="Y4" s="437"/>
      <c r="Z4" s="437"/>
      <c r="AA4" s="437"/>
      <c r="AB4" s="439"/>
      <c r="AC4" s="439"/>
      <c r="AD4" s="439"/>
      <c r="AE4" s="439"/>
      <c r="AF4" s="439"/>
      <c r="AG4" s="436"/>
      <c r="AH4" s="3"/>
      <c r="AI4" s="437"/>
      <c r="AJ4" s="437"/>
      <c r="AK4" s="3"/>
      <c r="AL4" s="3"/>
      <c r="AM4" s="3"/>
      <c r="AN4" s="3"/>
      <c r="AO4" s="3"/>
      <c r="AP4" s="3"/>
      <c r="AQ4" s="3"/>
      <c r="AR4" s="3"/>
    </row>
    <row r="5" spans="1:44" ht="19.5" hidden="1" customHeight="1" x14ac:dyDescent="0.3">
      <c r="A5" s="3"/>
      <c r="B5" s="440">
        <f ca="1">YEAR(TODAY())</f>
        <v>2022</v>
      </c>
      <c r="C5" s="440">
        <f ca="1">MONTH(TODAY())</f>
        <v>4</v>
      </c>
      <c r="D5" s="3"/>
      <c r="E5" s="8"/>
      <c r="F5" s="8"/>
      <c r="G5" s="8"/>
      <c r="H5" s="3"/>
      <c r="I5" s="437"/>
      <c r="J5" s="437"/>
      <c r="K5" s="437"/>
      <c r="L5" s="437"/>
      <c r="M5" s="439"/>
      <c r="N5" s="439"/>
      <c r="O5" s="439"/>
      <c r="P5" s="439"/>
      <c r="Q5" s="439"/>
      <c r="R5" s="439"/>
      <c r="S5" s="439"/>
      <c r="T5" s="439"/>
      <c r="U5" s="3"/>
      <c r="V5" s="437"/>
      <c r="W5" s="437"/>
      <c r="X5" s="437"/>
      <c r="Y5" s="437"/>
      <c r="Z5" s="437"/>
      <c r="AA5" s="437"/>
      <c r="AB5" s="439"/>
      <c r="AC5" s="439"/>
      <c r="AD5" s="439"/>
      <c r="AE5" s="439"/>
      <c r="AF5" s="439"/>
      <c r="AG5" s="436"/>
      <c r="AH5" s="3"/>
      <c r="AI5" s="437"/>
      <c r="AJ5" s="437"/>
      <c r="AK5" s="3"/>
      <c r="AL5" s="3"/>
      <c r="AM5" s="3"/>
      <c r="AN5" s="3"/>
      <c r="AO5" s="3"/>
      <c r="AP5" s="3"/>
      <c r="AQ5" s="3"/>
      <c r="AR5" s="3"/>
    </row>
    <row r="6" spans="1:44" ht="19.5" customHeight="1" x14ac:dyDescent="0.3">
      <c r="A6" s="3"/>
      <c r="B6" s="30"/>
      <c r="C6" s="30"/>
      <c r="D6" s="3"/>
      <c r="E6" s="441" t="s">
        <v>513</v>
      </c>
      <c r="F6" s="442" t="s">
        <v>514</v>
      </c>
      <c r="G6" s="443" t="s">
        <v>514</v>
      </c>
      <c r="H6" s="3"/>
      <c r="I6" s="444" t="str">
        <f>TEXT(I$2,"00")&amp;" "&amp;I$1</f>
        <v>01 2021</v>
      </c>
      <c r="J6" s="444" t="str">
        <f>TEXT(J$2,"00")&amp;" "&amp;J$1</f>
        <v>02 2021</v>
      </c>
      <c r="K6" s="444" t="str">
        <f>TEXT(K$2,"00")&amp;" "&amp;K$1</f>
        <v>03 2021</v>
      </c>
      <c r="L6" s="444" t="str">
        <f>TEXT(L$2,"00")&amp;" "&amp;L$1</f>
        <v>04 2021</v>
      </c>
      <c r="M6" s="444" t="str">
        <f>TEXT(M$2,"00")&amp;" "&amp;M$1</f>
        <v>05 2021</v>
      </c>
      <c r="N6" s="445" t="s">
        <v>515</v>
      </c>
      <c r="O6" s="445" t="s">
        <v>516</v>
      </c>
      <c r="P6" s="445" t="s">
        <v>517</v>
      </c>
      <c r="Q6" s="445" t="s">
        <v>518</v>
      </c>
      <c r="R6" s="445" t="s">
        <v>519</v>
      </c>
      <c r="S6" s="445" t="s">
        <v>520</v>
      </c>
      <c r="T6" s="445" t="s">
        <v>521</v>
      </c>
      <c r="U6" s="3"/>
      <c r="V6" s="446" t="s">
        <v>522</v>
      </c>
      <c r="W6" s="446" t="s">
        <v>523</v>
      </c>
      <c r="X6" s="446" t="s">
        <v>524</v>
      </c>
      <c r="Y6" s="446" t="s">
        <v>525</v>
      </c>
      <c r="Z6" s="446" t="s">
        <v>526</v>
      </c>
      <c r="AA6" s="447" t="s">
        <v>519</v>
      </c>
      <c r="AB6" s="448" t="s">
        <v>520</v>
      </c>
      <c r="AC6" s="448" t="s">
        <v>521</v>
      </c>
      <c r="AD6" s="449"/>
      <c r="AE6" s="444" t="str">
        <f ca="1">AE$2&amp;" "&amp;AE$1</f>
        <v>3 YTD 2021</v>
      </c>
      <c r="AF6" s="450" t="str">
        <f ca="1">AF$2&amp;" "&amp;AF$1</f>
        <v>3 YTD 2021</v>
      </c>
      <c r="AG6" s="451" t="str">
        <f ca="1">AG$2&amp;" "&amp;AG$1</f>
        <v>3 YTD 2021</v>
      </c>
      <c r="AH6" s="3"/>
      <c r="AI6" s="452" t="str">
        <f>AI$2&amp;" "&amp;AI$1</f>
        <v>12 YTD 2020</v>
      </c>
      <c r="AJ6" s="450" t="str">
        <f>AJ$2&amp;" "&amp;AJ$1</f>
        <v>12 YTD 2021</v>
      </c>
      <c r="AK6" s="3"/>
      <c r="AL6" s="3"/>
      <c r="AM6" s="3"/>
      <c r="AN6" s="3"/>
      <c r="AO6" s="3"/>
      <c r="AP6" s="3"/>
      <c r="AQ6" s="3"/>
      <c r="AR6" s="3"/>
    </row>
    <row r="7" spans="1:44" ht="19.5" customHeight="1" x14ac:dyDescent="0.3">
      <c r="A7" s="3"/>
      <c r="B7" s="438"/>
      <c r="C7" s="30" t="s">
        <v>527</v>
      </c>
      <c r="D7" s="3"/>
      <c r="E7" s="441" t="s">
        <v>40</v>
      </c>
      <c r="F7" s="442" t="s">
        <v>40</v>
      </c>
      <c r="G7" s="443" t="s">
        <v>441</v>
      </c>
      <c r="H7" s="3"/>
      <c r="I7" s="446" t="s">
        <v>40</v>
      </c>
      <c r="J7" s="446" t="s">
        <v>40</v>
      </c>
      <c r="K7" s="446" t="s">
        <v>40</v>
      </c>
      <c r="L7" s="446" t="s">
        <v>40</v>
      </c>
      <c r="M7" s="444" t="s">
        <v>40</v>
      </c>
      <c r="N7" s="445" t="s">
        <v>40</v>
      </c>
      <c r="O7" s="445" t="s">
        <v>40</v>
      </c>
      <c r="P7" s="445" t="s">
        <v>40</v>
      </c>
      <c r="Q7" s="445" t="s">
        <v>40</v>
      </c>
      <c r="R7" s="445" t="s">
        <v>40</v>
      </c>
      <c r="S7" s="445" t="s">
        <v>40</v>
      </c>
      <c r="T7" s="445" t="s">
        <v>40</v>
      </c>
      <c r="U7" s="3"/>
      <c r="V7" s="446" t="s">
        <v>40</v>
      </c>
      <c r="W7" s="446" t="s">
        <v>40</v>
      </c>
      <c r="X7" s="446" t="s">
        <v>40</v>
      </c>
      <c r="Y7" s="446" t="s">
        <v>40</v>
      </c>
      <c r="Z7" s="446" t="s">
        <v>40</v>
      </c>
      <c r="AA7" s="447" t="s">
        <v>528</v>
      </c>
      <c r="AB7" s="448" t="s">
        <v>528</v>
      </c>
      <c r="AC7" s="448" t="s">
        <v>528</v>
      </c>
      <c r="AD7" s="449"/>
      <c r="AE7" s="444" t="s">
        <v>529</v>
      </c>
      <c r="AF7" s="450" t="s">
        <v>530</v>
      </c>
      <c r="AG7" s="451" t="s">
        <v>531</v>
      </c>
      <c r="AH7" s="3"/>
      <c r="AI7" s="453" t="s">
        <v>529</v>
      </c>
      <c r="AJ7" s="454" t="s">
        <v>530</v>
      </c>
      <c r="AK7" s="3"/>
      <c r="AL7" s="3"/>
      <c r="AM7" s="3"/>
      <c r="AN7" s="3"/>
      <c r="AO7" s="3"/>
      <c r="AP7" s="3"/>
      <c r="AQ7" s="3"/>
      <c r="AR7" s="3"/>
    </row>
    <row r="8" spans="1:44" ht="19.5" customHeight="1" x14ac:dyDescent="0.3">
      <c r="A8" s="3"/>
      <c r="B8" s="455" t="s">
        <v>532</v>
      </c>
      <c r="C8" s="63"/>
      <c r="D8" s="3"/>
      <c r="E8" s="456"/>
      <c r="F8" s="456"/>
      <c r="G8" s="457"/>
      <c r="H8" s="3"/>
      <c r="I8" s="457"/>
      <c r="J8" s="457"/>
      <c r="K8" s="457"/>
      <c r="L8" s="457"/>
      <c r="M8" s="457"/>
      <c r="N8" s="456"/>
      <c r="O8" s="456"/>
      <c r="P8" s="456"/>
      <c r="Q8" s="456"/>
      <c r="R8" s="456"/>
      <c r="S8" s="456"/>
      <c r="T8" s="456"/>
      <c r="U8" s="3"/>
      <c r="V8" s="456"/>
      <c r="W8" s="456"/>
      <c r="X8" s="456"/>
      <c r="Y8" s="456"/>
      <c r="Z8" s="456"/>
      <c r="AA8" s="456"/>
      <c r="AB8" s="456"/>
      <c r="AC8" s="458"/>
      <c r="AD8" s="458"/>
      <c r="AE8" s="459"/>
      <c r="AF8" s="460"/>
      <c r="AG8" s="436"/>
      <c r="AH8" s="3"/>
      <c r="AI8" s="459"/>
      <c r="AJ8" s="461"/>
      <c r="AK8" s="3"/>
      <c r="AL8" s="3"/>
      <c r="AM8" s="3"/>
      <c r="AN8" s="3"/>
      <c r="AO8" s="3"/>
      <c r="AP8" s="3"/>
      <c r="AQ8" s="3"/>
      <c r="AR8" s="3"/>
    </row>
    <row r="9" spans="1:44" ht="19.5" customHeight="1" x14ac:dyDescent="0.3">
      <c r="A9" s="3" t="s">
        <v>533</v>
      </c>
      <c r="B9" s="33" t="s">
        <v>534</v>
      </c>
      <c r="C9" s="191" t="s">
        <v>535</v>
      </c>
      <c r="D9" s="3"/>
      <c r="E9" s="462">
        <f t="shared" ref="E9:E18" si="0">$AI9/E$3</f>
        <v>422.91666666666669</v>
      </c>
      <c r="F9" s="462">
        <f ca="1">IFERROR(1/F$3,1)*SUMIFS(Data!$S$3:$S$137,Data!$O$3:$O$137,F$1,Data!$P$3:$P$137,IF(RIGHT(F$2,3)="YTD","&lt;="&amp;LEFT(F$2,2)*1,F$2),Data!$K$3:$K$137,$B9)</f>
        <v>0</v>
      </c>
      <c r="G9" s="462">
        <f t="shared" ref="G9:G18" si="1">AJ9/12</f>
        <v>30833.333333333332</v>
      </c>
      <c r="H9" s="3"/>
      <c r="I9" s="462">
        <f>'Reporting 2021'!I15</f>
        <v>0</v>
      </c>
      <c r="J9" s="462">
        <f>'Reporting 2021'!J15</f>
        <v>0</v>
      </c>
      <c r="K9" s="462">
        <f>'Reporting 2021'!K15</f>
        <v>0</v>
      </c>
      <c r="L9" s="462">
        <f>'Reporting 2021'!L15</f>
        <v>0</v>
      </c>
      <c r="M9" s="462">
        <f>IFERROR(1/M$3,1)*SUMIFS(Data!$S$3:$S$137,Data!$O$3:$O$137,M$1,Data!$P$3:$P$137,IF(RIGHT(M$2,3)="YTD","&lt;="&amp;LEFT(M$2,2)*1,M$2),Data!$K$3:$K$137,$B9)</f>
        <v>0</v>
      </c>
      <c r="N9" s="462">
        <f>SUMIFS(Data!$S$3:$S$137,Data!$O$3:$O$137,N$1,Data!$P$3:$P$137,N$2,Data!$K$3:$K$137,$B9)</f>
        <v>0</v>
      </c>
      <c r="O9" s="462">
        <f>SUMIFS(Data!$S$3:$S$137,Data!$O$3:$O$137,O$1,Data!$P$3:$P$137,O$2,Data!$K$3:$K$137,$B9)</f>
        <v>0</v>
      </c>
      <c r="P9" s="462">
        <f>SUMIFS(Data!$S$3:$S$137,Data!$O$3:$O$137,P$1,Data!$P$3:$P$137,P$2,Data!$K$3:$K$137,$B9)</f>
        <v>0</v>
      </c>
      <c r="Q9" s="462">
        <f>SUMIFS(Data!$S$3:$S$137,Data!$O$3:$O$137,Q$1,Data!$P$3:$P$137,Q$2,Data!$K$3:$K$137,$B9)</f>
        <v>0</v>
      </c>
      <c r="R9" s="462">
        <f>SUMIFS(Data!$S$3:$S$137,Data!$O$3:$O$137,R$1,Data!$P$3:$P$137,R$2,Data!$K$3:$K$137,$B9)</f>
        <v>0</v>
      </c>
      <c r="S9" s="462">
        <f>SUMIFS(Data!$S$3:$S$137,Data!$O$3:$O$137,S$1,Data!$P$3:$P$137,S$2,Data!$K$3:$K$137,$B9)</f>
        <v>0</v>
      </c>
      <c r="T9" s="462">
        <f>SUMIFS(Data!$S$3:$S$137,Data!$O$3:$O$137,T$1,Data!$P$3:$P$137,T$2,Data!$K$3:$K$137,$B9)</f>
        <v>0</v>
      </c>
      <c r="U9" s="3"/>
      <c r="V9" s="462">
        <f>'Reporting 2021'!M15</f>
        <v>0</v>
      </c>
      <c r="W9" s="462">
        <f>'Reporting 2021'!N15</f>
        <v>0</v>
      </c>
      <c r="X9" s="462">
        <v>0</v>
      </c>
      <c r="Y9" s="462">
        <v>0</v>
      </c>
      <c r="Z9" s="462">
        <v>0</v>
      </c>
      <c r="AA9" s="462">
        <v>30833.333333333328</v>
      </c>
      <c r="AB9" s="462">
        <f t="shared" ref="AB9:AC18" si="2">$G9</f>
        <v>30833.333333333332</v>
      </c>
      <c r="AC9" s="462">
        <f t="shared" si="2"/>
        <v>30833.333333333332</v>
      </c>
      <c r="AD9" s="462"/>
      <c r="AE9" s="462">
        <f ca="1">IFERROR(1/AE$3,1)*SUMIFS(Data!$S$3:$S$137,Data!$O$3:$O$137,AE$1,Data!$P$3:$P$137,IF(RIGHT(AE$2,3)="YTD","&lt;="&amp;LEFT(AE$2,2)*1,AE$2),Data!$K$3:$K$137,$B9)</f>
        <v>0</v>
      </c>
      <c r="AF9" s="462">
        <f t="shared" ref="AF9:AF18" ca="1" si="3">AJ9/12*LEFT(AF$2,2)*1</f>
        <v>92500</v>
      </c>
      <c r="AG9" s="463">
        <f t="shared" ref="AG9:AG18" ca="1" si="4">AE9-AF9</f>
        <v>-92500</v>
      </c>
      <c r="AH9" s="3"/>
      <c r="AI9" s="462">
        <v>5075</v>
      </c>
      <c r="AJ9" s="462">
        <v>370000</v>
      </c>
      <c r="AK9" s="3"/>
      <c r="AL9" s="3"/>
      <c r="AM9" s="3"/>
      <c r="AN9" s="3"/>
      <c r="AO9" s="3"/>
      <c r="AP9" s="3"/>
      <c r="AQ9" s="3"/>
      <c r="AR9" s="3"/>
    </row>
    <row r="10" spans="1:44" ht="19.5" customHeight="1" x14ac:dyDescent="0.3">
      <c r="A10" s="3" t="s">
        <v>536</v>
      </c>
      <c r="B10" s="33" t="s">
        <v>537</v>
      </c>
      <c r="C10" s="191" t="s">
        <v>535</v>
      </c>
      <c r="D10" s="3"/>
      <c r="E10" s="462">
        <f t="shared" si="0"/>
        <v>957.5</v>
      </c>
      <c r="F10" s="462">
        <f ca="1">IFERROR(1/F$3,1)*SUMIFS(Data!$S$3:$S$137,Data!$O$3:$O$137,F$1,Data!$P$3:$P$137,IF(RIGHT(F$2,3)="YTD","&lt;="&amp;LEFT(F$2,2)*1,F$2),Data!$K$3:$K$137,$B10)</f>
        <v>0</v>
      </c>
      <c r="G10" s="462">
        <f t="shared" si="1"/>
        <v>0</v>
      </c>
      <c r="H10" s="3"/>
      <c r="I10" s="462">
        <f>'Reporting 2021'!I16</f>
        <v>0</v>
      </c>
      <c r="J10" s="462">
        <f>'Reporting 2021'!J16</f>
        <v>0</v>
      </c>
      <c r="K10" s="462">
        <f>'Reporting 2021'!K16</f>
        <v>0</v>
      </c>
      <c r="L10" s="462">
        <f>'Reporting 2021'!L16</f>
        <v>0</v>
      </c>
      <c r="M10" s="462">
        <f>IFERROR(1/M$3,1)*SUMIFS(Data!$S$3:$S$137,Data!$O$3:$O$137,M$1,Data!$P$3:$P$137,IF(RIGHT(M$2,3)="YTD","&lt;="&amp;LEFT(M$2,2)*1,M$2),Data!$K$3:$K$137,$B10)</f>
        <v>0</v>
      </c>
      <c r="N10" s="462">
        <f>SUMIFS(Data!$S$3:$S$137,Data!$O$3:$O$137,N$1,Data!$P$3:$P$137,N$2,Data!$K$3:$K$137,$B10)</f>
        <v>0</v>
      </c>
      <c r="O10" s="462">
        <f>SUMIFS(Data!$S$3:$S$137,Data!$O$3:$O$137,O$1,Data!$P$3:$P$137,O$2,Data!$K$3:$K$137,$B10)</f>
        <v>0</v>
      </c>
      <c r="P10" s="462">
        <f>SUMIFS(Data!$S$3:$S$137,Data!$O$3:$O$137,P$1,Data!$P$3:$P$137,P$2,Data!$K$3:$K$137,$B10)</f>
        <v>0</v>
      </c>
      <c r="Q10" s="462">
        <f>SUMIFS(Data!$S$3:$S$137,Data!$O$3:$O$137,Q$1,Data!$P$3:$P$137,Q$2,Data!$K$3:$K$137,$B10)</f>
        <v>0</v>
      </c>
      <c r="R10" s="462">
        <f>SUMIFS(Data!$S$3:$S$137,Data!$O$3:$O$137,R$1,Data!$P$3:$P$137,R$2,Data!$K$3:$K$137,$B10)</f>
        <v>0</v>
      </c>
      <c r="S10" s="462">
        <f>SUMIFS(Data!$S$3:$S$137,Data!$O$3:$O$137,S$1,Data!$P$3:$P$137,S$2,Data!$K$3:$K$137,$B10)</f>
        <v>0</v>
      </c>
      <c r="T10" s="462">
        <f>SUMIFS(Data!$S$3:$S$137,Data!$O$3:$O$137,T$1,Data!$P$3:$P$137,T$2,Data!$K$3:$K$137,$B10)</f>
        <v>0</v>
      </c>
      <c r="U10" s="3"/>
      <c r="V10" s="462">
        <f>'Reporting 2021'!M16</f>
        <v>0</v>
      </c>
      <c r="W10" s="462">
        <f>'Reporting 2021'!N16</f>
        <v>0</v>
      </c>
      <c r="X10" s="462">
        <v>0</v>
      </c>
      <c r="Y10" s="462">
        <v>0</v>
      </c>
      <c r="Z10" s="462">
        <v>0</v>
      </c>
      <c r="AA10" s="462">
        <v>0</v>
      </c>
      <c r="AB10" s="462">
        <f t="shared" si="2"/>
        <v>0</v>
      </c>
      <c r="AC10" s="462">
        <f t="shared" si="2"/>
        <v>0</v>
      </c>
      <c r="AD10" s="462"/>
      <c r="AE10" s="462">
        <f ca="1">IFERROR(1/AE$3,1)*SUMIFS(Data!$S$3:$S$137,Data!$O$3:$O$137,AE$1,Data!$P$3:$P$137,IF(RIGHT(AE$2,3)="YTD","&lt;="&amp;LEFT(AE$2,2)*1,AE$2),Data!$K$3:$K$137,$B10)</f>
        <v>0</v>
      </c>
      <c r="AF10" s="462">
        <f t="shared" ca="1" si="3"/>
        <v>0</v>
      </c>
      <c r="AG10" s="463">
        <f t="shared" ca="1" si="4"/>
        <v>0</v>
      </c>
      <c r="AH10" s="3"/>
      <c r="AI10" s="462">
        <v>11490</v>
      </c>
      <c r="AJ10" s="462">
        <v>0</v>
      </c>
      <c r="AK10" s="3"/>
      <c r="AL10" s="3"/>
      <c r="AM10" s="3"/>
      <c r="AN10" s="3"/>
      <c r="AO10" s="3"/>
      <c r="AP10" s="3"/>
      <c r="AQ10" s="3"/>
      <c r="AR10" s="3"/>
    </row>
    <row r="11" spans="1:44" ht="19.5" customHeight="1" x14ac:dyDescent="0.3">
      <c r="A11" s="3"/>
      <c r="B11" s="33" t="s">
        <v>538</v>
      </c>
      <c r="C11" s="191" t="s">
        <v>535</v>
      </c>
      <c r="D11" s="3"/>
      <c r="E11" s="462">
        <f t="shared" si="0"/>
        <v>44543.333333333336</v>
      </c>
      <c r="F11" s="462">
        <f ca="1">IFERROR(1/F$3,1)*SUMIFS(Data!$S$3:$S$137,Data!$O$3:$O$137,F$1,Data!$P$3:$P$137,IF(RIGHT(F$2,3)="YTD","&lt;="&amp;LEFT(F$2,2)*1,F$2),Data!$K$3:$K$137,$B11)</f>
        <v>0</v>
      </c>
      <c r="G11" s="462">
        <f t="shared" si="1"/>
        <v>0</v>
      </c>
      <c r="H11" s="3"/>
      <c r="I11" s="462">
        <f>'Reporting 2021'!I17</f>
        <v>0</v>
      </c>
      <c r="J11" s="462">
        <f>'Reporting 2021'!J17</f>
        <v>0</v>
      </c>
      <c r="K11" s="462">
        <f>'Reporting 2021'!K17</f>
        <v>0</v>
      </c>
      <c r="L11" s="462">
        <f>'Reporting 2021'!L17</f>
        <v>0</v>
      </c>
      <c r="M11" s="462">
        <f>IFERROR(1/M$3,1)*SUMIFS(Data!$S$3:$S$137,Data!$O$3:$O$137,M$1,Data!$P$3:$P$137,IF(RIGHT(M$2,3)="YTD","&lt;="&amp;LEFT(M$2,2)*1,M$2),Data!$K$3:$K$137,$B11)</f>
        <v>0</v>
      </c>
      <c r="N11" s="462">
        <f>SUMIFS(Data!$S$3:$S$137,Data!$O$3:$O$137,N$1,Data!$P$3:$P$137,N$2,Data!$K$3:$K$137,$B11)</f>
        <v>0</v>
      </c>
      <c r="O11" s="462">
        <f>SUMIFS(Data!$S$3:$S$137,Data!$O$3:$O$137,O$1,Data!$P$3:$P$137,O$2,Data!$K$3:$K$137,$B11)</f>
        <v>0</v>
      </c>
      <c r="P11" s="462">
        <f>SUMIFS(Data!$S$3:$S$137,Data!$O$3:$O$137,P$1,Data!$P$3:$P$137,P$2,Data!$K$3:$K$137,$B11)</f>
        <v>0</v>
      </c>
      <c r="Q11" s="462">
        <f>SUMIFS(Data!$S$3:$S$137,Data!$O$3:$O$137,Q$1,Data!$P$3:$P$137,Q$2,Data!$K$3:$K$137,$B11)</f>
        <v>0</v>
      </c>
      <c r="R11" s="462">
        <f>SUMIFS(Data!$S$3:$S$137,Data!$O$3:$O$137,R$1,Data!$P$3:$P$137,R$2,Data!$K$3:$K$137,$B11)</f>
        <v>0</v>
      </c>
      <c r="S11" s="462">
        <f>SUMIFS(Data!$S$3:$S$137,Data!$O$3:$O$137,S$1,Data!$P$3:$P$137,S$2,Data!$K$3:$K$137,$B11)</f>
        <v>0</v>
      </c>
      <c r="T11" s="462">
        <f>SUMIFS(Data!$S$3:$S$137,Data!$O$3:$O$137,T$1,Data!$P$3:$P$137,T$2,Data!$K$3:$K$137,$B11)</f>
        <v>0</v>
      </c>
      <c r="U11" s="3"/>
      <c r="V11" s="462">
        <f>'Reporting 2021'!M17</f>
        <v>0</v>
      </c>
      <c r="W11" s="462">
        <f>'Reporting 2021'!N17</f>
        <v>0</v>
      </c>
      <c r="X11" s="462">
        <v>0</v>
      </c>
      <c r="Y11" s="462">
        <v>0</v>
      </c>
      <c r="Z11" s="462">
        <v>0</v>
      </c>
      <c r="AA11" s="462">
        <v>0</v>
      </c>
      <c r="AB11" s="462">
        <f t="shared" si="2"/>
        <v>0</v>
      </c>
      <c r="AC11" s="462">
        <f t="shared" si="2"/>
        <v>0</v>
      </c>
      <c r="AD11" s="462"/>
      <c r="AE11" s="462">
        <f ca="1">IFERROR(1/AE$3,1)*SUMIFS(Data!$S$3:$S$137,Data!$O$3:$O$137,AE$1,Data!$P$3:$P$137,IF(RIGHT(AE$2,3)="YTD","&lt;="&amp;LEFT(AE$2,2)*1,AE$2),Data!$K$3:$K$137,$B11)</f>
        <v>0</v>
      </c>
      <c r="AF11" s="462">
        <f t="shared" ca="1" si="3"/>
        <v>0</v>
      </c>
      <c r="AG11" s="463">
        <f t="shared" ca="1" si="4"/>
        <v>0</v>
      </c>
      <c r="AH11" s="3"/>
      <c r="AI11" s="462">
        <v>534520</v>
      </c>
      <c r="AJ11" s="462">
        <v>0</v>
      </c>
      <c r="AK11" s="3"/>
      <c r="AL11" s="3"/>
      <c r="AM11" s="3"/>
      <c r="AN11" s="3"/>
      <c r="AO11" s="3"/>
      <c r="AP11" s="3"/>
      <c r="AQ11" s="3"/>
      <c r="AR11" s="3"/>
    </row>
    <row r="12" spans="1:44" ht="19.5" customHeight="1" x14ac:dyDescent="0.3">
      <c r="A12" s="3" t="s">
        <v>539</v>
      </c>
      <c r="B12" s="33" t="s">
        <v>540</v>
      </c>
      <c r="C12" s="191" t="s">
        <v>535</v>
      </c>
      <c r="D12" s="3"/>
      <c r="E12" s="462">
        <f t="shared" si="0"/>
        <v>1117.5</v>
      </c>
      <c r="F12" s="462">
        <f ca="1">IFERROR(1/F$3,1)*SUMIFS(Data!$S$3:$S$137,Data!$O$3:$O$137,F$1,Data!$P$3:$P$137,IF(RIGHT(F$2,3)="YTD","&lt;="&amp;LEFT(F$2,2)*1,F$2),Data!$K$3:$K$137,$B12)</f>
        <v>0</v>
      </c>
      <c r="G12" s="462">
        <f t="shared" si="1"/>
        <v>0</v>
      </c>
      <c r="H12" s="3"/>
      <c r="I12" s="462">
        <f>'Reporting 2021'!I18</f>
        <v>0</v>
      </c>
      <c r="J12" s="462">
        <f>'Reporting 2021'!J18</f>
        <v>0</v>
      </c>
      <c r="K12" s="462">
        <f>'Reporting 2021'!K18</f>
        <v>0</v>
      </c>
      <c r="L12" s="462">
        <f>'Reporting 2021'!L18</f>
        <v>0</v>
      </c>
      <c r="M12" s="462">
        <f>IFERROR(1/M$3,1)*SUMIFS(Data!$S$3:$S$137,Data!$O$3:$O$137,M$1,Data!$P$3:$P$137,IF(RIGHT(M$2,3)="YTD","&lt;="&amp;LEFT(M$2,2)*1,M$2),Data!$K$3:$K$137,$B12)</f>
        <v>0</v>
      </c>
      <c r="N12" s="462">
        <f>SUMIFS(Data!$S$3:$S$137,Data!$O$3:$O$137,N$1,Data!$P$3:$P$137,N$2,Data!$K$3:$K$137,$B12)</f>
        <v>0</v>
      </c>
      <c r="O12" s="462">
        <f>SUMIFS(Data!$S$3:$S$137,Data!$O$3:$O$137,O$1,Data!$P$3:$P$137,O$2,Data!$K$3:$K$137,$B12)</f>
        <v>0</v>
      </c>
      <c r="P12" s="462">
        <f>SUMIFS(Data!$S$3:$S$137,Data!$O$3:$O$137,P$1,Data!$P$3:$P$137,P$2,Data!$K$3:$K$137,$B12)</f>
        <v>0</v>
      </c>
      <c r="Q12" s="462">
        <f>SUMIFS(Data!$S$3:$S$137,Data!$O$3:$O$137,Q$1,Data!$P$3:$P$137,Q$2,Data!$K$3:$K$137,$B12)</f>
        <v>0</v>
      </c>
      <c r="R12" s="462">
        <f>SUMIFS(Data!$S$3:$S$137,Data!$O$3:$O$137,R$1,Data!$P$3:$P$137,R$2,Data!$K$3:$K$137,$B12)</f>
        <v>0</v>
      </c>
      <c r="S12" s="462">
        <f>SUMIFS(Data!$S$3:$S$137,Data!$O$3:$O$137,S$1,Data!$P$3:$P$137,S$2,Data!$K$3:$K$137,$B12)</f>
        <v>0</v>
      </c>
      <c r="T12" s="462">
        <f>SUMIFS(Data!$S$3:$S$137,Data!$O$3:$O$137,T$1,Data!$P$3:$P$137,T$2,Data!$K$3:$K$137,$B12)</f>
        <v>0</v>
      </c>
      <c r="U12" s="3"/>
      <c r="V12" s="462">
        <f>'Reporting 2021'!M18</f>
        <v>0</v>
      </c>
      <c r="W12" s="462">
        <f>'Reporting 2021'!N18</f>
        <v>0</v>
      </c>
      <c r="X12" s="462">
        <v>0</v>
      </c>
      <c r="Y12" s="462">
        <v>0</v>
      </c>
      <c r="Z12" s="462">
        <v>0</v>
      </c>
      <c r="AA12" s="462">
        <v>0</v>
      </c>
      <c r="AB12" s="462">
        <f t="shared" si="2"/>
        <v>0</v>
      </c>
      <c r="AC12" s="462">
        <f t="shared" si="2"/>
        <v>0</v>
      </c>
      <c r="AD12" s="462"/>
      <c r="AE12" s="462">
        <f ca="1">IFERROR(1/AE$3,1)*SUMIFS(Data!$S$3:$S$137,Data!$O$3:$O$137,AE$1,Data!$P$3:$P$137,IF(RIGHT(AE$2,3)="YTD","&lt;="&amp;LEFT(AE$2,2)*1,AE$2),Data!$K$3:$K$137,$B12)</f>
        <v>0</v>
      </c>
      <c r="AF12" s="462">
        <f t="shared" ca="1" si="3"/>
        <v>0</v>
      </c>
      <c r="AG12" s="463">
        <f t="shared" ca="1" si="4"/>
        <v>0</v>
      </c>
      <c r="AH12" s="3"/>
      <c r="AI12" s="462">
        <v>13410</v>
      </c>
      <c r="AJ12" s="462">
        <v>0</v>
      </c>
      <c r="AK12" s="3"/>
      <c r="AL12" s="3"/>
      <c r="AM12" s="3"/>
      <c r="AN12" s="3"/>
      <c r="AO12" s="3"/>
      <c r="AP12" s="3"/>
      <c r="AQ12" s="3"/>
      <c r="AR12" s="3"/>
    </row>
    <row r="13" spans="1:44" ht="19.5" customHeight="1" x14ac:dyDescent="0.3">
      <c r="A13" s="3" t="s">
        <v>541</v>
      </c>
      <c r="B13" s="33" t="s">
        <v>542</v>
      </c>
      <c r="C13" s="191" t="s">
        <v>535</v>
      </c>
      <c r="D13" s="3"/>
      <c r="E13" s="462">
        <f t="shared" si="0"/>
        <v>8626.25</v>
      </c>
      <c r="F13" s="462">
        <f ca="1">IFERROR(1/F$3,1)*SUMIFS(Data!$S$3:$S$137,Data!$O$3:$O$137,F$1,Data!$P$3:$P$137,IF(RIGHT(F$2,3)="YTD","&lt;="&amp;LEFT(F$2,2)*1,F$2),Data!$K$3:$K$137,$B13)</f>
        <v>0</v>
      </c>
      <c r="G13" s="462">
        <f t="shared" si="1"/>
        <v>0</v>
      </c>
      <c r="H13" s="3"/>
      <c r="I13" s="462">
        <f>'Reporting 2021'!I19</f>
        <v>0</v>
      </c>
      <c r="J13" s="462">
        <f>'Reporting 2021'!J19</f>
        <v>0</v>
      </c>
      <c r="K13" s="462">
        <f>'Reporting 2021'!K19</f>
        <v>0</v>
      </c>
      <c r="L13" s="462">
        <f>'Reporting 2021'!L19</f>
        <v>0</v>
      </c>
      <c r="M13" s="462">
        <f>IFERROR(1/M$3,1)*SUMIFS(Data!$S$3:$S$137,Data!$O$3:$O$137,M$1,Data!$P$3:$P$137,IF(RIGHT(M$2,3)="YTD","&lt;="&amp;LEFT(M$2,2)*1,M$2),Data!$K$3:$K$137,$B13)</f>
        <v>0</v>
      </c>
      <c r="N13" s="462">
        <f>SUMIFS(Data!$S$3:$S$137,Data!$O$3:$O$137,N$1,Data!$P$3:$P$137,N$2,Data!$K$3:$K$137,$B13)</f>
        <v>0</v>
      </c>
      <c r="O13" s="462">
        <f>SUMIFS(Data!$S$3:$S$137,Data!$O$3:$O$137,O$1,Data!$P$3:$P$137,O$2,Data!$K$3:$K$137,$B13)</f>
        <v>0</v>
      </c>
      <c r="P13" s="462">
        <f>SUMIFS(Data!$S$3:$S$137,Data!$O$3:$O$137,P$1,Data!$P$3:$P$137,P$2,Data!$K$3:$K$137,$B13)</f>
        <v>0</v>
      </c>
      <c r="Q13" s="462">
        <f>SUMIFS(Data!$S$3:$S$137,Data!$O$3:$O$137,Q$1,Data!$P$3:$P$137,Q$2,Data!$K$3:$K$137,$B13)</f>
        <v>0</v>
      </c>
      <c r="R13" s="462">
        <f>SUMIFS(Data!$S$3:$S$137,Data!$O$3:$O$137,R$1,Data!$P$3:$P$137,R$2,Data!$K$3:$K$137,$B13)</f>
        <v>0</v>
      </c>
      <c r="S13" s="462">
        <f>SUMIFS(Data!$S$3:$S$137,Data!$O$3:$O$137,S$1,Data!$P$3:$P$137,S$2,Data!$K$3:$K$137,$B13)</f>
        <v>0</v>
      </c>
      <c r="T13" s="462">
        <f>SUMIFS(Data!$S$3:$S$137,Data!$O$3:$O$137,T$1,Data!$P$3:$P$137,T$2,Data!$K$3:$K$137,$B13)</f>
        <v>0</v>
      </c>
      <c r="U13" s="3"/>
      <c r="V13" s="462">
        <f>'Reporting 2021'!M19</f>
        <v>0</v>
      </c>
      <c r="W13" s="462">
        <f>'Reporting 2021'!N19</f>
        <v>0</v>
      </c>
      <c r="X13" s="462">
        <v>0</v>
      </c>
      <c r="Y13" s="462">
        <v>0</v>
      </c>
      <c r="Z13" s="462">
        <v>0</v>
      </c>
      <c r="AA13" s="462">
        <v>0</v>
      </c>
      <c r="AB13" s="462">
        <f t="shared" si="2"/>
        <v>0</v>
      </c>
      <c r="AC13" s="462">
        <f t="shared" si="2"/>
        <v>0</v>
      </c>
      <c r="AD13" s="462"/>
      <c r="AE13" s="462">
        <f ca="1">IFERROR(1/AE$3,1)*SUMIFS(Data!$S$3:$S$137,Data!$O$3:$O$137,AE$1,Data!$P$3:$P$137,IF(RIGHT(AE$2,3)="YTD","&lt;="&amp;LEFT(AE$2,2)*1,AE$2),Data!$K$3:$K$137,$B13)</f>
        <v>0</v>
      </c>
      <c r="AF13" s="462">
        <f t="shared" ca="1" si="3"/>
        <v>0</v>
      </c>
      <c r="AG13" s="463">
        <f t="shared" ca="1" si="4"/>
        <v>0</v>
      </c>
      <c r="AH13" s="3"/>
      <c r="AI13" s="462">
        <v>103515</v>
      </c>
      <c r="AJ13" s="462">
        <v>0</v>
      </c>
      <c r="AK13" s="3"/>
      <c r="AL13" s="3"/>
      <c r="AM13" s="3"/>
      <c r="AN13" s="3"/>
      <c r="AO13" s="3"/>
      <c r="AP13" s="3"/>
      <c r="AQ13" s="3"/>
      <c r="AR13" s="3"/>
    </row>
    <row r="14" spans="1:44" ht="19.5" customHeight="1" x14ac:dyDescent="0.3">
      <c r="A14" s="3" t="s">
        <v>543</v>
      </c>
      <c r="B14" s="33" t="s">
        <v>544</v>
      </c>
      <c r="C14" s="191" t="s">
        <v>535</v>
      </c>
      <c r="D14" s="3"/>
      <c r="E14" s="462">
        <f t="shared" si="0"/>
        <v>9451.5833333333339</v>
      </c>
      <c r="F14" s="462">
        <f ca="1">IFERROR(1/F$3,1)*SUMIFS(Data!$S$3:$S$137,Data!$O$3:$O$137,F$1,Data!$P$3:$P$137,IF(RIGHT(F$2,3)="YTD","&lt;="&amp;LEFT(F$2,2)*1,F$2),Data!$K$3:$K$137,$B14)</f>
        <v>0</v>
      </c>
      <c r="G14" s="462">
        <f t="shared" si="1"/>
        <v>20833.333333333332</v>
      </c>
      <c r="H14" s="3"/>
      <c r="I14" s="462">
        <f>'Reporting 2021'!I20</f>
        <v>0</v>
      </c>
      <c r="J14" s="462">
        <f>'Reporting 2021'!J20</f>
        <v>0</v>
      </c>
      <c r="K14" s="462">
        <f>'Reporting 2021'!K20</f>
        <v>0</v>
      </c>
      <c r="L14" s="462">
        <f>'Reporting 2021'!L20</f>
        <v>0</v>
      </c>
      <c r="M14" s="462">
        <f>IFERROR(1/M$3,1)*SUMIFS(Data!$S$3:$S$137,Data!$O$3:$O$137,M$1,Data!$P$3:$P$137,IF(RIGHT(M$2,3)="YTD","&lt;="&amp;LEFT(M$2,2)*1,M$2),Data!$K$3:$K$137,$B14)</f>
        <v>0</v>
      </c>
      <c r="N14" s="462">
        <f>SUMIFS(Data!$S$3:$S$137,Data!$O$3:$O$137,N$1,Data!$P$3:$P$137,N$2,Data!$K$3:$K$137,$B14)</f>
        <v>0</v>
      </c>
      <c r="O14" s="462">
        <f>SUMIFS(Data!$S$3:$S$137,Data!$O$3:$O$137,O$1,Data!$P$3:$P$137,O$2,Data!$K$3:$K$137,$B14)</f>
        <v>0</v>
      </c>
      <c r="P14" s="462">
        <f>SUMIFS(Data!$S$3:$S$137,Data!$O$3:$O$137,P$1,Data!$P$3:$P$137,P$2,Data!$K$3:$K$137,$B14)</f>
        <v>0</v>
      </c>
      <c r="Q14" s="462">
        <f>SUMIFS(Data!$S$3:$S$137,Data!$O$3:$O$137,Q$1,Data!$P$3:$P$137,Q$2,Data!$K$3:$K$137,$B14)</f>
        <v>0</v>
      </c>
      <c r="R14" s="462">
        <f>SUMIFS(Data!$S$3:$S$137,Data!$O$3:$O$137,R$1,Data!$P$3:$P$137,R$2,Data!$K$3:$K$137,$B14)</f>
        <v>0</v>
      </c>
      <c r="S14" s="462">
        <f>SUMIFS(Data!$S$3:$S$137,Data!$O$3:$O$137,S$1,Data!$P$3:$P$137,S$2,Data!$K$3:$K$137,$B14)</f>
        <v>0</v>
      </c>
      <c r="T14" s="462">
        <f>SUMIFS(Data!$S$3:$S$137,Data!$O$3:$O$137,T$1,Data!$P$3:$P$137,T$2,Data!$K$3:$K$137,$B14)</f>
        <v>0</v>
      </c>
      <c r="U14" s="3"/>
      <c r="V14" s="462">
        <f>'Reporting 2021'!M20</f>
        <v>0</v>
      </c>
      <c r="W14" s="462">
        <f>'Reporting 2021'!N20</f>
        <v>0</v>
      </c>
      <c r="X14" s="462">
        <v>0</v>
      </c>
      <c r="Y14" s="462">
        <v>0</v>
      </c>
      <c r="Z14" s="462">
        <v>0</v>
      </c>
      <c r="AA14" s="462">
        <v>20833.333333333328</v>
      </c>
      <c r="AB14" s="462">
        <f t="shared" si="2"/>
        <v>20833.333333333332</v>
      </c>
      <c r="AC14" s="462">
        <f t="shared" si="2"/>
        <v>20833.333333333332</v>
      </c>
      <c r="AD14" s="462"/>
      <c r="AE14" s="462">
        <f ca="1">IFERROR(1/AE$3,1)*SUMIFS(Data!$S$3:$S$137,Data!$O$3:$O$137,AE$1,Data!$P$3:$P$137,IF(RIGHT(AE$2,3)="YTD","&lt;="&amp;LEFT(AE$2,2)*1,AE$2),Data!$K$3:$K$137,$B14)</f>
        <v>0</v>
      </c>
      <c r="AF14" s="462">
        <f t="shared" ca="1" si="3"/>
        <v>62500</v>
      </c>
      <c r="AG14" s="463">
        <f t="shared" ca="1" si="4"/>
        <v>-62500</v>
      </c>
      <c r="AH14" s="3"/>
      <c r="AI14" s="462">
        <v>113419</v>
      </c>
      <c r="AJ14" s="462">
        <v>250000</v>
      </c>
      <c r="AK14" s="3"/>
      <c r="AL14" s="3"/>
      <c r="AM14" s="3"/>
      <c r="AN14" s="3"/>
      <c r="AO14" s="3"/>
      <c r="AP14" s="3"/>
      <c r="AQ14" s="3"/>
      <c r="AR14" s="3"/>
    </row>
    <row r="15" spans="1:44" ht="19.5" customHeight="1" x14ac:dyDescent="0.3">
      <c r="A15" s="3" t="s">
        <v>545</v>
      </c>
      <c r="B15" s="33" t="s">
        <v>546</v>
      </c>
      <c r="C15" s="191" t="s">
        <v>535</v>
      </c>
      <c r="D15" s="3"/>
      <c r="E15" s="462">
        <f t="shared" si="0"/>
        <v>5542.75</v>
      </c>
      <c r="F15" s="462">
        <f ca="1">IFERROR(1/F$3,1)*SUMIFS(Data!$S$3:$S$137,Data!$O$3:$O$137,F$1,Data!$P$3:$P$137,IF(RIGHT(F$2,3)="YTD","&lt;="&amp;LEFT(F$2,2)*1,F$2),Data!$K$3:$K$137,$B15)</f>
        <v>0</v>
      </c>
      <c r="G15" s="462">
        <f t="shared" si="1"/>
        <v>3750</v>
      </c>
      <c r="H15" s="3"/>
      <c r="I15" s="462">
        <f>'Reporting 2021'!I21</f>
        <v>0</v>
      </c>
      <c r="J15" s="462">
        <f>'Reporting 2021'!J21</f>
        <v>0</v>
      </c>
      <c r="K15" s="462">
        <f>'Reporting 2021'!K21</f>
        <v>0</v>
      </c>
      <c r="L15" s="462">
        <f>'Reporting 2021'!L21</f>
        <v>0</v>
      </c>
      <c r="M15" s="462">
        <f>IFERROR(1/M$3,1)*SUMIFS(Data!$S$3:$S$137,Data!$O$3:$O$137,M$1,Data!$P$3:$P$137,IF(RIGHT(M$2,3)="YTD","&lt;="&amp;LEFT(M$2,2)*1,M$2),Data!$K$3:$K$137,$B15)</f>
        <v>0</v>
      </c>
      <c r="N15" s="462">
        <f>SUMIFS(Data!$S$3:$S$137,Data!$O$3:$O$137,N$1,Data!$P$3:$P$137,N$2,Data!$K$3:$K$137,$B15)</f>
        <v>0</v>
      </c>
      <c r="O15" s="462">
        <f>SUMIFS(Data!$S$3:$S$137,Data!$O$3:$O$137,O$1,Data!$P$3:$P$137,O$2,Data!$K$3:$K$137,$B15)</f>
        <v>0</v>
      </c>
      <c r="P15" s="462">
        <f>SUMIFS(Data!$S$3:$S$137,Data!$O$3:$O$137,P$1,Data!$P$3:$P$137,P$2,Data!$K$3:$K$137,$B15)</f>
        <v>0</v>
      </c>
      <c r="Q15" s="462">
        <f>SUMIFS(Data!$S$3:$S$137,Data!$O$3:$O$137,Q$1,Data!$P$3:$P$137,Q$2,Data!$K$3:$K$137,$B15)</f>
        <v>0</v>
      </c>
      <c r="R15" s="462">
        <f>SUMIFS(Data!$S$3:$S$137,Data!$O$3:$O$137,R$1,Data!$P$3:$P$137,R$2,Data!$K$3:$K$137,$B15)</f>
        <v>0</v>
      </c>
      <c r="S15" s="462">
        <f>SUMIFS(Data!$S$3:$S$137,Data!$O$3:$O$137,S$1,Data!$P$3:$P$137,S$2,Data!$K$3:$K$137,$B15)</f>
        <v>0</v>
      </c>
      <c r="T15" s="462">
        <f>SUMIFS(Data!$S$3:$S$137,Data!$O$3:$O$137,T$1,Data!$P$3:$P$137,T$2,Data!$K$3:$K$137,$B15)</f>
        <v>0</v>
      </c>
      <c r="U15" s="3"/>
      <c r="V15" s="462">
        <f>'Reporting 2021'!M21</f>
        <v>0</v>
      </c>
      <c r="W15" s="462">
        <f>'Reporting 2021'!N21</f>
        <v>0</v>
      </c>
      <c r="X15" s="462">
        <v>0</v>
      </c>
      <c r="Y15" s="462">
        <v>0</v>
      </c>
      <c r="Z15" s="462">
        <v>0</v>
      </c>
      <c r="AA15" s="462">
        <v>3750</v>
      </c>
      <c r="AB15" s="462">
        <f t="shared" si="2"/>
        <v>3750</v>
      </c>
      <c r="AC15" s="462">
        <f t="shared" si="2"/>
        <v>3750</v>
      </c>
      <c r="AD15" s="462"/>
      <c r="AE15" s="462">
        <f ca="1">IFERROR(1/AE$3,1)*SUMIFS(Data!$S$3:$S$137,Data!$O$3:$O$137,AE$1,Data!$P$3:$P$137,IF(RIGHT(AE$2,3)="YTD","&lt;="&amp;LEFT(AE$2,2)*1,AE$2),Data!$K$3:$K$137,$B15)</f>
        <v>0</v>
      </c>
      <c r="AF15" s="462">
        <f t="shared" ca="1" si="3"/>
        <v>11250</v>
      </c>
      <c r="AG15" s="463">
        <f t="shared" ca="1" si="4"/>
        <v>-11250</v>
      </c>
      <c r="AH15" s="3"/>
      <c r="AI15" s="462">
        <v>66513</v>
      </c>
      <c r="AJ15" s="462">
        <v>45000</v>
      </c>
      <c r="AK15" s="3"/>
      <c r="AL15" s="3"/>
      <c r="AM15" s="3"/>
      <c r="AN15" s="3"/>
      <c r="AO15" s="3"/>
      <c r="AP15" s="3"/>
      <c r="AQ15" s="3"/>
      <c r="AR15" s="3"/>
    </row>
    <row r="16" spans="1:44" ht="19.5" customHeight="1" x14ac:dyDescent="0.3">
      <c r="A16" s="3" t="s">
        <v>547</v>
      </c>
      <c r="B16" s="33" t="s">
        <v>548</v>
      </c>
      <c r="C16" s="191" t="s">
        <v>535</v>
      </c>
      <c r="D16" s="3"/>
      <c r="E16" s="462">
        <f t="shared" si="0"/>
        <v>304.16666666666669</v>
      </c>
      <c r="F16" s="462">
        <f ca="1">IFERROR(1/F$3,1)*SUMIFS(Data!$S$3:$S$137,Data!$O$3:$O$137,F$1,Data!$P$3:$P$137,IF(RIGHT(F$2,3)="YTD","&lt;="&amp;LEFT(F$2,2)*1,F$2),Data!$K$3:$K$137,$B16)</f>
        <v>0</v>
      </c>
      <c r="G16" s="462">
        <f t="shared" si="1"/>
        <v>20833.333333333332</v>
      </c>
      <c r="H16" s="3"/>
      <c r="I16" s="462">
        <f>'Reporting 2021'!I22</f>
        <v>0</v>
      </c>
      <c r="J16" s="462">
        <f>'Reporting 2021'!J22</f>
        <v>0</v>
      </c>
      <c r="K16" s="462">
        <f>'Reporting 2021'!K22</f>
        <v>0</v>
      </c>
      <c r="L16" s="462">
        <f>'Reporting 2021'!L22</f>
        <v>0</v>
      </c>
      <c r="M16" s="462">
        <f>IFERROR(1/M$3,1)*SUMIFS(Data!$S$3:$S$137,Data!$O$3:$O$137,M$1,Data!$P$3:$P$137,IF(RIGHT(M$2,3)="YTD","&lt;="&amp;LEFT(M$2,2)*1,M$2),Data!$K$3:$K$137,$B16)</f>
        <v>0</v>
      </c>
      <c r="N16" s="462">
        <f>SUMIFS(Data!$S$3:$S$137,Data!$O$3:$O$137,N$1,Data!$P$3:$P$137,N$2,Data!$K$3:$K$137,$B16)</f>
        <v>0</v>
      </c>
      <c r="O16" s="462">
        <f>SUMIFS(Data!$S$3:$S$137,Data!$O$3:$O$137,O$1,Data!$P$3:$P$137,O$2,Data!$K$3:$K$137,$B16)</f>
        <v>0</v>
      </c>
      <c r="P16" s="462">
        <f>SUMIFS(Data!$S$3:$S$137,Data!$O$3:$O$137,P$1,Data!$P$3:$P$137,P$2,Data!$K$3:$K$137,$B16)</f>
        <v>0</v>
      </c>
      <c r="Q16" s="462">
        <f>SUMIFS(Data!$S$3:$S$137,Data!$O$3:$O$137,Q$1,Data!$P$3:$P$137,Q$2,Data!$K$3:$K$137,$B16)</f>
        <v>0</v>
      </c>
      <c r="R16" s="462">
        <f>SUMIFS(Data!$S$3:$S$137,Data!$O$3:$O$137,R$1,Data!$P$3:$P$137,R$2,Data!$K$3:$K$137,$B16)</f>
        <v>0</v>
      </c>
      <c r="S16" s="462">
        <f>SUMIFS(Data!$S$3:$S$137,Data!$O$3:$O$137,S$1,Data!$P$3:$P$137,S$2,Data!$K$3:$K$137,$B16)</f>
        <v>0</v>
      </c>
      <c r="T16" s="462">
        <f>SUMIFS(Data!$S$3:$S$137,Data!$O$3:$O$137,T$1,Data!$P$3:$P$137,T$2,Data!$K$3:$K$137,$B16)</f>
        <v>0</v>
      </c>
      <c r="U16" s="3"/>
      <c r="V16" s="462">
        <f>'Reporting 2021'!M22</f>
        <v>0</v>
      </c>
      <c r="W16" s="462">
        <f>'Reporting 2021'!N22</f>
        <v>0</v>
      </c>
      <c r="X16" s="462">
        <v>13392</v>
      </c>
      <c r="Y16" s="462">
        <v>14551.5</v>
      </c>
      <c r="Z16" s="462">
        <v>13225</v>
      </c>
      <c r="AA16" s="462">
        <v>20833.333333333328</v>
      </c>
      <c r="AB16" s="462">
        <f t="shared" si="2"/>
        <v>20833.333333333332</v>
      </c>
      <c r="AC16" s="462">
        <f t="shared" si="2"/>
        <v>20833.333333333332</v>
      </c>
      <c r="AD16" s="462"/>
      <c r="AE16" s="462">
        <f ca="1">IFERROR(1/AE$3,1)*SUMIFS(Data!$S$3:$S$137,Data!$O$3:$O$137,AE$1,Data!$P$3:$P$137,IF(RIGHT(AE$2,3)="YTD","&lt;="&amp;LEFT(AE$2,2)*1,AE$2),Data!$K$3:$K$137,$B16)</f>
        <v>0</v>
      </c>
      <c r="AF16" s="462">
        <f t="shared" ca="1" si="3"/>
        <v>62500</v>
      </c>
      <c r="AG16" s="463">
        <f t="shared" ca="1" si="4"/>
        <v>-62500</v>
      </c>
      <c r="AH16" s="3"/>
      <c r="AI16" s="462">
        <v>3650</v>
      </c>
      <c r="AJ16" s="462">
        <v>250000</v>
      </c>
      <c r="AK16" s="3"/>
      <c r="AL16" s="3"/>
      <c r="AM16" s="3"/>
      <c r="AN16" s="3"/>
      <c r="AO16" s="3"/>
      <c r="AP16" s="3"/>
      <c r="AQ16" s="3"/>
      <c r="AR16" s="3"/>
    </row>
    <row r="17" spans="1:44" ht="19.5" customHeight="1" x14ac:dyDescent="0.3">
      <c r="A17" s="3" t="s">
        <v>549</v>
      </c>
      <c r="B17" s="33" t="s">
        <v>550</v>
      </c>
      <c r="C17" s="191" t="s">
        <v>535</v>
      </c>
      <c r="D17" s="3"/>
      <c r="E17" s="462">
        <f t="shared" si="0"/>
        <v>70966</v>
      </c>
      <c r="F17" s="462">
        <f ca="1">IFERROR(1/F$3,1)*SUMIFS(Data!$S$3:$S$137,Data!$O$3:$O$137,F$1,Data!$P$3:$P$137,IF(RIGHT(F$2,3)="YTD","&lt;="&amp;LEFT(F$2,2)*1,F$2),Data!$K$3:$K$137,$B17)</f>
        <v>0</v>
      </c>
      <c r="G17" s="462">
        <f t="shared" si="1"/>
        <v>0</v>
      </c>
      <c r="H17" s="3"/>
      <c r="I17" s="462">
        <f>'Reporting 2021'!I23</f>
        <v>0</v>
      </c>
      <c r="J17" s="462">
        <f>'Reporting 2021'!J23</f>
        <v>0</v>
      </c>
      <c r="K17" s="462">
        <f>'Reporting 2021'!K23</f>
        <v>0</v>
      </c>
      <c r="L17" s="462">
        <f>'Reporting 2021'!L23</f>
        <v>0</v>
      </c>
      <c r="M17" s="462">
        <f>IFERROR(1/M$3,1)*SUMIFS(Data!$S$3:$S$137,Data!$O$3:$O$137,M$1,Data!$P$3:$P$137,IF(RIGHT(M$2,3)="YTD","&lt;="&amp;LEFT(M$2,2)*1,M$2),Data!$K$3:$K$137,$B17)</f>
        <v>0</v>
      </c>
      <c r="N17" s="462">
        <f>SUMIFS(Data!$S$3:$S$137,Data!$O$3:$O$137,N$1,Data!$P$3:$P$137,N$2,Data!$K$3:$K$137,$B17)</f>
        <v>0</v>
      </c>
      <c r="O17" s="462">
        <f>SUMIFS(Data!$S$3:$S$137,Data!$O$3:$O$137,O$1,Data!$P$3:$P$137,O$2,Data!$K$3:$K$137,$B17)</f>
        <v>0</v>
      </c>
      <c r="P17" s="462">
        <f>SUMIFS(Data!$S$3:$S$137,Data!$O$3:$O$137,P$1,Data!$P$3:$P$137,P$2,Data!$K$3:$K$137,$B17)</f>
        <v>0</v>
      </c>
      <c r="Q17" s="462">
        <f>SUMIFS(Data!$S$3:$S$137,Data!$O$3:$O$137,Q$1,Data!$P$3:$P$137,Q$2,Data!$K$3:$K$137,$B17)</f>
        <v>0</v>
      </c>
      <c r="R17" s="462">
        <f>SUMIFS(Data!$S$3:$S$137,Data!$O$3:$O$137,R$1,Data!$P$3:$P$137,R$2,Data!$K$3:$K$137,$B17)</f>
        <v>0</v>
      </c>
      <c r="S17" s="462">
        <f>SUMIFS(Data!$S$3:$S$137,Data!$O$3:$O$137,S$1,Data!$P$3:$P$137,S$2,Data!$K$3:$K$137,$B17)</f>
        <v>0</v>
      </c>
      <c r="T17" s="462">
        <f>SUMIFS(Data!$S$3:$S$137,Data!$O$3:$O$137,T$1,Data!$P$3:$P$137,T$2,Data!$K$3:$K$137,$B17)</f>
        <v>0</v>
      </c>
      <c r="U17" s="3"/>
      <c r="V17" s="462">
        <f>'Reporting 2021'!M23</f>
        <v>0</v>
      </c>
      <c r="W17" s="462">
        <f>'Reporting 2021'!N23</f>
        <v>0</v>
      </c>
      <c r="X17" s="462">
        <v>4500</v>
      </c>
      <c r="Y17" s="462">
        <v>40.5</v>
      </c>
      <c r="Z17" s="462">
        <v>3000</v>
      </c>
      <c r="AA17" s="462">
        <v>0</v>
      </c>
      <c r="AB17" s="462">
        <f t="shared" si="2"/>
        <v>0</v>
      </c>
      <c r="AC17" s="462">
        <f t="shared" si="2"/>
        <v>0</v>
      </c>
      <c r="AD17" s="462"/>
      <c r="AE17" s="462">
        <f ca="1">IFERROR(1/AE$3,1)*SUMIFS(Data!$S$3:$S$137,Data!$O$3:$O$137,AE$1,Data!$P$3:$P$137,IF(RIGHT(AE$2,3)="YTD","&lt;="&amp;LEFT(AE$2,2)*1,AE$2),Data!$K$3:$K$137,$B17)</f>
        <v>0</v>
      </c>
      <c r="AF17" s="462">
        <f t="shared" ca="1" si="3"/>
        <v>0</v>
      </c>
      <c r="AG17" s="463">
        <f t="shared" ca="1" si="4"/>
        <v>0</v>
      </c>
      <c r="AH17" s="3"/>
      <c r="AI17" s="462">
        <v>851592</v>
      </c>
      <c r="AJ17" s="462">
        <v>0</v>
      </c>
      <c r="AK17" s="3"/>
      <c r="AL17" s="3"/>
      <c r="AM17" s="3"/>
      <c r="AN17" s="3"/>
      <c r="AO17" s="3"/>
      <c r="AP17" s="3"/>
      <c r="AQ17" s="3"/>
      <c r="AR17" s="3"/>
    </row>
    <row r="18" spans="1:44" ht="19.5" customHeight="1" x14ac:dyDescent="0.3">
      <c r="A18" s="3"/>
      <c r="B18" s="33" t="s">
        <v>551</v>
      </c>
      <c r="C18" s="191" t="s">
        <v>535</v>
      </c>
      <c r="D18" s="3"/>
      <c r="E18" s="462">
        <f t="shared" si="0"/>
        <v>228467.83333333334</v>
      </c>
      <c r="F18" s="462">
        <f ca="1">IFERROR(1/F$3,1)*SUMIFS(Data!$S$3:$S$137,Data!$O$3:$O$137,F$1,Data!$P$3:$P$137,IF(RIGHT(F$2,3)="YTD","&lt;="&amp;LEFT(F$2,2)*1,F$2),Data!$K$3:$K$137,$B18)</f>
        <v>0</v>
      </c>
      <c r="G18" s="462">
        <f t="shared" si="1"/>
        <v>0</v>
      </c>
      <c r="H18" s="3"/>
      <c r="I18" s="462">
        <f>'Reporting 2021'!I24</f>
        <v>0</v>
      </c>
      <c r="J18" s="462">
        <f>'Reporting 2021'!J24</f>
        <v>0</v>
      </c>
      <c r="K18" s="462">
        <f>'Reporting 2021'!K24</f>
        <v>0</v>
      </c>
      <c r="L18" s="462">
        <f>'Reporting 2021'!L24</f>
        <v>0</v>
      </c>
      <c r="M18" s="462">
        <f>IFERROR(1/M$3,1)*SUMIFS(Data!$S$3:$S$137,Data!$O$3:$O$137,M$1,Data!$P$3:$P$137,IF(RIGHT(M$2,3)="YTD","&lt;="&amp;LEFT(M$2,2)*1,M$2),Data!$K$3:$K$137,$B18)</f>
        <v>0</v>
      </c>
      <c r="N18" s="462">
        <f>SUMIFS(Data!$S$3:$S$137,Data!$O$3:$O$137,N$1,Data!$P$3:$P$137,N$2,Data!$K$3:$K$137,$B18)</f>
        <v>0</v>
      </c>
      <c r="O18" s="462">
        <f>SUMIFS(Data!$S$3:$S$137,Data!$O$3:$O$137,O$1,Data!$P$3:$P$137,O$2,Data!$K$3:$K$137,$B18)</f>
        <v>0</v>
      </c>
      <c r="P18" s="462">
        <f>SUMIFS(Data!$S$3:$S$137,Data!$O$3:$O$137,P$1,Data!$P$3:$P$137,P$2,Data!$K$3:$K$137,$B18)</f>
        <v>0</v>
      </c>
      <c r="Q18" s="462">
        <f>SUMIFS(Data!$S$3:$S$137,Data!$O$3:$O$137,Q$1,Data!$P$3:$P$137,Q$2,Data!$K$3:$K$137,$B18)</f>
        <v>0</v>
      </c>
      <c r="R18" s="462">
        <f>SUMIFS(Data!$S$3:$S$137,Data!$O$3:$O$137,R$1,Data!$P$3:$P$137,R$2,Data!$K$3:$K$137,$B18)</f>
        <v>0</v>
      </c>
      <c r="S18" s="462">
        <f>SUMIFS(Data!$S$3:$S$137,Data!$O$3:$O$137,S$1,Data!$P$3:$P$137,S$2,Data!$K$3:$K$137,$B18)</f>
        <v>0</v>
      </c>
      <c r="T18" s="462">
        <f>SUMIFS(Data!$S$3:$S$137,Data!$O$3:$O$137,T$1,Data!$P$3:$P$137,T$2,Data!$K$3:$K$137,$B18)</f>
        <v>0</v>
      </c>
      <c r="U18" s="3"/>
      <c r="V18" s="462">
        <f>'Reporting 2021'!M24</f>
        <v>0</v>
      </c>
      <c r="W18" s="462">
        <f>'Reporting 2021'!N24</f>
        <v>0</v>
      </c>
      <c r="X18" s="462">
        <v>0</v>
      </c>
      <c r="Y18" s="462">
        <v>0</v>
      </c>
      <c r="Z18" s="462">
        <v>0</v>
      </c>
      <c r="AA18" s="462">
        <v>0</v>
      </c>
      <c r="AB18" s="462">
        <f t="shared" si="2"/>
        <v>0</v>
      </c>
      <c r="AC18" s="462">
        <f t="shared" si="2"/>
        <v>0</v>
      </c>
      <c r="AD18" s="462"/>
      <c r="AE18" s="462">
        <f ca="1">IFERROR(1/AE$3,1)*SUMIFS(Data!$S$3:$S$137,Data!$O$3:$O$137,AE$1,Data!$P$3:$P$137,IF(RIGHT(AE$2,3)="YTD","&lt;="&amp;LEFT(AE$2,2)*1,AE$2),Data!$K$3:$K$137,$B18)</f>
        <v>0</v>
      </c>
      <c r="AF18" s="462">
        <f t="shared" ca="1" si="3"/>
        <v>0</v>
      </c>
      <c r="AG18" s="463">
        <f t="shared" ca="1" si="4"/>
        <v>0</v>
      </c>
      <c r="AH18" s="3"/>
      <c r="AI18" s="462">
        <v>2741614</v>
      </c>
      <c r="AJ18" s="462">
        <v>0</v>
      </c>
      <c r="AK18" s="3"/>
      <c r="AL18" s="3"/>
      <c r="AM18" s="3"/>
      <c r="AN18" s="3"/>
      <c r="AO18" s="3"/>
      <c r="AP18" s="3"/>
      <c r="AQ18" s="3"/>
      <c r="AR18" s="3"/>
    </row>
    <row r="19" spans="1:44" ht="19.5" customHeight="1" x14ac:dyDescent="0.3">
      <c r="A19" s="3"/>
      <c r="B19" s="41" t="s">
        <v>552</v>
      </c>
      <c r="C19" s="464"/>
      <c r="D19" s="3"/>
      <c r="E19" s="465"/>
      <c r="F19" s="465"/>
      <c r="G19" s="465"/>
      <c r="H19" s="3"/>
      <c r="I19" s="465">
        <f t="shared" ref="I19:W19" si="5">SUM(I9:I18)</f>
        <v>0</v>
      </c>
      <c r="J19" s="465">
        <f t="shared" si="5"/>
        <v>0</v>
      </c>
      <c r="K19" s="465">
        <f t="shared" si="5"/>
        <v>0</v>
      </c>
      <c r="L19" s="465">
        <f t="shared" si="5"/>
        <v>0</v>
      </c>
      <c r="M19" s="465">
        <f t="shared" si="5"/>
        <v>0</v>
      </c>
      <c r="N19" s="465">
        <f t="shared" si="5"/>
        <v>0</v>
      </c>
      <c r="O19" s="465">
        <f t="shared" si="5"/>
        <v>0</v>
      </c>
      <c r="P19" s="465">
        <f t="shared" si="5"/>
        <v>0</v>
      </c>
      <c r="Q19" s="465">
        <f t="shared" si="5"/>
        <v>0</v>
      </c>
      <c r="R19" s="465">
        <f t="shared" si="5"/>
        <v>0</v>
      </c>
      <c r="S19" s="465">
        <f t="shared" si="5"/>
        <v>0</v>
      </c>
      <c r="T19" s="465">
        <f t="shared" si="5"/>
        <v>0</v>
      </c>
      <c r="U19" s="465">
        <f t="shared" si="5"/>
        <v>0</v>
      </c>
      <c r="V19" s="465">
        <f t="shared" si="5"/>
        <v>0</v>
      </c>
      <c r="W19" s="465">
        <f t="shared" si="5"/>
        <v>0</v>
      </c>
      <c r="X19" s="465">
        <v>17892</v>
      </c>
      <c r="Y19" s="465">
        <v>14592</v>
      </c>
      <c r="Z19" s="465">
        <v>16225</v>
      </c>
      <c r="AA19" s="465"/>
      <c r="AB19" s="465"/>
      <c r="AC19" s="465"/>
      <c r="AD19" s="465"/>
      <c r="AE19" s="465">
        <f ca="1">SUM(AE9:AE18)</f>
        <v>0</v>
      </c>
      <c r="AF19" s="465">
        <f ca="1">SUM(AF9:AF18)</f>
        <v>228750</v>
      </c>
      <c r="AG19" s="465">
        <f ca="1">SUM(AG9:AG18)</f>
        <v>-228750</v>
      </c>
      <c r="AH19" s="3"/>
      <c r="AI19" s="465">
        <f>SUM(AI9:AI18)</f>
        <v>4444798</v>
      </c>
      <c r="AJ19" s="465">
        <f>SUM(AJ9:AJ18)</f>
        <v>915000</v>
      </c>
      <c r="AK19" s="3"/>
      <c r="AL19" s="3"/>
      <c r="AM19" s="3"/>
      <c r="AN19" s="3"/>
      <c r="AO19" s="3"/>
      <c r="AP19" s="3"/>
      <c r="AQ19" s="3"/>
      <c r="AR19" s="3"/>
    </row>
    <row r="20" spans="1:44" ht="19.5" customHeight="1" x14ac:dyDescent="0.3">
      <c r="A20" s="3"/>
      <c r="B20" s="466" t="s">
        <v>553</v>
      </c>
      <c r="C20" s="466" t="s">
        <v>535</v>
      </c>
      <c r="D20" s="3"/>
      <c r="E20" s="467">
        <f ca="1">AI20/12*LEFT($F$2,2)</f>
        <v>685403.5</v>
      </c>
      <c r="F20" s="467">
        <f ca="1">SUM(I20:T20)/LEFT($F$2,2)</f>
        <v>602279.96991060709</v>
      </c>
      <c r="G20" s="467">
        <f>AI20/12</f>
        <v>228467.83333333334</v>
      </c>
      <c r="H20" s="3"/>
      <c r="I20" s="467">
        <f>'Reporting 2021'!I26</f>
        <v>340509.95</v>
      </c>
      <c r="J20" s="467">
        <f>'Reporting 2021'!J26</f>
        <v>85704.559731821166</v>
      </c>
      <c r="K20" s="467">
        <f>'Reporting 2021'!K26</f>
        <v>533231</v>
      </c>
      <c r="L20" s="467">
        <f>'Reporting 2021'!L26</f>
        <v>847394.4</v>
      </c>
      <c r="M20" s="467">
        <f>Reporting!G65</f>
        <v>0</v>
      </c>
      <c r="N20" s="467">
        <f>Reporting!H65</f>
        <v>0</v>
      </c>
      <c r="O20" s="467">
        <f>Reporting!I65</f>
        <v>0</v>
      </c>
      <c r="P20" s="467">
        <f>Reporting!J65</f>
        <v>0</v>
      </c>
      <c r="Q20" s="467">
        <f>Reporting!K65</f>
        <v>0</v>
      </c>
      <c r="R20" s="467">
        <f>Reporting!L65</f>
        <v>0</v>
      </c>
      <c r="S20" s="467">
        <f>Reporting!M65</f>
        <v>0</v>
      </c>
      <c r="T20" s="467">
        <f>Reporting!N65</f>
        <v>0</v>
      </c>
      <c r="U20" s="3"/>
      <c r="V20" s="467">
        <f>'Reporting 2021'!M26</f>
        <v>0</v>
      </c>
      <c r="W20" s="467">
        <f>'Reporting 2021'!N26</f>
        <v>0</v>
      </c>
      <c r="X20" s="467">
        <v>746612.57090101403</v>
      </c>
      <c r="Y20" s="467">
        <v>357019.99686446408</v>
      </c>
      <c r="Z20" s="467">
        <v>134362.12</v>
      </c>
      <c r="AA20" s="467">
        <v>228467.83333333331</v>
      </c>
      <c r="AB20" s="467">
        <f>W20</f>
        <v>0</v>
      </c>
      <c r="AC20" s="467">
        <f>W20</f>
        <v>0</v>
      </c>
      <c r="AD20" s="467"/>
      <c r="AE20" s="467">
        <f>SUM(I20:T20)</f>
        <v>1806839.9097318212</v>
      </c>
      <c r="AF20" s="467">
        <f ca="1">AJ20/12*$C$5</f>
        <v>2210000</v>
      </c>
      <c r="AG20" s="468">
        <f ca="1">AE20-AF20</f>
        <v>-403160.09026817884</v>
      </c>
      <c r="AH20" s="3"/>
      <c r="AI20" s="467">
        <v>2741614</v>
      </c>
      <c r="AJ20" s="467">
        <v>6630000</v>
      </c>
      <c r="AK20" s="3"/>
      <c r="AL20" s="3"/>
      <c r="AM20" s="3"/>
      <c r="AN20" s="3"/>
      <c r="AO20" s="3"/>
      <c r="AP20" s="3"/>
      <c r="AQ20" s="3"/>
      <c r="AR20" s="3"/>
    </row>
    <row r="21" spans="1:44" ht="19.5" customHeight="1" x14ac:dyDescent="0.3">
      <c r="A21" s="3"/>
      <c r="B21" s="41" t="s">
        <v>554</v>
      </c>
      <c r="C21" s="41" t="s">
        <v>535</v>
      </c>
      <c r="D21" s="3"/>
      <c r="E21" s="465"/>
      <c r="F21" s="465"/>
      <c r="G21" s="465"/>
      <c r="H21" s="3"/>
      <c r="I21" s="465">
        <f t="shared" ref="I21:AA21" si="6">I19+I20</f>
        <v>340509.95</v>
      </c>
      <c r="J21" s="465">
        <f t="shared" si="6"/>
        <v>85704.559731821166</v>
      </c>
      <c r="K21" s="465">
        <f t="shared" si="6"/>
        <v>533231</v>
      </c>
      <c r="L21" s="465">
        <f t="shared" si="6"/>
        <v>847394.4</v>
      </c>
      <c r="M21" s="465">
        <f t="shared" si="6"/>
        <v>0</v>
      </c>
      <c r="N21" s="465">
        <f t="shared" si="6"/>
        <v>0</v>
      </c>
      <c r="O21" s="465">
        <f t="shared" si="6"/>
        <v>0</v>
      </c>
      <c r="P21" s="465">
        <f t="shared" si="6"/>
        <v>0</v>
      </c>
      <c r="Q21" s="465">
        <f t="shared" si="6"/>
        <v>0</v>
      </c>
      <c r="R21" s="465">
        <f t="shared" si="6"/>
        <v>0</v>
      </c>
      <c r="S21" s="465">
        <f t="shared" si="6"/>
        <v>0</v>
      </c>
      <c r="T21" s="465">
        <f t="shared" si="6"/>
        <v>0</v>
      </c>
      <c r="U21" s="465">
        <f t="shared" si="6"/>
        <v>0</v>
      </c>
      <c r="V21" s="465">
        <f t="shared" si="6"/>
        <v>0</v>
      </c>
      <c r="W21" s="465">
        <f t="shared" si="6"/>
        <v>0</v>
      </c>
      <c r="X21" s="465">
        <f t="shared" si="6"/>
        <v>764504.57090101403</v>
      </c>
      <c r="Y21" s="465">
        <f t="shared" si="6"/>
        <v>371611.99686446408</v>
      </c>
      <c r="Z21" s="465">
        <f t="shared" si="6"/>
        <v>150587.12</v>
      </c>
      <c r="AA21" s="465">
        <f t="shared" si="6"/>
        <v>228467.83333333331</v>
      </c>
      <c r="AB21" s="469"/>
      <c r="AC21" s="469"/>
      <c r="AD21" s="469"/>
      <c r="AE21" s="465">
        <f>SUM(I21:K21)</f>
        <v>959445.50973182125</v>
      </c>
      <c r="AF21" s="465"/>
      <c r="AG21" s="469"/>
      <c r="AH21" s="3"/>
      <c r="AI21" s="465">
        <f>SUM(M21:O21)</f>
        <v>0</v>
      </c>
      <c r="AJ21" s="469"/>
      <c r="AK21" s="3"/>
      <c r="AL21" s="3"/>
      <c r="AM21" s="3"/>
      <c r="AN21" s="3"/>
      <c r="AO21" s="3"/>
      <c r="AP21" s="3"/>
      <c r="AQ21" s="3"/>
      <c r="AR21" s="3"/>
    </row>
    <row r="22" spans="1:44" ht="19.5" customHeight="1" x14ac:dyDescent="0.3">
      <c r="A22" s="3"/>
      <c r="B22" s="41" t="s">
        <v>555</v>
      </c>
      <c r="C22" s="41"/>
      <c r="D22" s="3"/>
      <c r="E22" s="465"/>
      <c r="F22" s="465"/>
      <c r="G22" s="465"/>
      <c r="H22" s="3"/>
      <c r="I22" s="465">
        <f>I21</f>
        <v>340509.95</v>
      </c>
      <c r="J22" s="465">
        <f>I22+J21</f>
        <v>426214.50973182119</v>
      </c>
      <c r="K22" s="465">
        <f>J22+K21</f>
        <v>959445.50973182125</v>
      </c>
      <c r="L22" s="465">
        <f>K22+L21</f>
        <v>1806839.9097318212</v>
      </c>
      <c r="M22" s="465"/>
      <c r="N22" s="465"/>
      <c r="O22" s="465"/>
      <c r="P22" s="465"/>
      <c r="Q22" s="465"/>
      <c r="R22" s="465"/>
      <c r="S22" s="465"/>
      <c r="T22" s="465"/>
      <c r="U22" s="3"/>
      <c r="V22" s="469">
        <f>L22+V21</f>
        <v>1806839.9097318212</v>
      </c>
      <c r="W22" s="469">
        <f>V22+W21</f>
        <v>1806839.9097318212</v>
      </c>
      <c r="X22" s="469">
        <f>W22+X21</f>
        <v>2571344.4806328351</v>
      </c>
      <c r="Y22" s="469">
        <f>X22+Y21</f>
        <v>2942956.4774972992</v>
      </c>
      <c r="Z22" s="469">
        <f>Y22+Z21</f>
        <v>3093543.5974972993</v>
      </c>
      <c r="AA22" s="469">
        <f>Z22+AA21</f>
        <v>3322011.4308306328</v>
      </c>
      <c r="AB22" s="469"/>
      <c r="AC22" s="469"/>
      <c r="AD22" s="469"/>
      <c r="AE22" s="465"/>
      <c r="AF22" s="465"/>
      <c r="AG22" s="469"/>
      <c r="AH22" s="3"/>
      <c r="AI22" s="465"/>
      <c r="AJ22" s="469"/>
      <c r="AK22" s="3"/>
      <c r="AL22" s="3"/>
      <c r="AM22" s="3"/>
      <c r="AN22" s="3"/>
      <c r="AO22" s="3"/>
      <c r="AP22" s="3"/>
      <c r="AQ22" s="3"/>
      <c r="AR22" s="3"/>
    </row>
    <row r="23" spans="1:44" ht="19.5" customHeight="1" x14ac:dyDescent="0.3">
      <c r="A23" s="3"/>
      <c r="B23" s="41" t="s">
        <v>556</v>
      </c>
      <c r="C23" s="41"/>
      <c r="D23" s="3"/>
      <c r="E23" s="465"/>
      <c r="F23" s="465"/>
      <c r="G23" s="465"/>
      <c r="H23" s="3"/>
      <c r="I23" s="465">
        <f>(AJ20+AJ19)/12</f>
        <v>628750</v>
      </c>
      <c r="J23" s="465">
        <f>I23*2</f>
        <v>1257500</v>
      </c>
      <c r="K23" s="465">
        <f>I23*3</f>
        <v>1886250</v>
      </c>
      <c r="L23" s="465">
        <f>I23*4</f>
        <v>2515000</v>
      </c>
      <c r="M23" s="465">
        <f t="shared" ref="M23:U23" si="7">(AN20+AN19)/12</f>
        <v>0</v>
      </c>
      <c r="N23" s="465">
        <f t="shared" si="7"/>
        <v>0</v>
      </c>
      <c r="O23" s="465">
        <f t="shared" si="7"/>
        <v>0</v>
      </c>
      <c r="P23" s="465">
        <f t="shared" si="7"/>
        <v>0</v>
      </c>
      <c r="Q23" s="465">
        <f t="shared" si="7"/>
        <v>0</v>
      </c>
      <c r="R23" s="465">
        <f t="shared" si="7"/>
        <v>0</v>
      </c>
      <c r="S23" s="465">
        <f t="shared" si="7"/>
        <v>0</v>
      </c>
      <c r="T23" s="465">
        <f t="shared" si="7"/>
        <v>0</v>
      </c>
      <c r="U23" s="465">
        <f t="shared" si="7"/>
        <v>0</v>
      </c>
      <c r="V23" s="465">
        <f>I23*5</f>
        <v>3143750</v>
      </c>
      <c r="W23" s="465">
        <f>I23*6</f>
        <v>3772500</v>
      </c>
      <c r="X23" s="465">
        <f>I23*7</f>
        <v>4401250</v>
      </c>
      <c r="Y23" s="465">
        <f>I23*8</f>
        <v>5030000</v>
      </c>
      <c r="Z23" s="465">
        <f>I23*9</f>
        <v>5658750</v>
      </c>
      <c r="AA23" s="465">
        <f>I23*10</f>
        <v>6287500</v>
      </c>
      <c r="AB23" s="465">
        <f>I23*11</f>
        <v>6916250</v>
      </c>
      <c r="AC23" s="465">
        <f>I23*12</f>
        <v>7545000</v>
      </c>
      <c r="AD23" s="465">
        <f t="shared" ref="AD23:AI23" si="8">(BF20+BF19)/12</f>
        <v>0</v>
      </c>
      <c r="AE23" s="465">
        <f t="shared" si="8"/>
        <v>0</v>
      </c>
      <c r="AF23" s="465">
        <f t="shared" si="8"/>
        <v>0</v>
      </c>
      <c r="AG23" s="465">
        <f t="shared" si="8"/>
        <v>0</v>
      </c>
      <c r="AH23" s="465">
        <f t="shared" si="8"/>
        <v>0</v>
      </c>
      <c r="AI23" s="465">
        <f t="shared" si="8"/>
        <v>0</v>
      </c>
      <c r="AJ23" s="469">
        <f>AJ20+AJ19</f>
        <v>7545000</v>
      </c>
      <c r="AK23" s="3"/>
      <c r="AL23" s="3"/>
      <c r="AM23" s="3"/>
      <c r="AN23" s="3"/>
      <c r="AO23" s="3"/>
      <c r="AP23" s="3"/>
      <c r="AQ23" s="3"/>
      <c r="AR23" s="3"/>
    </row>
    <row r="24" spans="1:44" ht="19.5" customHeight="1" x14ac:dyDescent="0.3">
      <c r="A24" s="3"/>
      <c r="B24" s="33"/>
      <c r="C24" s="3"/>
      <c r="D24" s="3"/>
      <c r="E24" s="470"/>
      <c r="F24" s="470"/>
      <c r="G24" s="471"/>
      <c r="H24" s="3"/>
      <c r="I24" s="471"/>
      <c r="J24" s="471"/>
      <c r="K24" s="471"/>
      <c r="L24" s="471"/>
      <c r="M24" s="471"/>
      <c r="N24" s="471"/>
      <c r="O24" s="471"/>
      <c r="P24" s="471"/>
      <c r="Q24" s="471"/>
      <c r="R24" s="471"/>
      <c r="S24" s="471"/>
      <c r="T24" s="471"/>
      <c r="U24" s="3"/>
      <c r="V24" s="435"/>
      <c r="W24" s="435"/>
      <c r="X24" s="435"/>
      <c r="Y24" s="435"/>
      <c r="Z24" s="435"/>
      <c r="AA24" s="435"/>
      <c r="AB24" s="435"/>
      <c r="AC24" s="435"/>
      <c r="AD24" s="462"/>
      <c r="AE24" s="435"/>
      <c r="AF24" s="435"/>
      <c r="AG24" s="472"/>
      <c r="AH24" s="3"/>
      <c r="AI24" s="435"/>
      <c r="AJ24" s="435"/>
      <c r="AK24" s="3"/>
      <c r="AL24" s="3"/>
      <c r="AM24" s="3"/>
      <c r="AN24" s="3"/>
      <c r="AO24" s="3"/>
      <c r="AP24" s="3"/>
      <c r="AQ24" s="3"/>
      <c r="AR24" s="3"/>
    </row>
    <row r="25" spans="1:44" ht="19.5" customHeight="1" x14ac:dyDescent="0.3">
      <c r="A25" s="3"/>
      <c r="B25" s="438"/>
      <c r="C25" s="464"/>
      <c r="D25" s="3"/>
      <c r="E25" s="441" t="s">
        <v>513</v>
      </c>
      <c r="F25" s="442" t="s">
        <v>514</v>
      </c>
      <c r="G25" s="443" t="s">
        <v>514</v>
      </c>
      <c r="H25" s="3"/>
      <c r="I25" s="446" t="s">
        <v>557</v>
      </c>
      <c r="J25" s="446" t="s">
        <v>558</v>
      </c>
      <c r="K25" s="446" t="s">
        <v>559</v>
      </c>
      <c r="L25" s="446" t="s">
        <v>560</v>
      </c>
      <c r="M25" s="444" t="s">
        <v>561</v>
      </c>
      <c r="N25" s="444" t="s">
        <v>515</v>
      </c>
      <c r="O25" s="444" t="s">
        <v>516</v>
      </c>
      <c r="P25" s="444" t="s">
        <v>517</v>
      </c>
      <c r="Q25" s="444" t="s">
        <v>518</v>
      </c>
      <c r="R25" s="444" t="s">
        <v>519</v>
      </c>
      <c r="S25" s="444" t="s">
        <v>520</v>
      </c>
      <c r="T25" s="444" t="s">
        <v>521</v>
      </c>
      <c r="U25" s="3"/>
      <c r="V25" s="446" t="s">
        <v>522</v>
      </c>
      <c r="W25" s="446" t="s">
        <v>523</v>
      </c>
      <c r="X25" s="446" t="s">
        <v>524</v>
      </c>
      <c r="Y25" s="446" t="s">
        <v>525</v>
      </c>
      <c r="Z25" s="446" t="s">
        <v>526</v>
      </c>
      <c r="AA25" s="447" t="s">
        <v>519</v>
      </c>
      <c r="AB25" s="448" t="s">
        <v>520</v>
      </c>
      <c r="AC25" s="448" t="s">
        <v>521</v>
      </c>
      <c r="AD25" s="465"/>
      <c r="AE25" s="444" t="str">
        <f ca="1">AE$2&amp;" "&amp;AE$1</f>
        <v>3 YTD 2021</v>
      </c>
      <c r="AF25" s="450" t="str">
        <f ca="1">AF$2&amp;" "&amp;AF$1</f>
        <v>3 YTD 2021</v>
      </c>
      <c r="AG25" s="451" t="str">
        <f ca="1">AG$2&amp;" "&amp;AG$1</f>
        <v>3 YTD 2021</v>
      </c>
      <c r="AH25" s="3"/>
      <c r="AI25" s="452" t="str">
        <f>AI$2&amp;" "&amp;AI$1</f>
        <v>12 YTD 2020</v>
      </c>
      <c r="AJ25" s="450" t="str">
        <f>AJ$2&amp;" "&amp;AJ$1</f>
        <v>12 YTD 2021</v>
      </c>
      <c r="AK25" s="3"/>
      <c r="AL25" s="3"/>
      <c r="AM25" s="3"/>
      <c r="AN25" s="3"/>
      <c r="AO25" s="3"/>
      <c r="AP25" s="3"/>
      <c r="AQ25" s="3"/>
      <c r="AR25" s="3"/>
    </row>
    <row r="26" spans="1:44" ht="19.5" customHeight="1" x14ac:dyDescent="0.3">
      <c r="A26" s="3"/>
      <c r="B26" s="33"/>
      <c r="C26" s="191"/>
      <c r="D26" s="3"/>
      <c r="E26" s="441" t="s">
        <v>40</v>
      </c>
      <c r="F26" s="442" t="s">
        <v>40</v>
      </c>
      <c r="G26" s="443" t="s">
        <v>441</v>
      </c>
      <c r="H26" s="3"/>
      <c r="I26" s="446" t="s">
        <v>40</v>
      </c>
      <c r="J26" s="446" t="s">
        <v>40</v>
      </c>
      <c r="K26" s="446" t="s">
        <v>40</v>
      </c>
      <c r="L26" s="446" t="s">
        <v>40</v>
      </c>
      <c r="M26" s="444" t="s">
        <v>40</v>
      </c>
      <c r="N26" s="444" t="s">
        <v>40</v>
      </c>
      <c r="O26" s="444" t="s">
        <v>40</v>
      </c>
      <c r="P26" s="444" t="s">
        <v>40</v>
      </c>
      <c r="Q26" s="444" t="s">
        <v>40</v>
      </c>
      <c r="R26" s="444" t="s">
        <v>40</v>
      </c>
      <c r="S26" s="444" t="s">
        <v>40</v>
      </c>
      <c r="T26" s="444" t="s">
        <v>40</v>
      </c>
      <c r="U26" s="3"/>
      <c r="V26" s="446" t="s">
        <v>40</v>
      </c>
      <c r="W26" s="446" t="s">
        <v>40</v>
      </c>
      <c r="X26" s="446" t="s">
        <v>40</v>
      </c>
      <c r="Y26" s="446" t="s">
        <v>40</v>
      </c>
      <c r="Z26" s="446" t="s">
        <v>40</v>
      </c>
      <c r="AA26" s="447" t="s">
        <v>528</v>
      </c>
      <c r="AB26" s="448" t="s">
        <v>528</v>
      </c>
      <c r="AC26" s="448" t="s">
        <v>528</v>
      </c>
      <c r="AD26" s="465"/>
      <c r="AE26" s="444" t="s">
        <v>529</v>
      </c>
      <c r="AF26" s="450" t="s">
        <v>530</v>
      </c>
      <c r="AG26" s="451" t="s">
        <v>531</v>
      </c>
      <c r="AH26" s="3"/>
      <c r="AI26" s="453" t="s">
        <v>529</v>
      </c>
      <c r="AJ26" s="454" t="s">
        <v>530</v>
      </c>
      <c r="AK26" s="3"/>
      <c r="AL26" s="3"/>
      <c r="AM26" s="3"/>
      <c r="AN26" s="3"/>
      <c r="AO26" s="3"/>
      <c r="AP26" s="3"/>
      <c r="AQ26" s="3"/>
      <c r="AR26" s="3"/>
    </row>
    <row r="27" spans="1:44" ht="19.5" customHeight="1" x14ac:dyDescent="0.3">
      <c r="A27" s="3"/>
      <c r="B27" s="455" t="s">
        <v>446</v>
      </c>
      <c r="C27" s="464"/>
      <c r="D27" s="3"/>
      <c r="E27" s="473"/>
      <c r="F27" s="473"/>
      <c r="G27" s="473"/>
      <c r="H27" s="3"/>
      <c r="I27" s="473"/>
      <c r="J27" s="473"/>
      <c r="K27" s="473"/>
      <c r="L27" s="473"/>
      <c r="M27" s="473"/>
      <c r="N27" s="473"/>
      <c r="O27" s="473"/>
      <c r="P27" s="473"/>
      <c r="Q27" s="473"/>
      <c r="R27" s="473"/>
      <c r="S27" s="473"/>
      <c r="T27" s="473"/>
      <c r="U27" s="3"/>
      <c r="V27" s="465"/>
      <c r="W27" s="465"/>
      <c r="X27" s="465"/>
      <c r="Y27" s="465"/>
      <c r="Z27" s="465"/>
      <c r="AA27" s="465"/>
      <c r="AB27" s="465"/>
      <c r="AC27" s="465"/>
      <c r="AD27" s="465"/>
      <c r="AE27" s="465"/>
      <c r="AF27" s="465"/>
      <c r="AG27" s="469"/>
      <c r="AH27" s="3"/>
      <c r="AI27" s="465"/>
      <c r="AJ27" s="465"/>
      <c r="AK27" s="3"/>
      <c r="AL27" s="3"/>
      <c r="AM27" s="3"/>
      <c r="AN27" s="3"/>
      <c r="AO27" s="3"/>
      <c r="AP27" s="3"/>
      <c r="AQ27" s="3"/>
      <c r="AR27" s="3"/>
    </row>
    <row r="28" spans="1:44" ht="19.5" customHeight="1" x14ac:dyDescent="0.3">
      <c r="A28" s="3" t="s">
        <v>533</v>
      </c>
      <c r="B28" s="474" t="s">
        <v>534</v>
      </c>
      <c r="C28" s="464" t="s">
        <v>535</v>
      </c>
      <c r="D28" s="3"/>
      <c r="E28" s="462">
        <f t="shared" ref="E28:E37" si="9">$AI28/E$3</f>
        <v>57441.666666666664</v>
      </c>
      <c r="F28" s="462">
        <f ca="1">IFERROR(1/F$3,1)*SUMIFS(Data!$AD$3:$AD$137,Data!$Y$3:$Y$137,F$1,Data!$Z$3:$Z$137,IF(RIGHT(F$2,3)="YTD","&lt;="&amp;LEFT(F$2,2)*1,F$2),Data!$K$3:$K$137,$B28)</f>
        <v>0</v>
      </c>
      <c r="G28" s="462">
        <f t="shared" ref="G28:G37" si="10">AJ28/12</f>
        <v>30833.333333333332</v>
      </c>
      <c r="H28" s="472"/>
      <c r="I28" s="462">
        <f>'Reporting 2021'!I39</f>
        <v>0</v>
      </c>
      <c r="J28" s="462">
        <f>'Reporting 2021'!J39</f>
        <v>0</v>
      </c>
      <c r="K28" s="462">
        <f>'Reporting 2021'!K39</f>
        <v>0</v>
      </c>
      <c r="L28" s="462">
        <f>'Reporting 2021'!L39</f>
        <v>0</v>
      </c>
      <c r="M28" s="462">
        <f>IFERROR(1/M$3,1)*SUMIFS(Data!$AD$3:$AD$149,Data!$Y$3:$Y$149,M$1,Data!$Z$3:$Z$149,IF(RIGHT(M$2,3)="YTD","&lt;="&amp;LEFT(M$2,2)*1,M$2),Data!$K$3:$K$149,$B28)</f>
        <v>0</v>
      </c>
      <c r="N28" s="462">
        <f>IFERROR(1/N$3,1)*SUMIFS(Data!$AD$3:$AD$149,Data!$Y$3:$Y$149,N$1,Data!$Z$3:$Z$149,IF(RIGHT(N$2,3)="YTD","&lt;="&amp;LEFT(N$2,2)*1,N$2),Data!$K$3:$K$149,$B28)</f>
        <v>0</v>
      </c>
      <c r="O28" s="462">
        <f>IFERROR(1/O$3,1)*SUMIFS(Data!$AD$3:$AD$149,Data!$Y$3:$Y$149,O$1,Data!$Z$3:$Z$149,IF(RIGHT(O$2,3)="YTD","&lt;="&amp;LEFT(O$2,2)*1,O$2),Data!$K$3:$K$149,$B28)</f>
        <v>0</v>
      </c>
      <c r="P28" s="462">
        <f>IFERROR(1/P$3,1)*SUMIFS(Data!$AD$3:$AD$149,Data!$Y$3:$Y$149,P$1,Data!$Z$3:$Z$149,IF(RIGHT(P$2,3)="YTD","&lt;="&amp;LEFT(P$2,2)*1,P$2),Data!$K$3:$K$149,$B28)</f>
        <v>0</v>
      </c>
      <c r="Q28" s="462">
        <f>IFERROR(1/Q$3,1)*SUMIFS(Data!$AD$3:$AD$149,Data!$Y$3:$Y$149,Q$1,Data!$Z$3:$Z$149,IF(RIGHT(Q$2,3)="YTD","&lt;="&amp;LEFT(Q$2,2)*1,Q$2),Data!$K$3:$K$149,$B28)</f>
        <v>0</v>
      </c>
      <c r="R28" s="462">
        <f>IFERROR(1/R$3,1)*SUMIFS(Data!$AD$3:$AD$149,Data!$Y$3:$Y$149,R$1,Data!$Z$3:$Z$149,IF(RIGHT(R$2,3)="YTD","&lt;="&amp;LEFT(R$2,2)*1,R$2),Data!$K$3:$K$149,$B28)</f>
        <v>0</v>
      </c>
      <c r="S28" s="462">
        <f>IFERROR(1/S$3,1)*SUMIFS(Data!$AD$3:$AD$149,Data!$Y$3:$Y$149,S$1,Data!$Z$3:$Z$149,IF(RIGHT(S$2,3)="YTD","&lt;="&amp;LEFT(S$2,2)*1,S$2),Data!$K$3:$K$149,$B28)</f>
        <v>0</v>
      </c>
      <c r="T28" s="462">
        <f>IFERROR(1/T$3,1)*SUMIFS(Data!$AD$3:$AD$149,Data!$Y$3:$Y$149,T$1,Data!$Z$3:$Z$149,IF(RIGHT(T$2,3)="YTD","&lt;="&amp;LEFT(T$2,2)*1,T$2),Data!$K$3:$K$149,$B28)</f>
        <v>0</v>
      </c>
      <c r="U28" s="3"/>
      <c r="V28" s="462">
        <f>'Reporting 2021'!M39</f>
        <v>0</v>
      </c>
      <c r="W28" s="462">
        <f>'Reporting 2021'!N39</f>
        <v>0</v>
      </c>
      <c r="X28" s="462">
        <f>IFERROR(1/X$3,1)*SUMIFS(Data!$AD$3:$AD$149,Data!$Y$3:$Y$149,X$1,Data!$Z$3:$Z$149,IF(RIGHT(X$2,3)="YTD","&lt;="&amp;LEFT(X$2,2)*1,X$2),Data!$K$3:$K$149,$B28)</f>
        <v>0</v>
      </c>
      <c r="Y28" s="462">
        <v>0</v>
      </c>
      <c r="Z28" s="462">
        <v>0</v>
      </c>
      <c r="AA28" s="462">
        <f t="shared" ref="AA28:AC37" si="11">$G28</f>
        <v>30833.333333333332</v>
      </c>
      <c r="AB28" s="462">
        <f t="shared" si="11"/>
        <v>30833.333333333332</v>
      </c>
      <c r="AC28" s="462">
        <f t="shared" si="11"/>
        <v>30833.333333333332</v>
      </c>
      <c r="AD28" s="462"/>
      <c r="AE28" s="462">
        <f ca="1">IFERROR(1/AE$3,1)*SUMIFS(Data!$AD$3:$AD$137,Data!$Y$3:$Y$137,AE$1,Data!$Z$3:$Z$137,IF(RIGHT(AE$2,3)="YTD","&lt;="&amp;LEFT(AE$2,2)*1,AE$2),Data!$K$3:$K$137,$B9)</f>
        <v>0</v>
      </c>
      <c r="AF28" s="462">
        <f t="shared" ref="AF28:AF37" ca="1" si="12">AJ28/12*$C$5</f>
        <v>123333.33333333333</v>
      </c>
      <c r="AG28" s="463">
        <f t="shared" ref="AG28:AG37" ca="1" si="13">AE28-AF28</f>
        <v>-123333.33333333333</v>
      </c>
      <c r="AH28" s="3"/>
      <c r="AI28" s="462">
        <v>689300</v>
      </c>
      <c r="AJ28" s="462">
        <v>370000</v>
      </c>
      <c r="AK28" s="3"/>
      <c r="AL28" s="3"/>
      <c r="AM28" s="3"/>
      <c r="AN28" s="3"/>
      <c r="AO28" s="3"/>
      <c r="AP28" s="3"/>
      <c r="AQ28" s="3"/>
      <c r="AR28" s="3"/>
    </row>
    <row r="29" spans="1:44" ht="19.5" customHeight="1" x14ac:dyDescent="0.3">
      <c r="A29" s="3" t="s">
        <v>536</v>
      </c>
      <c r="B29" s="474" t="s">
        <v>537</v>
      </c>
      <c r="C29" s="464" t="s">
        <v>535</v>
      </c>
      <c r="D29" s="3"/>
      <c r="E29" s="462">
        <f t="shared" si="9"/>
        <v>1674.6666666666667</v>
      </c>
      <c r="F29" s="462">
        <f ca="1">IFERROR(1/F$3,1)*SUMIFS(Data!$AD$3:$AD$137,Data!$Y$3:$Y$137,F$1,Data!$Z$3:$Z$137,IF(RIGHT(F$2,3)="YTD","&lt;="&amp;LEFT(F$2,2)*1,F$2),Data!$K$3:$K$137,$B29)</f>
        <v>0</v>
      </c>
      <c r="G29" s="462">
        <f t="shared" si="10"/>
        <v>0</v>
      </c>
      <c r="H29" s="472"/>
      <c r="I29" s="462">
        <f>'Reporting 2021'!I40</f>
        <v>0</v>
      </c>
      <c r="J29" s="462">
        <f>'Reporting 2021'!J40</f>
        <v>0</v>
      </c>
      <c r="K29" s="462">
        <f>'Reporting 2021'!K40</f>
        <v>0</v>
      </c>
      <c r="L29" s="462">
        <f>'Reporting 2021'!L40</f>
        <v>0</v>
      </c>
      <c r="M29" s="462">
        <f>IFERROR(1/M$3,1)*SUMIFS(Data!$AD$3:$AD$149,Data!$Y$3:$Y$149,M$1,Data!$Z$3:$Z$149,IF(RIGHT(M$2,3)="YTD","&lt;="&amp;LEFT(M$2,2)*1,M$2),Data!$K$3:$K$149,$B29)</f>
        <v>0</v>
      </c>
      <c r="N29" s="462">
        <f>IFERROR(1/N$3,1)*SUMIFS(Data!$AD$3:$AD$149,Data!$Y$3:$Y$149,N$1,Data!$Z$3:$Z$149,IF(RIGHT(N$2,3)="YTD","&lt;="&amp;LEFT(N$2,2)*1,N$2),Data!$K$3:$K$149,$B29)</f>
        <v>0</v>
      </c>
      <c r="O29" s="462">
        <f>IFERROR(1/O$3,1)*SUMIFS(Data!$AD$3:$AD$149,Data!$Y$3:$Y$149,O$1,Data!$Z$3:$Z$149,IF(RIGHT(O$2,3)="YTD","&lt;="&amp;LEFT(O$2,2)*1,O$2),Data!$K$3:$K$149,$B29)</f>
        <v>0</v>
      </c>
      <c r="P29" s="462">
        <f>IFERROR(1/P$3,1)*SUMIFS(Data!$AD$3:$AD$149,Data!$Y$3:$Y$149,P$1,Data!$Z$3:$Z$149,IF(RIGHT(P$2,3)="YTD","&lt;="&amp;LEFT(P$2,2)*1,P$2),Data!$K$3:$K$149,$B29)</f>
        <v>0</v>
      </c>
      <c r="Q29" s="462">
        <f>IFERROR(1/Q$3,1)*SUMIFS(Data!$AD$3:$AD$149,Data!$Y$3:$Y$149,Q$1,Data!$Z$3:$Z$149,IF(RIGHT(Q$2,3)="YTD","&lt;="&amp;LEFT(Q$2,2)*1,Q$2),Data!$K$3:$K$149,$B29)</f>
        <v>0</v>
      </c>
      <c r="R29" s="462">
        <f>IFERROR(1/R$3,1)*SUMIFS(Data!$AD$3:$AD$149,Data!$Y$3:$Y$149,R$1,Data!$Z$3:$Z$149,IF(RIGHT(R$2,3)="YTD","&lt;="&amp;LEFT(R$2,2)*1,R$2),Data!$K$3:$K$149,$B29)</f>
        <v>0</v>
      </c>
      <c r="S29" s="462">
        <f>IFERROR(1/S$3,1)*SUMIFS(Data!$AD$3:$AD$149,Data!$Y$3:$Y$149,S$1,Data!$Z$3:$Z$149,IF(RIGHT(S$2,3)="YTD","&lt;="&amp;LEFT(S$2,2)*1,S$2),Data!$K$3:$K$149,$B29)</f>
        <v>0</v>
      </c>
      <c r="T29" s="462">
        <f>IFERROR(1/T$3,1)*SUMIFS(Data!$AD$3:$AD$149,Data!$Y$3:$Y$149,T$1,Data!$Z$3:$Z$149,IF(RIGHT(T$2,3)="YTD","&lt;="&amp;LEFT(T$2,2)*1,T$2),Data!$K$3:$K$149,$B29)</f>
        <v>0</v>
      </c>
      <c r="U29" s="3"/>
      <c r="V29" s="462">
        <f>'Reporting 2021'!M40</f>
        <v>0</v>
      </c>
      <c r="W29" s="462">
        <f>'Reporting 2021'!N40</f>
        <v>0</v>
      </c>
      <c r="X29" s="462">
        <f>IFERROR(1/X$3,1)*SUMIFS(Data!$AD$3:$AD$149,Data!$Y$3:$Y$149,X$1,Data!$Z$3:$Z$149,IF(RIGHT(X$2,3)="YTD","&lt;="&amp;LEFT(X$2,2)*1,X$2),Data!$K$3:$K$149,$B29)</f>
        <v>0</v>
      </c>
      <c r="Y29" s="462">
        <v>0</v>
      </c>
      <c r="Z29" s="462">
        <v>0</v>
      </c>
      <c r="AA29" s="462">
        <f t="shared" si="11"/>
        <v>0</v>
      </c>
      <c r="AB29" s="462">
        <f t="shared" si="11"/>
        <v>0</v>
      </c>
      <c r="AC29" s="462">
        <f t="shared" si="11"/>
        <v>0</v>
      </c>
      <c r="AD29" s="462"/>
      <c r="AE29" s="462">
        <f ca="1">IFERROR(1/AE$3,1)*SUMIFS(Data!$AD$3:$AD$149,Data!$Y$3:$Y$149,AE$1,Data!$Z$3:$Z$149,IF(RIGHT(AE$2,3)="YTD","&lt;="&amp;LEFT(AE$2,2)*1,AE$2),Data!$K$3:$K$149,$B10)</f>
        <v>0</v>
      </c>
      <c r="AF29" s="462">
        <f t="shared" ca="1" si="12"/>
        <v>0</v>
      </c>
      <c r="AG29" s="463">
        <f t="shared" ca="1" si="13"/>
        <v>0</v>
      </c>
      <c r="AH29" s="3"/>
      <c r="AI29" s="462">
        <v>20096</v>
      </c>
      <c r="AJ29" s="462">
        <v>0</v>
      </c>
      <c r="AK29" s="3"/>
      <c r="AL29" s="3"/>
      <c r="AM29" s="3"/>
      <c r="AN29" s="3"/>
      <c r="AO29" s="3"/>
      <c r="AP29" s="3"/>
      <c r="AQ29" s="3"/>
      <c r="AR29" s="3"/>
    </row>
    <row r="30" spans="1:44" ht="19.5" customHeight="1" x14ac:dyDescent="0.3">
      <c r="A30" s="3"/>
      <c r="B30" s="474" t="s">
        <v>538</v>
      </c>
      <c r="C30" s="464" t="s">
        <v>535</v>
      </c>
      <c r="D30" s="3"/>
      <c r="E30" s="462">
        <f t="shared" si="9"/>
        <v>422.91666666666669</v>
      </c>
      <c r="F30" s="462">
        <f ca="1">IFERROR(1/F$3,1)*SUMIFS(Data!$AD$3:$AD$137,Data!$Y$3:$Y$137,F$1,Data!$Z$3:$Z$137,IF(RIGHT(F$2,3)="YTD","&lt;="&amp;LEFT(F$2,2)*1,F$2),Data!$K$3:$K$137,$B30)</f>
        <v>0</v>
      </c>
      <c r="G30" s="462">
        <f t="shared" si="10"/>
        <v>0</v>
      </c>
      <c r="H30" s="472"/>
      <c r="I30" s="462">
        <f>'Reporting 2021'!I41</f>
        <v>0</v>
      </c>
      <c r="J30" s="462">
        <f>'Reporting 2021'!J41</f>
        <v>0</v>
      </c>
      <c r="K30" s="462">
        <f>'Reporting 2021'!K41</f>
        <v>0</v>
      </c>
      <c r="L30" s="462">
        <f>'Reporting 2021'!L41</f>
        <v>0</v>
      </c>
      <c r="M30" s="462">
        <f>IFERROR(1/M$3,1)*SUMIFS(Data!$AD$3:$AD$149,Data!$Y$3:$Y$149,M$1,Data!$Z$3:$Z$149,IF(RIGHT(M$2,3)="YTD","&lt;="&amp;LEFT(M$2,2)*1,M$2),Data!$K$3:$K$149,$B30)</f>
        <v>0</v>
      </c>
      <c r="N30" s="462">
        <f>IFERROR(1/N$3,1)*SUMIFS(Data!$AD$3:$AD$149,Data!$Y$3:$Y$149,N$1,Data!$Z$3:$Z$149,IF(RIGHT(N$2,3)="YTD","&lt;="&amp;LEFT(N$2,2)*1,N$2),Data!$K$3:$K$149,$B30)</f>
        <v>0</v>
      </c>
      <c r="O30" s="462">
        <f>IFERROR(1/O$3,1)*SUMIFS(Data!$AD$3:$AD$149,Data!$Y$3:$Y$149,O$1,Data!$Z$3:$Z$149,IF(RIGHT(O$2,3)="YTD","&lt;="&amp;LEFT(O$2,2)*1,O$2),Data!$K$3:$K$149,$B30)</f>
        <v>0</v>
      </c>
      <c r="P30" s="462">
        <f>IFERROR(1/P$3,1)*SUMIFS(Data!$AD$3:$AD$149,Data!$Y$3:$Y$149,P$1,Data!$Z$3:$Z$149,IF(RIGHT(P$2,3)="YTD","&lt;="&amp;LEFT(P$2,2)*1,P$2),Data!$K$3:$K$149,$B30)</f>
        <v>0</v>
      </c>
      <c r="Q30" s="462">
        <f>IFERROR(1/Q$3,1)*SUMIFS(Data!$AD$3:$AD$149,Data!$Y$3:$Y$149,Q$1,Data!$Z$3:$Z$149,IF(RIGHT(Q$2,3)="YTD","&lt;="&amp;LEFT(Q$2,2)*1,Q$2),Data!$K$3:$K$149,$B30)</f>
        <v>0</v>
      </c>
      <c r="R30" s="462">
        <f>IFERROR(1/R$3,1)*SUMIFS(Data!$AD$3:$AD$149,Data!$Y$3:$Y$149,R$1,Data!$Z$3:$Z$149,IF(RIGHT(R$2,3)="YTD","&lt;="&amp;LEFT(R$2,2)*1,R$2),Data!$K$3:$K$149,$B30)</f>
        <v>0</v>
      </c>
      <c r="S30" s="462">
        <f>IFERROR(1/S$3,1)*SUMIFS(Data!$AD$3:$AD$149,Data!$Y$3:$Y$149,S$1,Data!$Z$3:$Z$149,IF(RIGHT(S$2,3)="YTD","&lt;="&amp;LEFT(S$2,2)*1,S$2),Data!$K$3:$K$149,$B30)</f>
        <v>0</v>
      </c>
      <c r="T30" s="462">
        <f>IFERROR(1/T$3,1)*SUMIFS(Data!$AD$3:$AD$149,Data!$Y$3:$Y$149,T$1,Data!$Z$3:$Z$149,IF(RIGHT(T$2,3)="YTD","&lt;="&amp;LEFT(T$2,2)*1,T$2),Data!$K$3:$K$149,$B30)</f>
        <v>0</v>
      </c>
      <c r="U30" s="3"/>
      <c r="V30" s="462">
        <f>'Reporting 2021'!M41</f>
        <v>0</v>
      </c>
      <c r="W30" s="462">
        <f>'Reporting 2021'!N41</f>
        <v>0</v>
      </c>
      <c r="X30" s="462">
        <f>IFERROR(1/X$3,1)*SUMIFS(Data!$AD$3:$AD$149,Data!$Y$3:$Y$149,X$1,Data!$Z$3:$Z$149,IF(RIGHT(X$2,3)="YTD","&lt;="&amp;LEFT(X$2,2)*1,X$2),Data!$K$3:$K$149,$B30)</f>
        <v>0</v>
      </c>
      <c r="Y30" s="462">
        <v>0</v>
      </c>
      <c r="Z30" s="462">
        <v>0</v>
      </c>
      <c r="AA30" s="462">
        <f t="shared" si="11"/>
        <v>0</v>
      </c>
      <c r="AB30" s="462">
        <f t="shared" si="11"/>
        <v>0</v>
      </c>
      <c r="AC30" s="462">
        <f t="shared" si="11"/>
        <v>0</v>
      </c>
      <c r="AD30" s="462"/>
      <c r="AE30" s="462">
        <f ca="1">IFERROR(1/AE$3,1)*SUMIFS(Data!$AD$3:$AD$137,Data!$Y$3:$Y$137,AE$1,Data!$Z$3:$Z$137,IF(RIGHT(AE$2,3)="YTD","&lt;="&amp;LEFT(AE$2,2)*1,AE$2),Data!$K$3:$K$137,$B11)</f>
        <v>0</v>
      </c>
      <c r="AF30" s="462">
        <f t="shared" ca="1" si="12"/>
        <v>0</v>
      </c>
      <c r="AG30" s="463">
        <f t="shared" ca="1" si="13"/>
        <v>0</v>
      </c>
      <c r="AH30" s="3"/>
      <c r="AI30" s="462">
        <v>5075</v>
      </c>
      <c r="AJ30" s="462">
        <v>0</v>
      </c>
      <c r="AK30" s="3"/>
      <c r="AL30" s="3"/>
      <c r="AM30" s="3"/>
      <c r="AN30" s="3"/>
      <c r="AO30" s="3"/>
      <c r="AP30" s="3"/>
      <c r="AQ30" s="3"/>
      <c r="AR30" s="3"/>
    </row>
    <row r="31" spans="1:44" ht="19.5" customHeight="1" x14ac:dyDescent="0.3">
      <c r="A31" s="3" t="s">
        <v>539</v>
      </c>
      <c r="B31" s="474" t="s">
        <v>540</v>
      </c>
      <c r="C31" s="464" t="s">
        <v>535</v>
      </c>
      <c r="D31" s="3"/>
      <c r="E31" s="462">
        <f t="shared" si="9"/>
        <v>3145.2083333333335</v>
      </c>
      <c r="F31" s="462">
        <f ca="1">IFERROR(1/F$3,1)*SUMIFS(Data!$AD$3:$AD$137,Data!$Y$3:$Y$137,F$1,Data!$Z$3:$Z$137,IF(RIGHT(F$2,3)="YTD","&lt;="&amp;LEFT(F$2,2)*1,F$2),Data!$K$3:$K$137,$B31)</f>
        <v>0</v>
      </c>
      <c r="G31" s="462">
        <f t="shared" si="10"/>
        <v>0</v>
      </c>
      <c r="H31" s="472"/>
      <c r="I31" s="462">
        <f>'Reporting 2021'!I42</f>
        <v>0</v>
      </c>
      <c r="J31" s="462">
        <f>'Reporting 2021'!J42</f>
        <v>0</v>
      </c>
      <c r="K31" s="462">
        <f>'Reporting 2021'!K42</f>
        <v>0</v>
      </c>
      <c r="L31" s="462">
        <f>'Reporting 2021'!L42</f>
        <v>0</v>
      </c>
      <c r="M31" s="462">
        <f>IFERROR(1/M$3,1)*SUMIFS(Data!$AD$3:$AD$149,Data!$Y$3:$Y$149,M$1,Data!$Z$3:$Z$149,IF(RIGHT(M$2,3)="YTD","&lt;="&amp;LEFT(M$2,2)*1,M$2),Data!$K$3:$K$149,$B31)</f>
        <v>0</v>
      </c>
      <c r="N31" s="462">
        <f>IFERROR(1/N$3,1)*SUMIFS(Data!$AD$3:$AD$149,Data!$Y$3:$Y$149,N$1,Data!$Z$3:$Z$149,IF(RIGHT(N$2,3)="YTD","&lt;="&amp;LEFT(N$2,2)*1,N$2),Data!$K$3:$K$149,$B31)</f>
        <v>0</v>
      </c>
      <c r="O31" s="462">
        <f>IFERROR(1/O$3,1)*SUMIFS(Data!$AD$3:$AD$149,Data!$Y$3:$Y$149,O$1,Data!$Z$3:$Z$149,IF(RIGHT(O$2,3)="YTD","&lt;="&amp;LEFT(O$2,2)*1,O$2),Data!$K$3:$K$149,$B31)</f>
        <v>0</v>
      </c>
      <c r="P31" s="462">
        <f>IFERROR(1/P$3,1)*SUMIFS(Data!$AD$3:$AD$149,Data!$Y$3:$Y$149,P$1,Data!$Z$3:$Z$149,IF(RIGHT(P$2,3)="YTD","&lt;="&amp;LEFT(P$2,2)*1,P$2),Data!$K$3:$K$149,$B31)</f>
        <v>0</v>
      </c>
      <c r="Q31" s="462">
        <f>IFERROR(1/Q$3,1)*SUMIFS(Data!$AD$3:$AD$149,Data!$Y$3:$Y$149,Q$1,Data!$Z$3:$Z$149,IF(RIGHT(Q$2,3)="YTD","&lt;="&amp;LEFT(Q$2,2)*1,Q$2),Data!$K$3:$K$149,$B31)</f>
        <v>0</v>
      </c>
      <c r="R31" s="462">
        <f>IFERROR(1/R$3,1)*SUMIFS(Data!$AD$3:$AD$149,Data!$Y$3:$Y$149,R$1,Data!$Z$3:$Z$149,IF(RIGHT(R$2,3)="YTD","&lt;="&amp;LEFT(R$2,2)*1,R$2),Data!$K$3:$K$149,$B31)</f>
        <v>0</v>
      </c>
      <c r="S31" s="462">
        <f>IFERROR(1/S$3,1)*SUMIFS(Data!$AD$3:$AD$149,Data!$Y$3:$Y$149,S$1,Data!$Z$3:$Z$149,IF(RIGHT(S$2,3)="YTD","&lt;="&amp;LEFT(S$2,2)*1,S$2),Data!$K$3:$K$149,$B31)</f>
        <v>0</v>
      </c>
      <c r="T31" s="462">
        <f>IFERROR(1/T$3,1)*SUMIFS(Data!$AD$3:$AD$149,Data!$Y$3:$Y$149,T$1,Data!$Z$3:$Z$149,IF(RIGHT(T$2,3)="YTD","&lt;="&amp;LEFT(T$2,2)*1,T$2),Data!$K$3:$K$149,$B31)</f>
        <v>0</v>
      </c>
      <c r="U31" s="3"/>
      <c r="V31" s="462">
        <f>'Reporting 2021'!M42</f>
        <v>0</v>
      </c>
      <c r="W31" s="462">
        <f>'Reporting 2021'!N42</f>
        <v>0</v>
      </c>
      <c r="X31" s="462">
        <f>IFERROR(1/X$3,1)*SUMIFS(Data!$AD$3:$AD$149,Data!$Y$3:$Y$149,X$1,Data!$Z$3:$Z$149,IF(RIGHT(X$2,3)="YTD","&lt;="&amp;LEFT(X$2,2)*1,X$2),Data!$K$3:$K$149,$B31)</f>
        <v>0</v>
      </c>
      <c r="Y31" s="462">
        <v>0</v>
      </c>
      <c r="Z31" s="462">
        <v>0</v>
      </c>
      <c r="AA31" s="462">
        <f t="shared" si="11"/>
        <v>0</v>
      </c>
      <c r="AB31" s="462">
        <f t="shared" si="11"/>
        <v>0</v>
      </c>
      <c r="AC31" s="462">
        <f t="shared" si="11"/>
        <v>0</v>
      </c>
      <c r="AD31" s="462"/>
      <c r="AE31" s="462">
        <f ca="1">IFERROR(1/AE$3,1)*SUMIFS(Data!$AD$3:$AD$137,Data!$Y$3:$Y$137,AE$1,Data!$Z$3:$Z$137,IF(RIGHT(AE$2,3)="YTD","&lt;="&amp;LEFT(AE$2,2)*1,AE$2),Data!$K$3:$K$137,$B12)</f>
        <v>0</v>
      </c>
      <c r="AF31" s="462">
        <f t="shared" ca="1" si="12"/>
        <v>0</v>
      </c>
      <c r="AG31" s="463">
        <f t="shared" ca="1" si="13"/>
        <v>0</v>
      </c>
      <c r="AH31" s="3"/>
      <c r="AI31" s="462">
        <v>37742.5</v>
      </c>
      <c r="AJ31" s="462">
        <v>0</v>
      </c>
      <c r="AK31" s="3"/>
      <c r="AL31" s="3"/>
      <c r="AM31" s="3"/>
      <c r="AN31" s="3"/>
      <c r="AO31" s="3"/>
      <c r="AP31" s="3"/>
      <c r="AQ31" s="3"/>
      <c r="AR31" s="3"/>
    </row>
    <row r="32" spans="1:44" ht="19.5" customHeight="1" x14ac:dyDescent="0.3">
      <c r="A32" s="3" t="s">
        <v>541</v>
      </c>
      <c r="B32" s="474" t="s">
        <v>542</v>
      </c>
      <c r="C32" s="464" t="s">
        <v>535</v>
      </c>
      <c r="D32" s="3"/>
      <c r="E32" s="462">
        <f t="shared" si="9"/>
        <v>22610</v>
      </c>
      <c r="F32" s="462">
        <f ca="1">IFERROR(1/F$3,1)*SUMIFS(Data!$AD$3:$AD$137,Data!$Y$3:$Y$137,F$1,Data!$Z$3:$Z$137,IF(RIGHT(F$2,3)="YTD","&lt;="&amp;LEFT(F$2,2)*1,F$2),Data!$K$3:$K$137,$B32)</f>
        <v>0</v>
      </c>
      <c r="G32" s="462">
        <f t="shared" si="10"/>
        <v>0</v>
      </c>
      <c r="H32" s="472"/>
      <c r="I32" s="462">
        <f>'Reporting 2021'!I43</f>
        <v>0</v>
      </c>
      <c r="J32" s="462">
        <f>'Reporting 2021'!J43</f>
        <v>0</v>
      </c>
      <c r="K32" s="462">
        <f>'Reporting 2021'!K43</f>
        <v>0</v>
      </c>
      <c r="L32" s="462">
        <f>'Reporting 2021'!L43</f>
        <v>0</v>
      </c>
      <c r="M32" s="462">
        <f>IFERROR(1/M$3,1)*SUMIFS(Data!$AD$3:$AD$149,Data!$Y$3:$Y$149,M$1,Data!$Z$3:$Z$149,IF(RIGHT(M$2,3)="YTD","&lt;="&amp;LEFT(M$2,2)*1,M$2),Data!$K$3:$K$149,$B32)</f>
        <v>0</v>
      </c>
      <c r="N32" s="462">
        <f>IFERROR(1/N$3,1)*SUMIFS(Data!$AD$3:$AD$149,Data!$Y$3:$Y$149,N$1,Data!$Z$3:$Z$149,IF(RIGHT(N$2,3)="YTD","&lt;="&amp;LEFT(N$2,2)*1,N$2),Data!$K$3:$K$149,$B32)</f>
        <v>0</v>
      </c>
      <c r="O32" s="462">
        <f>IFERROR(1/O$3,1)*SUMIFS(Data!$AD$3:$AD$149,Data!$Y$3:$Y$149,O$1,Data!$Z$3:$Z$149,IF(RIGHT(O$2,3)="YTD","&lt;="&amp;LEFT(O$2,2)*1,O$2),Data!$K$3:$K$149,$B32)</f>
        <v>0</v>
      </c>
      <c r="P32" s="462">
        <f>IFERROR(1/P$3,1)*SUMIFS(Data!$AD$3:$AD$149,Data!$Y$3:$Y$149,P$1,Data!$Z$3:$Z$149,IF(RIGHT(P$2,3)="YTD","&lt;="&amp;LEFT(P$2,2)*1,P$2),Data!$K$3:$K$149,$B32)</f>
        <v>0</v>
      </c>
      <c r="Q32" s="462">
        <f>IFERROR(1/Q$3,1)*SUMIFS(Data!$AD$3:$AD$149,Data!$Y$3:$Y$149,Q$1,Data!$Z$3:$Z$149,IF(RIGHT(Q$2,3)="YTD","&lt;="&amp;LEFT(Q$2,2)*1,Q$2),Data!$K$3:$K$149,$B32)</f>
        <v>0</v>
      </c>
      <c r="R32" s="462">
        <f>IFERROR(1/R$3,1)*SUMIFS(Data!$AD$3:$AD$149,Data!$Y$3:$Y$149,R$1,Data!$Z$3:$Z$149,IF(RIGHT(R$2,3)="YTD","&lt;="&amp;LEFT(R$2,2)*1,R$2),Data!$K$3:$K$149,$B32)</f>
        <v>0</v>
      </c>
      <c r="S32" s="462">
        <f>IFERROR(1/S$3,1)*SUMIFS(Data!$AD$3:$AD$149,Data!$Y$3:$Y$149,S$1,Data!$Z$3:$Z$149,IF(RIGHT(S$2,3)="YTD","&lt;="&amp;LEFT(S$2,2)*1,S$2),Data!$K$3:$K$149,$B32)</f>
        <v>0</v>
      </c>
      <c r="T32" s="462">
        <f>IFERROR(1/T$3,1)*SUMIFS(Data!$AD$3:$AD$149,Data!$Y$3:$Y$149,T$1,Data!$Z$3:$Z$149,IF(RIGHT(T$2,3)="YTD","&lt;="&amp;LEFT(T$2,2)*1,T$2),Data!$K$3:$K$149,$B32)</f>
        <v>0</v>
      </c>
      <c r="U32" s="3"/>
      <c r="V32" s="462">
        <f>'Reporting 2021'!M43</f>
        <v>0</v>
      </c>
      <c r="W32" s="462">
        <f>'Reporting 2021'!N43</f>
        <v>0</v>
      </c>
      <c r="X32" s="462">
        <f>IFERROR(1/X$3,1)*SUMIFS(Data!$AD$3:$AD$149,Data!$Y$3:$Y$149,X$1,Data!$Z$3:$Z$149,IF(RIGHT(X$2,3)="YTD","&lt;="&amp;LEFT(X$2,2)*1,X$2),Data!$K$3:$K$149,$B32)</f>
        <v>0</v>
      </c>
      <c r="Y32" s="462">
        <v>0</v>
      </c>
      <c r="Z32" s="462">
        <v>0</v>
      </c>
      <c r="AA32" s="462">
        <f t="shared" si="11"/>
        <v>0</v>
      </c>
      <c r="AB32" s="462">
        <f t="shared" si="11"/>
        <v>0</v>
      </c>
      <c r="AC32" s="462">
        <f t="shared" si="11"/>
        <v>0</v>
      </c>
      <c r="AD32" s="462"/>
      <c r="AE32" s="462">
        <f ca="1">IFERROR(1/AE$3,1)*SUMIFS(Data!$AD$3:$AD$137,Data!$Y$3:$Y$137,AE$1,Data!$Z$3:$Z$137,IF(RIGHT(AE$2,3)="YTD","&lt;="&amp;LEFT(AE$2,2)*1,AE$2),Data!$K$3:$K$137,$B13)</f>
        <v>0</v>
      </c>
      <c r="AF32" s="462">
        <f t="shared" ca="1" si="12"/>
        <v>0</v>
      </c>
      <c r="AG32" s="463">
        <f t="shared" ca="1" si="13"/>
        <v>0</v>
      </c>
      <c r="AH32" s="3"/>
      <c r="AI32" s="462">
        <v>271320</v>
      </c>
      <c r="AJ32" s="462">
        <v>0</v>
      </c>
      <c r="AK32" s="3"/>
      <c r="AL32" s="3"/>
      <c r="AM32" s="3"/>
      <c r="AN32" s="3"/>
      <c r="AO32" s="3"/>
      <c r="AP32" s="3"/>
      <c r="AQ32" s="3"/>
      <c r="AR32" s="3"/>
    </row>
    <row r="33" spans="1:44" ht="19.5" customHeight="1" x14ac:dyDescent="0.3">
      <c r="A33" s="3" t="s">
        <v>543</v>
      </c>
      <c r="B33" s="474" t="s">
        <v>544</v>
      </c>
      <c r="C33" s="464" t="s">
        <v>535</v>
      </c>
      <c r="D33" s="3"/>
      <c r="E33" s="462">
        <f t="shared" si="9"/>
        <v>3760.8333333333335</v>
      </c>
      <c r="F33" s="462">
        <f ca="1">IFERROR(1/F$3,1)*SUMIFS(Data!$AD$3:$AD$137,Data!$Y$3:$Y$137,F$1,Data!$Z$3:$Z$137,IF(RIGHT(F$2,3)="YTD","&lt;="&amp;LEFT(F$2,2)*1,F$2),Data!$K$3:$K$137,$B33)</f>
        <v>0</v>
      </c>
      <c r="G33" s="462">
        <f t="shared" si="10"/>
        <v>20833.333333333332</v>
      </c>
      <c r="H33" s="472"/>
      <c r="I33" s="462">
        <f>'Reporting 2021'!I44</f>
        <v>0</v>
      </c>
      <c r="J33" s="462">
        <f>'Reporting 2021'!J44</f>
        <v>0</v>
      </c>
      <c r="K33" s="462">
        <f>'Reporting 2021'!K44</f>
        <v>0</v>
      </c>
      <c r="L33" s="462">
        <f>'Reporting 2021'!L44</f>
        <v>0</v>
      </c>
      <c r="M33" s="462">
        <f>IFERROR(1/M$3,1)*SUMIFS(Data!$AD$3:$AD$149,Data!$Y$3:$Y$149,M$1,Data!$Z$3:$Z$149,IF(RIGHT(M$2,3)="YTD","&lt;="&amp;LEFT(M$2,2)*1,M$2),Data!$K$3:$K$149,$B33)</f>
        <v>0</v>
      </c>
      <c r="N33" s="462">
        <f>IFERROR(1/N$3,1)*SUMIFS(Data!$AD$3:$AD$149,Data!$Y$3:$Y$149,N$1,Data!$Z$3:$Z$149,IF(RIGHT(N$2,3)="YTD","&lt;="&amp;LEFT(N$2,2)*1,N$2),Data!$K$3:$K$149,$B33)</f>
        <v>0</v>
      </c>
      <c r="O33" s="462">
        <f>IFERROR(1/O$3,1)*SUMIFS(Data!$AD$3:$AD$149,Data!$Y$3:$Y$149,O$1,Data!$Z$3:$Z$149,IF(RIGHT(O$2,3)="YTD","&lt;="&amp;LEFT(O$2,2)*1,O$2),Data!$K$3:$K$149,$B33)</f>
        <v>0</v>
      </c>
      <c r="P33" s="462">
        <f>IFERROR(1/P$3,1)*SUMIFS(Data!$AD$3:$AD$149,Data!$Y$3:$Y$149,P$1,Data!$Z$3:$Z$149,IF(RIGHT(P$2,3)="YTD","&lt;="&amp;LEFT(P$2,2)*1,P$2),Data!$K$3:$K$149,$B33)</f>
        <v>0</v>
      </c>
      <c r="Q33" s="462">
        <f>IFERROR(1/Q$3,1)*SUMIFS(Data!$AD$3:$AD$149,Data!$Y$3:$Y$149,Q$1,Data!$Z$3:$Z$149,IF(RIGHT(Q$2,3)="YTD","&lt;="&amp;LEFT(Q$2,2)*1,Q$2),Data!$K$3:$K$149,$B33)</f>
        <v>0</v>
      </c>
      <c r="R33" s="462">
        <f>IFERROR(1/R$3,1)*SUMIFS(Data!$AD$3:$AD$149,Data!$Y$3:$Y$149,R$1,Data!$Z$3:$Z$149,IF(RIGHT(R$2,3)="YTD","&lt;="&amp;LEFT(R$2,2)*1,R$2),Data!$K$3:$K$149,$B33)</f>
        <v>0</v>
      </c>
      <c r="S33" s="462">
        <f>IFERROR(1/S$3,1)*SUMIFS(Data!$AD$3:$AD$149,Data!$Y$3:$Y$149,S$1,Data!$Z$3:$Z$149,IF(RIGHT(S$2,3)="YTD","&lt;="&amp;LEFT(S$2,2)*1,S$2),Data!$K$3:$K$149,$B33)</f>
        <v>0</v>
      </c>
      <c r="T33" s="462">
        <f>IFERROR(1/T$3,1)*SUMIFS(Data!$AD$3:$AD$149,Data!$Y$3:$Y$149,T$1,Data!$Z$3:$Z$149,IF(RIGHT(T$2,3)="YTD","&lt;="&amp;LEFT(T$2,2)*1,T$2),Data!$K$3:$K$149,$B33)</f>
        <v>0</v>
      </c>
      <c r="U33" s="3"/>
      <c r="V33" s="462">
        <f>'Reporting 2021'!M44</f>
        <v>0</v>
      </c>
      <c r="W33" s="462">
        <f>'Reporting 2021'!N44</f>
        <v>0</v>
      </c>
      <c r="X33" s="462">
        <f>IFERROR(1/X$3,1)*SUMIFS(Data!$AD$3:$AD$149,Data!$Y$3:$Y$149,X$1,Data!$Z$3:$Z$149,IF(RIGHT(X$2,3)="YTD","&lt;="&amp;LEFT(X$2,2)*1,X$2),Data!$K$3:$K$149,$B33)</f>
        <v>0</v>
      </c>
      <c r="Y33" s="462">
        <v>0</v>
      </c>
      <c r="Z33" s="462">
        <v>4770</v>
      </c>
      <c r="AA33" s="462">
        <f t="shared" si="11"/>
        <v>20833.333333333332</v>
      </c>
      <c r="AB33" s="462">
        <f t="shared" si="11"/>
        <v>20833.333333333332</v>
      </c>
      <c r="AC33" s="462">
        <f t="shared" si="11"/>
        <v>20833.333333333332</v>
      </c>
      <c r="AD33" s="462"/>
      <c r="AE33" s="462">
        <f ca="1">IFERROR(1/AE$3,1)*SUMIFS(Data!$AD$3:$AD$137,Data!$Y$3:$Y$137,AE$1,Data!$Z$3:$Z$137,IF(RIGHT(AE$2,3)="YTD","&lt;="&amp;LEFT(AE$2,2)*1,AE$2),Data!$K$3:$K$137,$B14)</f>
        <v>0</v>
      </c>
      <c r="AF33" s="462">
        <f t="shared" ca="1" si="12"/>
        <v>83333.333333333328</v>
      </c>
      <c r="AG33" s="463">
        <f t="shared" ca="1" si="13"/>
        <v>-83333.333333333328</v>
      </c>
      <c r="AH33" s="3"/>
      <c r="AI33" s="462">
        <v>45130</v>
      </c>
      <c r="AJ33" s="462">
        <v>250000</v>
      </c>
      <c r="AK33" s="3"/>
      <c r="AL33" s="3"/>
      <c r="AM33" s="3"/>
      <c r="AN33" s="3"/>
      <c r="AO33" s="3"/>
      <c r="AP33" s="3"/>
      <c r="AQ33" s="3"/>
      <c r="AR33" s="3"/>
    </row>
    <row r="34" spans="1:44" ht="19.5" customHeight="1" x14ac:dyDescent="0.3">
      <c r="A34" s="3" t="s">
        <v>545</v>
      </c>
      <c r="B34" s="474" t="s">
        <v>546</v>
      </c>
      <c r="C34" s="464" t="s">
        <v>535</v>
      </c>
      <c r="D34" s="3"/>
      <c r="E34" s="462">
        <f t="shared" si="9"/>
        <v>10592.833333333334</v>
      </c>
      <c r="F34" s="462">
        <f ca="1">IFERROR(1/F$3,1)*SUMIFS(Data!$AD$3:$AD$137,Data!$Y$3:$Y$137,F$1,Data!$Z$3:$Z$137,IF(RIGHT(F$2,3)="YTD","&lt;="&amp;LEFT(F$2,2)*1,F$2),Data!$K$3:$K$137,$B34)</f>
        <v>0</v>
      </c>
      <c r="G34" s="462">
        <f t="shared" si="10"/>
        <v>3750</v>
      </c>
      <c r="H34" s="472"/>
      <c r="I34" s="462">
        <f>'Reporting 2021'!I45</f>
        <v>0</v>
      </c>
      <c r="J34" s="462">
        <f>'Reporting 2021'!J45</f>
        <v>0</v>
      </c>
      <c r="K34" s="462">
        <f>'Reporting 2021'!K45</f>
        <v>0</v>
      </c>
      <c r="L34" s="462">
        <f>'Reporting 2021'!L45</f>
        <v>0</v>
      </c>
      <c r="M34" s="462">
        <f>IFERROR(1/M$3,1)*SUMIFS(Data!$AD$3:$AD$149,Data!$Y$3:$Y$149,M$1,Data!$Z$3:$Z$149,IF(RIGHT(M$2,3)="YTD","&lt;="&amp;LEFT(M$2,2)*1,M$2),Data!$K$3:$K$149,$B34)</f>
        <v>0</v>
      </c>
      <c r="N34" s="462">
        <f>IFERROR(1/N$3,1)*SUMIFS(Data!$AD$3:$AD$149,Data!$Y$3:$Y$149,N$1,Data!$Z$3:$Z$149,IF(RIGHT(N$2,3)="YTD","&lt;="&amp;LEFT(N$2,2)*1,N$2),Data!$K$3:$K$149,$B34)</f>
        <v>0</v>
      </c>
      <c r="O34" s="462">
        <f>IFERROR(1/O$3,1)*SUMIFS(Data!$AD$3:$AD$149,Data!$Y$3:$Y$149,O$1,Data!$Z$3:$Z$149,IF(RIGHT(O$2,3)="YTD","&lt;="&amp;LEFT(O$2,2)*1,O$2),Data!$K$3:$K$149,$B34)</f>
        <v>0</v>
      </c>
      <c r="P34" s="462">
        <f>IFERROR(1/P$3,1)*SUMIFS(Data!$AD$3:$AD$149,Data!$Y$3:$Y$149,P$1,Data!$Z$3:$Z$149,IF(RIGHT(P$2,3)="YTD","&lt;="&amp;LEFT(P$2,2)*1,P$2),Data!$K$3:$K$149,$B34)</f>
        <v>0</v>
      </c>
      <c r="Q34" s="462">
        <f>IFERROR(1/Q$3,1)*SUMIFS(Data!$AD$3:$AD$149,Data!$Y$3:$Y$149,Q$1,Data!$Z$3:$Z$149,IF(RIGHT(Q$2,3)="YTD","&lt;="&amp;LEFT(Q$2,2)*1,Q$2),Data!$K$3:$K$149,$B34)</f>
        <v>0</v>
      </c>
      <c r="R34" s="462">
        <f>IFERROR(1/R$3,1)*SUMIFS(Data!$AD$3:$AD$149,Data!$Y$3:$Y$149,R$1,Data!$Z$3:$Z$149,IF(RIGHT(R$2,3)="YTD","&lt;="&amp;LEFT(R$2,2)*1,R$2),Data!$K$3:$K$149,$B34)</f>
        <v>0</v>
      </c>
      <c r="S34" s="462">
        <f>IFERROR(1/S$3,1)*SUMIFS(Data!$AD$3:$AD$149,Data!$Y$3:$Y$149,S$1,Data!$Z$3:$Z$149,IF(RIGHT(S$2,3)="YTD","&lt;="&amp;LEFT(S$2,2)*1,S$2),Data!$K$3:$K$149,$B34)</f>
        <v>0</v>
      </c>
      <c r="T34" s="462">
        <f>IFERROR(1/T$3,1)*SUMIFS(Data!$AD$3:$AD$149,Data!$Y$3:$Y$149,T$1,Data!$Z$3:$Z$149,IF(RIGHT(T$2,3)="YTD","&lt;="&amp;LEFT(T$2,2)*1,T$2),Data!$K$3:$K$149,$B34)</f>
        <v>0</v>
      </c>
      <c r="U34" s="3"/>
      <c r="V34" s="462">
        <f>'Reporting 2021'!M45</f>
        <v>0</v>
      </c>
      <c r="W34" s="462">
        <f>'Reporting 2021'!N45</f>
        <v>0</v>
      </c>
      <c r="X34" s="462">
        <f>IFERROR(1/X$3,1)*SUMIFS(Data!$AD$3:$AD$149,Data!$Y$3:$Y$149,X$1,Data!$Z$3:$Z$149,IF(RIGHT(X$2,3)="YTD","&lt;="&amp;LEFT(X$2,2)*1,X$2),Data!$K$3:$K$149,$B34)</f>
        <v>0</v>
      </c>
      <c r="Y34" s="462">
        <v>0</v>
      </c>
      <c r="Z34" s="462">
        <v>0</v>
      </c>
      <c r="AA34" s="462">
        <f t="shared" si="11"/>
        <v>3750</v>
      </c>
      <c r="AB34" s="462">
        <f t="shared" si="11"/>
        <v>3750</v>
      </c>
      <c r="AC34" s="462">
        <f t="shared" si="11"/>
        <v>3750</v>
      </c>
      <c r="AD34" s="462"/>
      <c r="AE34" s="462">
        <f ca="1">IFERROR(1/AE$3,1)*SUMIFS(Data!$AD$3:$AD$137,Data!$Y$3:$Y$137,AE$1,Data!$Z$3:$Z$137,IF(RIGHT(AE$2,3)="YTD","&lt;="&amp;LEFT(AE$2,2)*1,AE$2),Data!$K$3:$K$137,$B15)</f>
        <v>0</v>
      </c>
      <c r="AF34" s="462">
        <f t="shared" ca="1" si="12"/>
        <v>15000</v>
      </c>
      <c r="AG34" s="463">
        <f t="shared" ca="1" si="13"/>
        <v>-15000</v>
      </c>
      <c r="AH34" s="3"/>
      <c r="AI34" s="462">
        <v>127114</v>
      </c>
      <c r="AJ34" s="462">
        <v>45000</v>
      </c>
      <c r="AK34" s="3"/>
      <c r="AL34" s="3"/>
      <c r="AM34" s="3"/>
      <c r="AN34" s="3"/>
      <c r="AO34" s="3"/>
      <c r="AP34" s="3"/>
      <c r="AQ34" s="3"/>
      <c r="AR34" s="3"/>
    </row>
    <row r="35" spans="1:44" ht="19.5" customHeight="1" x14ac:dyDescent="0.3">
      <c r="A35" s="3" t="s">
        <v>547</v>
      </c>
      <c r="B35" s="474" t="s">
        <v>548</v>
      </c>
      <c r="C35" s="464" t="s">
        <v>535</v>
      </c>
      <c r="D35" s="3"/>
      <c r="E35" s="462">
        <f t="shared" si="9"/>
        <v>10881.333333333334</v>
      </c>
      <c r="F35" s="462">
        <f ca="1">IFERROR(1/F$3,1)*SUMIFS(Data!$AD$3:$AD$137,Data!$Y$3:$Y$137,F$1,Data!$Z$3:$Z$137,IF(RIGHT(F$2,3)="YTD","&lt;="&amp;LEFT(F$2,2)*1,F$2),Data!$K$3:$K$137,$B35)</f>
        <v>0</v>
      </c>
      <c r="G35" s="462">
        <f t="shared" si="10"/>
        <v>20833.333333333332</v>
      </c>
      <c r="H35" s="472"/>
      <c r="I35" s="462">
        <f>'Reporting 2021'!I46</f>
        <v>0</v>
      </c>
      <c r="J35" s="462">
        <f>'Reporting 2021'!J46</f>
        <v>0</v>
      </c>
      <c r="K35" s="462">
        <f>'Reporting 2021'!K46</f>
        <v>0</v>
      </c>
      <c r="L35" s="462">
        <f>'Reporting 2021'!L46</f>
        <v>0</v>
      </c>
      <c r="M35" s="462">
        <f>IFERROR(1/M$3,1)*SUMIFS(Data!$AD$3:$AD$149,Data!$Y$3:$Y$149,M$1,Data!$Z$3:$Z$149,IF(RIGHT(M$2,3)="YTD","&lt;="&amp;LEFT(M$2,2)*1,M$2),Data!$K$3:$K$149,$B35)</f>
        <v>0</v>
      </c>
      <c r="N35" s="462">
        <f>IFERROR(1/N$3,1)*SUMIFS(Data!$AD$3:$AD$149,Data!$Y$3:$Y$149,N$1,Data!$Z$3:$Z$149,IF(RIGHT(N$2,3)="YTD","&lt;="&amp;LEFT(N$2,2)*1,N$2),Data!$K$3:$K$149,$B35)</f>
        <v>0</v>
      </c>
      <c r="O35" s="462">
        <f>IFERROR(1/O$3,1)*SUMIFS(Data!$AD$3:$AD$149,Data!$Y$3:$Y$149,O$1,Data!$Z$3:$Z$149,IF(RIGHT(O$2,3)="YTD","&lt;="&amp;LEFT(O$2,2)*1,O$2),Data!$K$3:$K$149,$B35)</f>
        <v>0</v>
      </c>
      <c r="P35" s="462">
        <f>IFERROR(1/P$3,1)*SUMIFS(Data!$AD$3:$AD$149,Data!$Y$3:$Y$149,P$1,Data!$Z$3:$Z$149,IF(RIGHT(P$2,3)="YTD","&lt;="&amp;LEFT(P$2,2)*1,P$2),Data!$K$3:$K$149,$B35)</f>
        <v>0</v>
      </c>
      <c r="Q35" s="462">
        <f>IFERROR(1/Q$3,1)*SUMIFS(Data!$AD$3:$AD$149,Data!$Y$3:$Y$149,Q$1,Data!$Z$3:$Z$149,IF(RIGHT(Q$2,3)="YTD","&lt;="&amp;LEFT(Q$2,2)*1,Q$2),Data!$K$3:$K$149,$B35)</f>
        <v>0</v>
      </c>
      <c r="R35" s="462">
        <f>IFERROR(1/R$3,1)*SUMIFS(Data!$AD$3:$AD$149,Data!$Y$3:$Y$149,R$1,Data!$Z$3:$Z$149,IF(RIGHT(R$2,3)="YTD","&lt;="&amp;LEFT(R$2,2)*1,R$2),Data!$K$3:$K$149,$B35)</f>
        <v>0</v>
      </c>
      <c r="S35" s="462">
        <f>IFERROR(1/S$3,1)*SUMIFS(Data!$AD$3:$AD$149,Data!$Y$3:$Y$149,S$1,Data!$Z$3:$Z$149,IF(RIGHT(S$2,3)="YTD","&lt;="&amp;LEFT(S$2,2)*1,S$2),Data!$K$3:$K$149,$B35)</f>
        <v>0</v>
      </c>
      <c r="T35" s="462">
        <f>IFERROR(1/T$3,1)*SUMIFS(Data!$AD$3:$AD$149,Data!$Y$3:$Y$149,T$1,Data!$Z$3:$Z$149,IF(RIGHT(T$2,3)="YTD","&lt;="&amp;LEFT(T$2,2)*1,T$2),Data!$K$3:$K$149,$B35)</f>
        <v>0</v>
      </c>
      <c r="U35" s="3"/>
      <c r="V35" s="462">
        <f>'Reporting 2021'!M46</f>
        <v>0</v>
      </c>
      <c r="W35" s="462">
        <f>'Reporting 2021'!N46</f>
        <v>0</v>
      </c>
      <c r="X35" s="462">
        <f>IFERROR(1/X$3,1)*SUMIFS(Data!$AD$3:$AD$149,Data!$Y$3:$Y$149,X$1,Data!$Z$3:$Z$149,IF(RIGHT(X$2,3)="YTD","&lt;="&amp;LEFT(X$2,2)*1,X$2),Data!$K$3:$K$149,$B35)</f>
        <v>0</v>
      </c>
      <c r="Y35" s="462">
        <v>27271.5</v>
      </c>
      <c r="Z35" s="462">
        <v>12588.5</v>
      </c>
      <c r="AA35" s="462">
        <f t="shared" si="11"/>
        <v>20833.333333333332</v>
      </c>
      <c r="AB35" s="462">
        <f t="shared" si="11"/>
        <v>20833.333333333332</v>
      </c>
      <c r="AC35" s="462">
        <f t="shared" si="11"/>
        <v>20833.333333333332</v>
      </c>
      <c r="AD35" s="462"/>
      <c r="AE35" s="462">
        <f ca="1">IFERROR(1/AE$3,1)*SUMIFS(Data!$AD$3:$AD$137,Data!$Y$3:$Y$137,AE$1,Data!$Z$3:$Z$137,IF(RIGHT(AE$2,3)="YTD","&lt;="&amp;LEFT(AE$2,2)*1,AE$2),Data!$K$3:$K$137,$B16)</f>
        <v>0</v>
      </c>
      <c r="AF35" s="462">
        <f t="shared" ca="1" si="12"/>
        <v>83333.333333333328</v>
      </c>
      <c r="AG35" s="463">
        <f t="shared" ca="1" si="13"/>
        <v>-83333.333333333328</v>
      </c>
      <c r="AH35" s="3"/>
      <c r="AI35" s="462">
        <v>130576</v>
      </c>
      <c r="AJ35" s="462">
        <v>250000</v>
      </c>
      <c r="AK35" s="3"/>
      <c r="AL35" s="3"/>
      <c r="AM35" s="3"/>
      <c r="AN35" s="3"/>
      <c r="AO35" s="3"/>
      <c r="AP35" s="3"/>
      <c r="AQ35" s="3"/>
      <c r="AR35" s="3"/>
    </row>
    <row r="36" spans="1:44" ht="19.5" customHeight="1" x14ac:dyDescent="0.3">
      <c r="A36" s="3" t="s">
        <v>549</v>
      </c>
      <c r="B36" s="474" t="s">
        <v>550</v>
      </c>
      <c r="C36" s="464" t="s">
        <v>535</v>
      </c>
      <c r="D36" s="3"/>
      <c r="E36" s="462">
        <f t="shared" si="9"/>
        <v>742</v>
      </c>
      <c r="F36" s="462">
        <f ca="1">IFERROR(1/F$3,1)*SUMIFS(Data!$AD$3:$AD$137,Data!$Y$3:$Y$137,F$1,Data!$Z$3:$Z$137,IF(RIGHT(F$2,3)="YTD","&lt;="&amp;LEFT(F$2,2)*1,F$2),Data!$K$3:$K$137,$B36)</f>
        <v>0</v>
      </c>
      <c r="G36" s="462">
        <f t="shared" si="10"/>
        <v>0</v>
      </c>
      <c r="H36" s="472"/>
      <c r="I36" s="462">
        <f>'Reporting 2021'!I47</f>
        <v>0</v>
      </c>
      <c r="J36" s="462">
        <f>'Reporting 2021'!J47</f>
        <v>0</v>
      </c>
      <c r="K36" s="462">
        <f>'Reporting 2021'!K47</f>
        <v>0</v>
      </c>
      <c r="L36" s="462">
        <f>'Reporting 2021'!L47</f>
        <v>0</v>
      </c>
      <c r="M36" s="462">
        <f>IFERROR(1/M$3,1)*SUMIFS(Data!$AD$3:$AD$149,Data!$Y$3:$Y$149,M$1,Data!$Z$3:$Z$149,IF(RIGHT(M$2,3)="YTD","&lt;="&amp;LEFT(M$2,2)*1,M$2),Data!$K$3:$K$149,$B36)</f>
        <v>0</v>
      </c>
      <c r="N36" s="462">
        <f>IFERROR(1/N$3,1)*SUMIFS(Data!$AD$3:$AD$149,Data!$Y$3:$Y$149,N$1,Data!$Z$3:$Z$149,IF(RIGHT(N$2,3)="YTD","&lt;="&amp;LEFT(N$2,2)*1,N$2),Data!$K$3:$K$149,$B36)</f>
        <v>0</v>
      </c>
      <c r="O36" s="462">
        <f>IFERROR(1/O$3,1)*SUMIFS(Data!$AD$3:$AD$149,Data!$Y$3:$Y$149,O$1,Data!$Z$3:$Z$149,IF(RIGHT(O$2,3)="YTD","&lt;="&amp;LEFT(O$2,2)*1,O$2),Data!$K$3:$K$149,$B36)</f>
        <v>0</v>
      </c>
      <c r="P36" s="462">
        <f>IFERROR(1/P$3,1)*SUMIFS(Data!$AD$3:$AD$149,Data!$Y$3:$Y$149,P$1,Data!$Z$3:$Z$149,IF(RIGHT(P$2,3)="YTD","&lt;="&amp;LEFT(P$2,2)*1,P$2),Data!$K$3:$K$149,$B36)</f>
        <v>0</v>
      </c>
      <c r="Q36" s="462">
        <f>IFERROR(1/Q$3,1)*SUMIFS(Data!$AD$3:$AD$149,Data!$Y$3:$Y$149,Q$1,Data!$Z$3:$Z$149,IF(RIGHT(Q$2,3)="YTD","&lt;="&amp;LEFT(Q$2,2)*1,Q$2),Data!$K$3:$K$149,$B36)</f>
        <v>0</v>
      </c>
      <c r="R36" s="462">
        <f>IFERROR(1/R$3,1)*SUMIFS(Data!$AD$3:$AD$149,Data!$Y$3:$Y$149,R$1,Data!$Z$3:$Z$149,IF(RIGHT(R$2,3)="YTD","&lt;="&amp;LEFT(R$2,2)*1,R$2),Data!$K$3:$K$149,$B36)</f>
        <v>0</v>
      </c>
      <c r="S36" s="462">
        <f>IFERROR(1/S$3,1)*SUMIFS(Data!$AD$3:$AD$149,Data!$Y$3:$Y$149,S$1,Data!$Z$3:$Z$149,IF(RIGHT(S$2,3)="YTD","&lt;="&amp;LEFT(S$2,2)*1,S$2),Data!$K$3:$K$149,$B36)</f>
        <v>0</v>
      </c>
      <c r="T36" s="462">
        <f>IFERROR(1/T$3,1)*SUMIFS(Data!$AD$3:$AD$149,Data!$Y$3:$Y$149,T$1,Data!$Z$3:$Z$149,IF(RIGHT(T$2,3)="YTD","&lt;="&amp;LEFT(T$2,2)*1,T$2),Data!$K$3:$K$149,$B36)</f>
        <v>0</v>
      </c>
      <c r="U36" s="3"/>
      <c r="V36" s="462">
        <f>'Reporting 2021'!M47</f>
        <v>0</v>
      </c>
      <c r="W36" s="462">
        <f>'Reporting 2021'!N47</f>
        <v>0</v>
      </c>
      <c r="X36" s="462">
        <f>IFERROR(1/X$3,1)*SUMIFS(Data!$AD$3:$AD$149,Data!$Y$3:$Y$149,X$1,Data!$Z$3:$Z$149,IF(RIGHT(X$2,3)="YTD","&lt;="&amp;LEFT(X$2,2)*1,X$2),Data!$K$3:$K$149,$B36)</f>
        <v>0</v>
      </c>
      <c r="Y36" s="462">
        <v>0</v>
      </c>
      <c r="Z36" s="462">
        <v>40.5</v>
      </c>
      <c r="AA36" s="462">
        <f t="shared" si="11"/>
        <v>0</v>
      </c>
      <c r="AB36" s="462">
        <f t="shared" si="11"/>
        <v>0</v>
      </c>
      <c r="AC36" s="462">
        <f t="shared" si="11"/>
        <v>0</v>
      </c>
      <c r="AD36" s="462"/>
      <c r="AE36" s="462">
        <f ca="1">IFERROR(1/AE$3,1)*SUMIFS(Data!$AD$3:$AD$137,Data!$Y$3:$Y$137,AE$1,Data!$Z$3:$Z$137,IF(RIGHT(AE$2,3)="YTD","&lt;="&amp;LEFT(AE$2,2)*1,AE$2),Data!$K$3:$K$137,$B17)</f>
        <v>0</v>
      </c>
      <c r="AF36" s="462">
        <f t="shared" ca="1" si="12"/>
        <v>0</v>
      </c>
      <c r="AG36" s="463">
        <f t="shared" ca="1" si="13"/>
        <v>0</v>
      </c>
      <c r="AH36" s="3"/>
      <c r="AI36" s="462">
        <v>8904</v>
      </c>
      <c r="AJ36" s="462">
        <v>0</v>
      </c>
      <c r="AK36" s="3"/>
      <c r="AL36" s="3"/>
      <c r="AM36" s="3"/>
      <c r="AN36" s="3"/>
      <c r="AO36" s="3"/>
      <c r="AP36" s="3"/>
      <c r="AQ36" s="3"/>
      <c r="AR36" s="3"/>
    </row>
    <row r="37" spans="1:44" ht="19.5" customHeight="1" x14ac:dyDescent="0.3">
      <c r="A37" s="3"/>
      <c r="B37" s="474" t="s">
        <v>551</v>
      </c>
      <c r="C37" s="464" t="s">
        <v>535</v>
      </c>
      <c r="D37" s="3"/>
      <c r="E37" s="462">
        <f t="shared" si="9"/>
        <v>22610</v>
      </c>
      <c r="F37" s="462">
        <f ca="1">IFERROR(1/F$3,1)*SUMIFS(Data!$AD$3:$AD$137,Data!$Y$3:$Y$137,F$1,Data!$Z$3:$Z$137,IF(RIGHT(F$2,3)="YTD","&lt;="&amp;LEFT(F$2,2)*1,F$2),Data!$K$3:$K$137,$B37)</f>
        <v>0</v>
      </c>
      <c r="G37" s="462">
        <f t="shared" si="10"/>
        <v>0</v>
      </c>
      <c r="H37" s="472"/>
      <c r="I37" s="462">
        <f>'Reporting 2021'!I48</f>
        <v>0</v>
      </c>
      <c r="J37" s="462">
        <f>'Reporting 2021'!J48</f>
        <v>0</v>
      </c>
      <c r="K37" s="462">
        <f>'Reporting 2021'!K48</f>
        <v>0</v>
      </c>
      <c r="L37" s="462">
        <f>'Reporting 2021'!L48</f>
        <v>0</v>
      </c>
      <c r="M37" s="462">
        <f>IFERROR(1/M$3,1)*SUMIFS(Data!$AD$3:$AD$149,Data!$Y$3:$Y$149,M$1,Data!$Z$3:$Z$149,IF(RIGHT(M$2,3)="YTD","&lt;="&amp;LEFT(M$2,2)*1,M$2),Data!$K$3:$K$149,$B37)</f>
        <v>0</v>
      </c>
      <c r="N37" s="462">
        <f>IFERROR(1/N$3,1)*SUMIFS(Data!$AD$3:$AD$149,Data!$Y$3:$Y$149,N$1,Data!$Z$3:$Z$149,IF(RIGHT(N$2,3)="YTD","&lt;="&amp;LEFT(N$2,2)*1,N$2),Data!$K$3:$K$149,$B37)</f>
        <v>0</v>
      </c>
      <c r="O37" s="462">
        <f>IFERROR(1/O$3,1)*SUMIFS(Data!$AD$3:$AD$149,Data!$Y$3:$Y$149,O$1,Data!$Z$3:$Z$149,IF(RIGHT(O$2,3)="YTD","&lt;="&amp;LEFT(O$2,2)*1,O$2),Data!$K$3:$K$149,$B37)</f>
        <v>0</v>
      </c>
      <c r="P37" s="462">
        <f>IFERROR(1/P$3,1)*SUMIFS(Data!$AD$3:$AD$149,Data!$Y$3:$Y$149,P$1,Data!$Z$3:$Z$149,IF(RIGHT(P$2,3)="YTD","&lt;="&amp;LEFT(P$2,2)*1,P$2),Data!$K$3:$K$149,$B37)</f>
        <v>0</v>
      </c>
      <c r="Q37" s="462">
        <f>IFERROR(1/Q$3,1)*SUMIFS(Data!$AD$3:$AD$149,Data!$Y$3:$Y$149,Q$1,Data!$Z$3:$Z$149,IF(RIGHT(Q$2,3)="YTD","&lt;="&amp;LEFT(Q$2,2)*1,Q$2),Data!$K$3:$K$149,$B37)</f>
        <v>0</v>
      </c>
      <c r="R37" s="462">
        <f>IFERROR(1/R$3,1)*SUMIFS(Data!$AD$3:$AD$149,Data!$Y$3:$Y$149,R$1,Data!$Z$3:$Z$149,IF(RIGHT(R$2,3)="YTD","&lt;="&amp;LEFT(R$2,2)*1,R$2),Data!$K$3:$K$149,$B37)</f>
        <v>0</v>
      </c>
      <c r="S37" s="462">
        <f>IFERROR(1/S$3,1)*SUMIFS(Data!$AD$3:$AD$149,Data!$Y$3:$Y$149,S$1,Data!$Z$3:$Z$149,IF(RIGHT(S$2,3)="YTD","&lt;="&amp;LEFT(S$2,2)*1,S$2),Data!$K$3:$K$149,$B37)</f>
        <v>0</v>
      </c>
      <c r="T37" s="462">
        <f>IFERROR(1/T$3,1)*SUMIFS(Data!$AD$3:$AD$149,Data!$Y$3:$Y$149,T$1,Data!$Z$3:$Z$149,IF(RIGHT(T$2,3)="YTD","&lt;="&amp;LEFT(T$2,2)*1,T$2),Data!$K$3:$K$149,$B37)</f>
        <v>0</v>
      </c>
      <c r="U37" s="3"/>
      <c r="V37" s="462">
        <f>'Reporting 2021'!M48</f>
        <v>0</v>
      </c>
      <c r="W37" s="462">
        <f>'Reporting 2021'!N48</f>
        <v>0</v>
      </c>
      <c r="X37" s="462">
        <f>IFERROR(1/X$3,1)*SUMIFS(Data!$AD$3:$AD$149,Data!$Y$3:$Y$149,X$1,Data!$Z$3:$Z$149,IF(RIGHT(X$2,3)="YTD","&lt;="&amp;LEFT(X$2,2)*1,X$2),Data!$K$3:$K$149,$B37)</f>
        <v>0</v>
      </c>
      <c r="Y37" s="462">
        <v>0</v>
      </c>
      <c r="Z37" s="462">
        <v>0</v>
      </c>
      <c r="AA37" s="462">
        <f t="shared" si="11"/>
        <v>0</v>
      </c>
      <c r="AB37" s="462">
        <f t="shared" si="11"/>
        <v>0</v>
      </c>
      <c r="AC37" s="462">
        <f t="shared" si="11"/>
        <v>0</v>
      </c>
      <c r="AD37" s="462"/>
      <c r="AE37" s="462">
        <f ca="1">IFERROR(1/AE$3,1)*SUMIFS(Data!$AD$3:$AD$137,Data!$Y$3:$Y$137,AE$1,Data!$Z$3:$Z$137,IF(RIGHT(AE$2,3)="YTD","&lt;="&amp;LEFT(AE$2,2)*1,AE$2),Data!$K$3:$K$137,$B18)</f>
        <v>0</v>
      </c>
      <c r="AF37" s="462">
        <f t="shared" ca="1" si="12"/>
        <v>0</v>
      </c>
      <c r="AG37" s="463">
        <f t="shared" ca="1" si="13"/>
        <v>0</v>
      </c>
      <c r="AH37" s="3"/>
      <c r="AI37" s="462">
        <v>271320</v>
      </c>
      <c r="AJ37" s="462">
        <v>0</v>
      </c>
      <c r="AK37" s="3"/>
      <c r="AL37" s="3"/>
      <c r="AM37" s="3"/>
      <c r="AN37" s="3"/>
      <c r="AO37" s="3"/>
      <c r="AP37" s="3"/>
      <c r="AQ37" s="3"/>
      <c r="AR37" s="3"/>
    </row>
    <row r="38" spans="1:44" ht="19.5" customHeight="1" x14ac:dyDescent="0.3">
      <c r="A38" s="3"/>
      <c r="B38" s="41" t="s">
        <v>552</v>
      </c>
      <c r="C38" s="464" t="s">
        <v>535</v>
      </c>
      <c r="D38" s="3"/>
      <c r="E38" s="465"/>
      <c r="F38" s="465"/>
      <c r="G38" s="462"/>
      <c r="H38" s="472"/>
      <c r="I38" s="465">
        <f t="shared" ref="I38:X38" si="14">SUM(I28:I37)</f>
        <v>0</v>
      </c>
      <c r="J38" s="465">
        <f t="shared" si="14"/>
        <v>0</v>
      </c>
      <c r="K38" s="465">
        <f t="shared" si="14"/>
        <v>0</v>
      </c>
      <c r="L38" s="465">
        <f t="shared" si="14"/>
        <v>0</v>
      </c>
      <c r="M38" s="465">
        <f t="shared" si="14"/>
        <v>0</v>
      </c>
      <c r="N38" s="465">
        <f t="shared" si="14"/>
        <v>0</v>
      </c>
      <c r="O38" s="465">
        <f t="shared" si="14"/>
        <v>0</v>
      </c>
      <c r="P38" s="465">
        <f t="shared" si="14"/>
        <v>0</v>
      </c>
      <c r="Q38" s="465">
        <f t="shared" si="14"/>
        <v>0</v>
      </c>
      <c r="R38" s="465">
        <f t="shared" si="14"/>
        <v>0</v>
      </c>
      <c r="S38" s="465">
        <f t="shared" si="14"/>
        <v>0</v>
      </c>
      <c r="T38" s="465">
        <f t="shared" si="14"/>
        <v>0</v>
      </c>
      <c r="U38" s="465">
        <f t="shared" si="14"/>
        <v>0</v>
      </c>
      <c r="V38" s="465">
        <f t="shared" si="14"/>
        <v>0</v>
      </c>
      <c r="W38" s="465">
        <f t="shared" si="14"/>
        <v>0</v>
      </c>
      <c r="X38" s="465">
        <f t="shared" si="14"/>
        <v>0</v>
      </c>
      <c r="Y38" s="465">
        <v>27271.5</v>
      </c>
      <c r="Z38" s="465">
        <v>17399</v>
      </c>
      <c r="AA38" s="465"/>
      <c r="AB38" s="465"/>
      <c r="AC38" s="465"/>
      <c r="AD38" s="465"/>
      <c r="AE38" s="465">
        <f ca="1">SUM(AE28:AE37)</f>
        <v>0</v>
      </c>
      <c r="AF38" s="465">
        <f ca="1">SUM(AF28:AF37)</f>
        <v>305000</v>
      </c>
      <c r="AG38" s="465">
        <f ca="1">SUM(AG28:AG37)</f>
        <v>-305000</v>
      </c>
      <c r="AH38" s="3"/>
      <c r="AI38" s="465">
        <v>1606577.5</v>
      </c>
      <c r="AJ38" s="465">
        <f>SUM(AJ28:AJ37)</f>
        <v>915000</v>
      </c>
      <c r="AK38" s="3"/>
      <c r="AL38" s="3"/>
      <c r="AM38" s="3"/>
      <c r="AN38" s="3"/>
      <c r="AO38" s="3"/>
      <c r="AP38" s="3"/>
      <c r="AQ38" s="3"/>
      <c r="AR38" s="3"/>
    </row>
    <row r="39" spans="1:44" ht="19.5" customHeight="1" x14ac:dyDescent="0.3">
      <c r="A39" s="3"/>
      <c r="B39" s="466" t="s">
        <v>553</v>
      </c>
      <c r="C39" s="464" t="s">
        <v>535</v>
      </c>
      <c r="D39" s="3"/>
      <c r="E39" s="467">
        <f>$AI39/E$3</f>
        <v>245265.98583333334</v>
      </c>
      <c r="F39" s="467">
        <f ca="1">SUM(I39:T39)/LEFT($F$2,2)</f>
        <v>291979.6366666666</v>
      </c>
      <c r="G39" s="467">
        <f>AJ39/12</f>
        <v>552500</v>
      </c>
      <c r="H39" s="472"/>
      <c r="I39" s="467">
        <f>'Reporting 2021'!I50</f>
        <v>387460</v>
      </c>
      <c r="J39" s="467">
        <f>'Reporting 2021'!J50</f>
        <v>296375.80999999988</v>
      </c>
      <c r="K39" s="467">
        <f>'Reporting 2021'!K50</f>
        <v>176379.5</v>
      </c>
      <c r="L39" s="467">
        <f>'Reporting 2021'!L50</f>
        <v>15723.6</v>
      </c>
      <c r="M39" s="467">
        <f>Reporting!G74</f>
        <v>0</v>
      </c>
      <c r="N39" s="475">
        <f>Reporting!H74</f>
        <v>0</v>
      </c>
      <c r="O39" s="475">
        <f>Reporting!I74</f>
        <v>0</v>
      </c>
      <c r="P39" s="475">
        <f>Reporting!J74</f>
        <v>0</v>
      </c>
      <c r="Q39" s="475">
        <f>Reporting!K74</f>
        <v>0</v>
      </c>
      <c r="R39" s="475">
        <f>Reporting!L74</f>
        <v>0</v>
      </c>
      <c r="S39" s="475">
        <f>Reporting!M74</f>
        <v>0</v>
      </c>
      <c r="T39" s="475">
        <f>Reporting!N74</f>
        <v>0</v>
      </c>
      <c r="U39" s="3"/>
      <c r="V39" s="467">
        <f>'Reporting 2021'!M50</f>
        <v>0</v>
      </c>
      <c r="W39" s="467">
        <f>'Reporting 2021'!N50</f>
        <v>0</v>
      </c>
      <c r="X39" s="475">
        <f>Reporting!R75</f>
        <v>0</v>
      </c>
      <c r="Y39" s="467">
        <v>527830</v>
      </c>
      <c r="Z39" s="467">
        <v>178647</v>
      </c>
      <c r="AA39" s="467">
        <f>AJ39/12</f>
        <v>552500</v>
      </c>
      <c r="AB39" s="467">
        <f>AJ39/12</f>
        <v>552500</v>
      </c>
      <c r="AC39" s="467">
        <f>Y39</f>
        <v>527830</v>
      </c>
      <c r="AD39" s="467"/>
      <c r="AE39" s="467">
        <f>SUM(I39:T39)</f>
        <v>875938.9099999998</v>
      </c>
      <c r="AF39" s="467">
        <f ca="1">AJ39/12*$C$5</f>
        <v>2210000</v>
      </c>
      <c r="AG39" s="468"/>
      <c r="AH39" s="3"/>
      <c r="AI39" s="467">
        <v>2943191.83</v>
      </c>
      <c r="AJ39" s="467">
        <v>6630000</v>
      </c>
      <c r="AK39" s="3"/>
      <c r="AL39" s="3"/>
      <c r="AM39" s="3"/>
      <c r="AN39" s="3"/>
      <c r="AO39" s="3"/>
      <c r="AP39" s="3"/>
      <c r="AQ39" s="3"/>
      <c r="AR39" s="3"/>
    </row>
    <row r="40" spans="1:44" ht="19.5" customHeight="1" x14ac:dyDescent="0.3">
      <c r="A40" s="3"/>
      <c r="B40" s="41" t="s">
        <v>554</v>
      </c>
      <c r="C40" s="464" t="s">
        <v>535</v>
      </c>
      <c r="D40" s="3"/>
      <c r="E40" s="465"/>
      <c r="F40" s="465"/>
      <c r="G40" s="462"/>
      <c r="H40" s="472"/>
      <c r="I40" s="465">
        <f t="shared" ref="I40:X40" si="15">I38+I39</f>
        <v>387460</v>
      </c>
      <c r="J40" s="465">
        <f t="shared" si="15"/>
        <v>296375.80999999988</v>
      </c>
      <c r="K40" s="465">
        <f t="shared" si="15"/>
        <v>176379.5</v>
      </c>
      <c r="L40" s="465">
        <f t="shared" si="15"/>
        <v>15723.6</v>
      </c>
      <c r="M40" s="465">
        <f t="shared" si="15"/>
        <v>0</v>
      </c>
      <c r="N40" s="465">
        <f t="shared" si="15"/>
        <v>0</v>
      </c>
      <c r="O40" s="465">
        <f t="shared" si="15"/>
        <v>0</v>
      </c>
      <c r="P40" s="465">
        <f t="shared" si="15"/>
        <v>0</v>
      </c>
      <c r="Q40" s="465">
        <f t="shared" si="15"/>
        <v>0</v>
      </c>
      <c r="R40" s="465">
        <f t="shared" si="15"/>
        <v>0</v>
      </c>
      <c r="S40" s="465">
        <f t="shared" si="15"/>
        <v>0</v>
      </c>
      <c r="T40" s="465">
        <f t="shared" si="15"/>
        <v>0</v>
      </c>
      <c r="U40" s="465">
        <f t="shared" si="15"/>
        <v>0</v>
      </c>
      <c r="V40" s="465">
        <f t="shared" si="15"/>
        <v>0</v>
      </c>
      <c r="W40" s="465">
        <f t="shared" si="15"/>
        <v>0</v>
      </c>
      <c r="X40" s="465">
        <f t="shared" si="15"/>
        <v>0</v>
      </c>
      <c r="Y40" s="465">
        <f t="shared" ref="Y40:AJ40" si="16">Y39+Y38</f>
        <v>555101.5</v>
      </c>
      <c r="Z40" s="465">
        <f t="shared" si="16"/>
        <v>196046</v>
      </c>
      <c r="AA40" s="465">
        <f t="shared" si="16"/>
        <v>552500</v>
      </c>
      <c r="AB40" s="465">
        <f t="shared" si="16"/>
        <v>552500</v>
      </c>
      <c r="AC40" s="465">
        <f t="shared" si="16"/>
        <v>527830</v>
      </c>
      <c r="AD40" s="465">
        <f t="shared" si="16"/>
        <v>0</v>
      </c>
      <c r="AE40" s="465">
        <f t="shared" ca="1" si="16"/>
        <v>875938.9099999998</v>
      </c>
      <c r="AF40" s="465">
        <f t="shared" ca="1" si="16"/>
        <v>2515000</v>
      </c>
      <c r="AG40" s="465">
        <f t="shared" ca="1" si="16"/>
        <v>-305000</v>
      </c>
      <c r="AH40" s="465">
        <f t="shared" si="16"/>
        <v>0</v>
      </c>
      <c r="AI40" s="465">
        <f t="shared" si="16"/>
        <v>4549769.33</v>
      </c>
      <c r="AJ40" s="465">
        <f t="shared" si="16"/>
        <v>7545000</v>
      </c>
      <c r="AK40" s="474"/>
      <c r="AL40" s="474"/>
      <c r="AM40" s="474"/>
      <c r="AN40" s="474"/>
      <c r="AO40" s="474"/>
      <c r="AP40" s="474"/>
      <c r="AQ40" s="474"/>
      <c r="AR40" s="474"/>
    </row>
    <row r="41" spans="1:44" ht="19.5" customHeight="1" x14ac:dyDescent="0.3">
      <c r="A41" s="3"/>
      <c r="B41" s="41" t="s">
        <v>562</v>
      </c>
      <c r="C41" s="464"/>
      <c r="D41" s="3"/>
      <c r="E41" s="465"/>
      <c r="F41" s="465"/>
      <c r="G41" s="462"/>
      <c r="H41" s="472"/>
      <c r="I41" s="465">
        <f>I40</f>
        <v>387460</v>
      </c>
      <c r="J41" s="465">
        <f>I41+J40</f>
        <v>683835.80999999982</v>
      </c>
      <c r="K41" s="465">
        <f>K40+J41</f>
        <v>860215.30999999982</v>
      </c>
      <c r="L41" s="465">
        <f>L40+K41</f>
        <v>875938.9099999998</v>
      </c>
      <c r="M41" s="465"/>
      <c r="N41" s="473"/>
      <c r="O41" s="473"/>
      <c r="P41" s="473"/>
      <c r="Q41" s="473"/>
      <c r="R41" s="473"/>
      <c r="S41" s="473"/>
      <c r="T41" s="473"/>
      <c r="U41" s="3"/>
      <c r="V41" s="465">
        <f>L41+V40</f>
        <v>875938.9099999998</v>
      </c>
      <c r="W41" s="465">
        <f>V41+W40</f>
        <v>875938.9099999998</v>
      </c>
      <c r="X41" s="465">
        <f>W41+X40</f>
        <v>875938.9099999998</v>
      </c>
      <c r="Y41" s="465">
        <f>X41+Y40</f>
        <v>1431040.4099999997</v>
      </c>
      <c r="Z41" s="465">
        <f>Y41+Z40</f>
        <v>1627086.4099999997</v>
      </c>
      <c r="AA41" s="465">
        <f>Z41+AA40</f>
        <v>2179586.4099999997</v>
      </c>
      <c r="AB41" s="465"/>
      <c r="AC41" s="465"/>
      <c r="AD41" s="465"/>
      <c r="AE41" s="465"/>
      <c r="AF41" s="465"/>
      <c r="AG41" s="469"/>
      <c r="AH41" s="3"/>
      <c r="AI41" s="465"/>
      <c r="AJ41" s="465"/>
      <c r="AK41" s="474"/>
      <c r="AL41" s="474"/>
      <c r="AM41" s="474"/>
      <c r="AN41" s="474"/>
      <c r="AO41" s="474"/>
      <c r="AP41" s="474"/>
      <c r="AQ41" s="474"/>
      <c r="AR41" s="474"/>
    </row>
    <row r="42" spans="1:44" ht="19.5" customHeight="1" x14ac:dyDescent="0.3">
      <c r="A42" s="3"/>
      <c r="B42" s="41" t="s">
        <v>556</v>
      </c>
      <c r="C42" s="464"/>
      <c r="D42" s="3"/>
      <c r="E42" s="465"/>
      <c r="F42" s="465"/>
      <c r="G42" s="462"/>
      <c r="H42" s="472"/>
      <c r="I42" s="465">
        <f>(AJ39+AJ38)/12</f>
        <v>628750</v>
      </c>
      <c r="J42" s="465">
        <f>I42*2</f>
        <v>1257500</v>
      </c>
      <c r="K42" s="465">
        <f>I42*3</f>
        <v>1886250</v>
      </c>
      <c r="L42" s="465">
        <f>I42*4</f>
        <v>2515000</v>
      </c>
      <c r="M42" s="465">
        <f t="shared" ref="M42:U42" si="17">(AN39+AN38)/12</f>
        <v>0</v>
      </c>
      <c r="N42" s="465">
        <f t="shared" si="17"/>
        <v>0</v>
      </c>
      <c r="O42" s="465">
        <f t="shared" si="17"/>
        <v>0</v>
      </c>
      <c r="P42" s="465">
        <f t="shared" si="17"/>
        <v>0</v>
      </c>
      <c r="Q42" s="465">
        <f t="shared" si="17"/>
        <v>0</v>
      </c>
      <c r="R42" s="465">
        <f t="shared" si="17"/>
        <v>0</v>
      </c>
      <c r="S42" s="465">
        <f t="shared" si="17"/>
        <v>0</v>
      </c>
      <c r="T42" s="465">
        <f t="shared" si="17"/>
        <v>0</v>
      </c>
      <c r="U42" s="465">
        <f t="shared" si="17"/>
        <v>0</v>
      </c>
      <c r="V42" s="465">
        <f>I42*5</f>
        <v>3143750</v>
      </c>
      <c r="W42" s="465">
        <f>I42*6</f>
        <v>3772500</v>
      </c>
      <c r="X42" s="465">
        <f>I42*7</f>
        <v>4401250</v>
      </c>
      <c r="Y42" s="465">
        <f>I42*8</f>
        <v>5030000</v>
      </c>
      <c r="Z42" s="465">
        <f>I42*9</f>
        <v>5658750</v>
      </c>
      <c r="AA42" s="465">
        <f>I42*10</f>
        <v>6287500</v>
      </c>
      <c r="AB42" s="465">
        <f>I42*11</f>
        <v>6916250</v>
      </c>
      <c r="AC42" s="465">
        <f>I42*12</f>
        <v>7545000</v>
      </c>
      <c r="AD42" s="465"/>
      <c r="AE42" s="465"/>
      <c r="AF42" s="465"/>
      <c r="AG42" s="469"/>
      <c r="AH42" s="3"/>
      <c r="AI42" s="465"/>
      <c r="AJ42" s="465"/>
      <c r="AK42" s="474"/>
      <c r="AL42" s="474"/>
      <c r="AM42" s="474"/>
      <c r="AN42" s="474"/>
      <c r="AO42" s="474"/>
      <c r="AP42" s="474"/>
      <c r="AQ42" s="474"/>
      <c r="AR42" s="474"/>
    </row>
    <row r="43" spans="1:44" ht="19.5" customHeight="1" x14ac:dyDescent="0.3">
      <c r="A43" s="3"/>
      <c r="B43" s="41"/>
      <c r="C43" s="464"/>
      <c r="D43" s="3"/>
      <c r="E43" s="465"/>
      <c r="F43" s="465"/>
      <c r="G43" s="462"/>
      <c r="H43" s="472"/>
      <c r="I43" s="465"/>
      <c r="J43" s="465"/>
      <c r="K43" s="465"/>
      <c r="L43" s="465"/>
      <c r="M43" s="465"/>
      <c r="N43" s="473"/>
      <c r="O43" s="473"/>
      <c r="P43" s="473"/>
      <c r="Q43" s="473"/>
      <c r="R43" s="473"/>
      <c r="S43" s="473"/>
      <c r="T43" s="473"/>
      <c r="U43" s="3"/>
      <c r="V43" s="465"/>
      <c r="W43" s="465"/>
      <c r="X43" s="465"/>
      <c r="Y43" s="465"/>
      <c r="Z43" s="465"/>
      <c r="AA43" s="465"/>
      <c r="AB43" s="465"/>
      <c r="AC43" s="465"/>
      <c r="AD43" s="465"/>
      <c r="AE43" s="465"/>
      <c r="AF43" s="465"/>
      <c r="AG43" s="469"/>
      <c r="AH43" s="3"/>
      <c r="AI43" s="465"/>
      <c r="AJ43" s="465"/>
      <c r="AK43" s="474"/>
      <c r="AL43" s="474"/>
      <c r="AM43" s="474"/>
      <c r="AN43" s="474"/>
      <c r="AO43" s="474"/>
      <c r="AP43" s="474"/>
      <c r="AQ43" s="474"/>
      <c r="AR43" s="474"/>
    </row>
    <row r="44" spans="1:44" ht="19.5" customHeight="1" x14ac:dyDescent="0.3">
      <c r="A44" s="3"/>
      <c r="B44" s="194"/>
      <c r="C44" s="30"/>
      <c r="D44" s="3"/>
      <c r="E44" s="471"/>
      <c r="F44" s="471"/>
      <c r="G44" s="471"/>
      <c r="H44" s="3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3"/>
      <c r="V44" s="471"/>
      <c r="W44" s="471"/>
      <c r="X44" s="471"/>
      <c r="Y44" s="471"/>
      <c r="Z44" s="471"/>
      <c r="AA44" s="471"/>
      <c r="AB44" s="471"/>
      <c r="AC44" s="439"/>
      <c r="AD44" s="439"/>
      <c r="AE44" s="439"/>
      <c r="AF44" s="439"/>
      <c r="AG44" s="436"/>
      <c r="AH44" s="3"/>
      <c r="AI44" s="476"/>
      <c r="AJ44" s="437"/>
      <c r="AK44" s="3"/>
      <c r="AL44" s="3"/>
      <c r="AM44" s="3"/>
      <c r="AN44" s="3"/>
      <c r="AO44" s="3"/>
      <c r="AP44" s="3"/>
      <c r="AQ44" s="3"/>
      <c r="AR44" s="3"/>
    </row>
    <row r="45" spans="1:44" ht="19.5" customHeight="1" x14ac:dyDescent="0.3">
      <c r="A45" s="3"/>
      <c r="B45" s="438"/>
      <c r="C45" s="464"/>
      <c r="D45" s="41"/>
      <c r="E45" s="441" t="s">
        <v>513</v>
      </c>
      <c r="F45" s="442" t="s">
        <v>514</v>
      </c>
      <c r="G45" s="443" t="s">
        <v>514</v>
      </c>
      <c r="H45" s="3"/>
      <c r="I45" s="444" t="str">
        <f t="shared" ref="I45:T45" si="18">TEXT(I$2,"00")&amp;" "&amp;I$1</f>
        <v>01 2021</v>
      </c>
      <c r="J45" s="444" t="str">
        <f t="shared" si="18"/>
        <v>02 2021</v>
      </c>
      <c r="K45" s="444" t="str">
        <f t="shared" si="18"/>
        <v>03 2021</v>
      </c>
      <c r="L45" s="444" t="str">
        <f t="shared" si="18"/>
        <v>04 2021</v>
      </c>
      <c r="M45" s="444" t="str">
        <f t="shared" si="18"/>
        <v>05 2021</v>
      </c>
      <c r="N45" s="444" t="str">
        <f t="shared" si="18"/>
        <v>06 2021</v>
      </c>
      <c r="O45" s="444" t="str">
        <f t="shared" si="18"/>
        <v>07 2021</v>
      </c>
      <c r="P45" s="444" t="str">
        <f t="shared" si="18"/>
        <v>08 2021</v>
      </c>
      <c r="Q45" s="444" t="str">
        <f t="shared" si="18"/>
        <v>09 2021</v>
      </c>
      <c r="R45" s="444" t="str">
        <f t="shared" si="18"/>
        <v>10 2021</v>
      </c>
      <c r="S45" s="444" t="str">
        <f t="shared" si="18"/>
        <v>11 2021</v>
      </c>
      <c r="T45" s="444" t="str">
        <f t="shared" si="18"/>
        <v>12 2021</v>
      </c>
      <c r="U45" s="3"/>
      <c r="V45" s="446" t="s">
        <v>522</v>
      </c>
      <c r="W45" s="446" t="s">
        <v>523</v>
      </c>
      <c r="X45" s="446" t="s">
        <v>524</v>
      </c>
      <c r="Y45" s="446" t="s">
        <v>525</v>
      </c>
      <c r="Z45" s="446" t="s">
        <v>526</v>
      </c>
      <c r="AA45" s="447" t="s">
        <v>519</v>
      </c>
      <c r="AB45" s="448" t="s">
        <v>520</v>
      </c>
      <c r="AC45" s="448" t="s">
        <v>521</v>
      </c>
      <c r="AD45" s="477"/>
      <c r="AE45" s="444" t="str">
        <f ca="1">AE$2&amp;" "&amp;AE$1</f>
        <v>3 YTD 2021</v>
      </c>
      <c r="AF45" s="450" t="str">
        <f ca="1">AF$2&amp;" "&amp;AF$1</f>
        <v>3 YTD 2021</v>
      </c>
      <c r="AG45" s="451" t="str">
        <f ca="1">AG$2&amp;" "&amp;AG$1</f>
        <v>3 YTD 2021</v>
      </c>
      <c r="AH45" s="3"/>
      <c r="AI45" s="452" t="str">
        <f>AI$2&amp;" "&amp;AI$1</f>
        <v>12 YTD 2020</v>
      </c>
      <c r="AJ45" s="450" t="str">
        <f>AJ$2&amp;" "&amp;AJ$1</f>
        <v>12 YTD 2021</v>
      </c>
      <c r="AK45" s="3"/>
      <c r="AL45" s="3"/>
      <c r="AM45" s="3"/>
      <c r="AN45" s="3"/>
      <c r="AO45" s="3"/>
      <c r="AP45" s="3"/>
      <c r="AQ45" s="3"/>
      <c r="AR45" s="3"/>
    </row>
    <row r="46" spans="1:44" ht="19.5" customHeight="1" x14ac:dyDescent="0.3">
      <c r="A46" s="3"/>
      <c r="B46" s="438"/>
      <c r="C46" s="191"/>
      <c r="D46" s="3"/>
      <c r="E46" s="441" t="s">
        <v>40</v>
      </c>
      <c r="F46" s="442" t="s">
        <v>40</v>
      </c>
      <c r="G46" s="443" t="s">
        <v>441</v>
      </c>
      <c r="H46" s="3"/>
      <c r="I46" s="446" t="s">
        <v>40</v>
      </c>
      <c r="J46" s="446" t="s">
        <v>40</v>
      </c>
      <c r="K46" s="446" t="s">
        <v>40</v>
      </c>
      <c r="L46" s="446" t="s">
        <v>40</v>
      </c>
      <c r="M46" s="444" t="s">
        <v>40</v>
      </c>
      <c r="N46" s="444" t="s">
        <v>40</v>
      </c>
      <c r="O46" s="444" t="s">
        <v>40</v>
      </c>
      <c r="P46" s="444" t="s">
        <v>40</v>
      </c>
      <c r="Q46" s="444" t="s">
        <v>40</v>
      </c>
      <c r="R46" s="444" t="s">
        <v>40</v>
      </c>
      <c r="S46" s="444" t="s">
        <v>40</v>
      </c>
      <c r="T46" s="444" t="s">
        <v>40</v>
      </c>
      <c r="U46" s="478" t="s">
        <v>40</v>
      </c>
      <c r="V46" s="446" t="s">
        <v>40</v>
      </c>
      <c r="W46" s="446" t="s">
        <v>40</v>
      </c>
      <c r="X46" s="446" t="s">
        <v>40</v>
      </c>
      <c r="Y46" s="446" t="s">
        <v>40</v>
      </c>
      <c r="Z46" s="446" t="s">
        <v>40</v>
      </c>
      <c r="AA46" s="447" t="s">
        <v>528</v>
      </c>
      <c r="AB46" s="448" t="s">
        <v>528</v>
      </c>
      <c r="AC46" s="448" t="s">
        <v>528</v>
      </c>
      <c r="AD46" s="477"/>
      <c r="AE46" s="444" t="s">
        <v>529</v>
      </c>
      <c r="AF46" s="450" t="s">
        <v>530</v>
      </c>
      <c r="AG46" s="451" t="s">
        <v>531</v>
      </c>
      <c r="AH46" s="3"/>
      <c r="AI46" s="453" t="s">
        <v>529</v>
      </c>
      <c r="AJ46" s="454" t="s">
        <v>530</v>
      </c>
      <c r="AK46" s="3"/>
      <c r="AL46" s="3"/>
      <c r="AM46" s="3"/>
      <c r="AN46" s="3"/>
      <c r="AO46" s="3"/>
      <c r="AP46" s="3"/>
      <c r="AQ46" s="3"/>
      <c r="AR46" s="3"/>
    </row>
    <row r="47" spans="1:44" ht="19.5" customHeight="1" x14ac:dyDescent="0.3">
      <c r="A47" s="3"/>
      <c r="B47" s="455" t="s">
        <v>563</v>
      </c>
      <c r="C47" s="3"/>
      <c r="D47" s="3"/>
      <c r="E47" s="8"/>
      <c r="F47" s="8"/>
      <c r="G47" s="8"/>
      <c r="H47" s="3"/>
      <c r="I47" s="437"/>
      <c r="J47" s="437"/>
      <c r="K47" s="437"/>
      <c r="L47" s="437"/>
      <c r="M47" s="439"/>
      <c r="N47" s="439"/>
      <c r="O47" s="439"/>
      <c r="P47" s="439"/>
      <c r="Q47" s="439"/>
      <c r="R47" s="439"/>
      <c r="S47" s="439"/>
      <c r="T47" s="439"/>
      <c r="U47" s="3"/>
      <c r="V47" s="437"/>
      <c r="W47" s="437"/>
      <c r="X47" s="437"/>
      <c r="Y47" s="437"/>
      <c r="Z47" s="437"/>
      <c r="AA47" s="437"/>
      <c r="AB47" s="439"/>
      <c r="AC47" s="439"/>
      <c r="AD47" s="439"/>
      <c r="AE47" s="439"/>
      <c r="AF47" s="439"/>
      <c r="AG47" s="436"/>
      <c r="AH47" s="3"/>
      <c r="AI47" s="437"/>
      <c r="AJ47" s="437"/>
      <c r="AK47" s="3"/>
      <c r="AL47" s="3"/>
      <c r="AM47" s="3"/>
      <c r="AN47" s="3"/>
      <c r="AO47" s="3"/>
      <c r="AP47" s="3"/>
      <c r="AQ47" s="3"/>
      <c r="AR47" s="3"/>
    </row>
    <row r="48" spans="1:44" ht="19.5" customHeight="1" x14ac:dyDescent="0.3">
      <c r="A48" s="3"/>
      <c r="B48" s="474" t="s">
        <v>564</v>
      </c>
      <c r="C48" s="464" t="s">
        <v>565</v>
      </c>
      <c r="D48" s="3"/>
      <c r="E48" s="462"/>
      <c r="F48" s="462">
        <f ca="1">IFERROR(1/F$3,1)*SUM(I48:T48)</f>
        <v>112.79066666666665</v>
      </c>
      <c r="G48" s="462">
        <f>AJ48/12</f>
        <v>95.75</v>
      </c>
      <c r="H48" s="463"/>
      <c r="I48" s="462">
        <v>80.292000000000002</v>
      </c>
      <c r="J48" s="462">
        <v>75.122</v>
      </c>
      <c r="K48" s="462">
        <v>91.468999999999994</v>
      </c>
      <c r="L48" s="462">
        <v>91.489000000000004</v>
      </c>
      <c r="M48" s="462"/>
      <c r="N48" s="462"/>
      <c r="O48" s="462"/>
      <c r="P48" s="462"/>
      <c r="Q48" s="462"/>
      <c r="R48" s="462"/>
      <c r="S48" s="462"/>
      <c r="T48" s="462"/>
      <c r="U48" s="463"/>
      <c r="V48" s="462">
        <v>99.927999999999997</v>
      </c>
      <c r="W48" s="462">
        <v>96.218999999999994</v>
      </c>
      <c r="X48" s="462">
        <f>86.952</f>
        <v>86.951999999999998</v>
      </c>
      <c r="Y48" s="462">
        <f>AJ48/12</f>
        <v>95.75</v>
      </c>
      <c r="Z48" s="462">
        <f>AJ48/12</f>
        <v>95.75</v>
      </c>
      <c r="AA48" s="462">
        <f>AJ48/12</f>
        <v>95.75</v>
      </c>
      <c r="AB48" s="462">
        <f>AJ48/12</f>
        <v>95.75</v>
      </c>
      <c r="AC48" s="462">
        <f>AJ48/12</f>
        <v>95.75</v>
      </c>
      <c r="AD48" s="462"/>
      <c r="AE48" s="462">
        <f>SUM(I48:L48)</f>
        <v>338.37199999999996</v>
      </c>
      <c r="AF48" s="462">
        <f ca="1">AC48*C5</f>
        <v>383</v>
      </c>
      <c r="AG48" s="463"/>
      <c r="AH48" s="463"/>
      <c r="AI48" s="462">
        <f>SUM(M48:P48)</f>
        <v>0</v>
      </c>
      <c r="AJ48" s="462">
        <v>1149</v>
      </c>
      <c r="AK48" s="3"/>
      <c r="AL48" s="3"/>
      <c r="AM48" s="3"/>
      <c r="AN48" s="3"/>
      <c r="AO48" s="3"/>
      <c r="AP48" s="3"/>
      <c r="AQ48" s="3"/>
      <c r="AR48" s="3"/>
    </row>
    <row r="49" spans="1:44" ht="19.5" customHeight="1" x14ac:dyDescent="0.3">
      <c r="A49" s="3"/>
      <c r="B49" s="474" t="s">
        <v>566</v>
      </c>
      <c r="C49" s="464"/>
      <c r="D49" s="3"/>
      <c r="E49" s="462"/>
      <c r="F49" s="462"/>
      <c r="G49" s="462"/>
      <c r="H49" s="463"/>
      <c r="I49" s="462">
        <f>I48</f>
        <v>80.292000000000002</v>
      </c>
      <c r="J49" s="462">
        <f>J48+I49</f>
        <v>155.41399999999999</v>
      </c>
      <c r="K49" s="462">
        <f>K48+J49</f>
        <v>246.88299999999998</v>
      </c>
      <c r="L49" s="462">
        <f>L48+K49</f>
        <v>338.37199999999996</v>
      </c>
      <c r="M49" s="462"/>
      <c r="N49" s="462"/>
      <c r="O49" s="462"/>
      <c r="P49" s="462"/>
      <c r="Q49" s="462"/>
      <c r="R49" s="462"/>
      <c r="S49" s="462"/>
      <c r="T49" s="462"/>
      <c r="U49" s="463"/>
      <c r="V49" s="462">
        <f>L49+V48</f>
        <v>438.29999999999995</v>
      </c>
      <c r="W49" s="462">
        <f t="shared" ref="W49:AC49" si="19">V49+W48</f>
        <v>534.51900000000001</v>
      </c>
      <c r="X49" s="462">
        <f t="shared" si="19"/>
        <v>621.471</v>
      </c>
      <c r="Y49" s="462">
        <f t="shared" si="19"/>
        <v>717.221</v>
      </c>
      <c r="Z49" s="462">
        <f t="shared" si="19"/>
        <v>812.971</v>
      </c>
      <c r="AA49" s="462">
        <f t="shared" si="19"/>
        <v>908.721</v>
      </c>
      <c r="AB49" s="462">
        <f t="shared" si="19"/>
        <v>1004.471</v>
      </c>
      <c r="AC49" s="462">
        <f t="shared" si="19"/>
        <v>1100.221</v>
      </c>
      <c r="AD49" s="462"/>
      <c r="AE49" s="462"/>
      <c r="AF49" s="462"/>
      <c r="AG49" s="463"/>
      <c r="AH49" s="463"/>
      <c r="AI49" s="462"/>
      <c r="AJ49" s="462"/>
      <c r="AK49" s="3"/>
      <c r="AL49" s="3"/>
      <c r="AM49" s="3"/>
      <c r="AN49" s="3"/>
      <c r="AO49" s="3"/>
      <c r="AP49" s="3"/>
      <c r="AQ49" s="3"/>
      <c r="AR49" s="3"/>
    </row>
    <row r="50" spans="1:44" ht="19.5" customHeight="1" x14ac:dyDescent="0.3">
      <c r="A50" s="3"/>
      <c r="B50" s="474" t="s">
        <v>567</v>
      </c>
      <c r="C50" s="464" t="s">
        <v>565</v>
      </c>
      <c r="D50" s="3"/>
      <c r="E50" s="462"/>
      <c r="F50" s="462">
        <f ca="1">IFERROR(1/F$3,1)*SUM(I50:T50)</f>
        <v>319.16666666666663</v>
      </c>
      <c r="G50" s="462">
        <f>AJ50/12</f>
        <v>95.75</v>
      </c>
      <c r="H50" s="463"/>
      <c r="I50" s="462">
        <f>AJ48/12</f>
        <v>95.75</v>
      </c>
      <c r="J50" s="462">
        <f>I50*2</f>
        <v>191.5</v>
      </c>
      <c r="K50" s="462">
        <f>I50*3</f>
        <v>287.25</v>
      </c>
      <c r="L50" s="462">
        <f>I50*4</f>
        <v>383</v>
      </c>
      <c r="M50" s="462"/>
      <c r="N50" s="462"/>
      <c r="O50" s="462"/>
      <c r="P50" s="462"/>
      <c r="Q50" s="462"/>
      <c r="R50" s="462"/>
      <c r="S50" s="462"/>
      <c r="T50" s="462"/>
      <c r="U50" s="463"/>
      <c r="V50" s="462">
        <f>I50*5</f>
        <v>478.75</v>
      </c>
      <c r="W50" s="462">
        <f>I50*6</f>
        <v>574.5</v>
      </c>
      <c r="X50" s="462">
        <f>I50*7</f>
        <v>670.25</v>
      </c>
      <c r="Y50" s="462">
        <f>I50*8</f>
        <v>766</v>
      </c>
      <c r="Z50" s="462">
        <f>I50*9</f>
        <v>861.75</v>
      </c>
      <c r="AA50" s="462">
        <f>I50*10</f>
        <v>957.5</v>
      </c>
      <c r="AB50" s="462">
        <f>I50*11</f>
        <v>1053.25</v>
      </c>
      <c r="AC50" s="462">
        <f>I50*12</f>
        <v>1149</v>
      </c>
      <c r="AD50" s="462"/>
      <c r="AE50" s="462">
        <f>SUM(I50:L50)</f>
        <v>957.5</v>
      </c>
      <c r="AF50" s="462">
        <f>AC50*C6</f>
        <v>0</v>
      </c>
      <c r="AG50" s="463"/>
      <c r="AH50" s="463"/>
      <c r="AI50" s="462">
        <f>SUM(M50:P50)</f>
        <v>0</v>
      </c>
      <c r="AJ50" s="462">
        <v>1149</v>
      </c>
      <c r="AK50" s="3"/>
      <c r="AL50" s="3"/>
      <c r="AM50" s="3"/>
      <c r="AN50" s="3"/>
      <c r="AO50" s="3"/>
      <c r="AP50" s="3"/>
      <c r="AQ50" s="3"/>
      <c r="AR50" s="3"/>
    </row>
    <row r="51" spans="1:44" ht="19.5" customHeight="1" x14ac:dyDescent="0.3">
      <c r="A51" s="3"/>
      <c r="B51" s="474" t="s">
        <v>568</v>
      </c>
      <c r="C51" s="464" t="s">
        <v>569</v>
      </c>
      <c r="D51" s="3"/>
      <c r="E51" s="462"/>
      <c r="F51" s="462">
        <f ca="1">IFERROR(1/F$3,1)*SUM(I51:T51)</f>
        <v>9270</v>
      </c>
      <c r="G51" s="462">
        <f>AJ51/12</f>
        <v>17833.333333333332</v>
      </c>
      <c r="H51" s="463"/>
      <c r="I51" s="462">
        <v>10974</v>
      </c>
      <c r="J51" s="462">
        <v>11021</v>
      </c>
      <c r="K51" s="462">
        <v>464</v>
      </c>
      <c r="L51" s="462">
        <v>5351</v>
      </c>
      <c r="M51" s="462"/>
      <c r="N51" s="462"/>
      <c r="O51" s="462"/>
      <c r="P51" s="462"/>
      <c r="Q51" s="462"/>
      <c r="R51" s="462"/>
      <c r="S51" s="462"/>
      <c r="T51" s="462"/>
      <c r="U51" s="463"/>
      <c r="V51" s="462">
        <v>4939</v>
      </c>
      <c r="W51" s="462">
        <v>-17669</v>
      </c>
      <c r="X51" s="462">
        <v>68299</v>
      </c>
      <c r="Y51" s="462">
        <f>G51</f>
        <v>17833.333333333332</v>
      </c>
      <c r="Z51" s="462">
        <f>V51</f>
        <v>4939</v>
      </c>
      <c r="AA51" s="462">
        <f>W51</f>
        <v>-17669</v>
      </c>
      <c r="AB51" s="462">
        <f>X51</f>
        <v>68299</v>
      </c>
      <c r="AC51" s="462">
        <f>Y51</f>
        <v>17833.333333333332</v>
      </c>
      <c r="AD51" s="462"/>
      <c r="AE51" s="462">
        <f>SUM(I51:K51)</f>
        <v>22459</v>
      </c>
      <c r="AF51" s="462">
        <f ca="1">AC51*C5</f>
        <v>71333.333333333328</v>
      </c>
      <c r="AG51" s="463"/>
      <c r="AH51" s="463"/>
      <c r="AI51" s="462">
        <f>SUM(M51:O51)</f>
        <v>0</v>
      </c>
      <c r="AJ51" s="462">
        <v>214000</v>
      </c>
      <c r="AK51" s="3"/>
      <c r="AL51" s="3"/>
      <c r="AM51" s="3"/>
      <c r="AN51" s="3"/>
      <c r="AO51" s="3"/>
      <c r="AP51" s="3"/>
      <c r="AQ51" s="3"/>
      <c r="AR51" s="3"/>
    </row>
    <row r="52" spans="1:44" ht="19.5" customHeight="1" x14ac:dyDescent="0.3">
      <c r="A52" s="3"/>
      <c r="B52" s="474" t="s">
        <v>570</v>
      </c>
      <c r="C52" s="464"/>
      <c r="D52" s="3"/>
      <c r="E52" s="462"/>
      <c r="F52" s="462"/>
      <c r="G52" s="462"/>
      <c r="H52" s="463"/>
      <c r="I52" s="462">
        <f>I51</f>
        <v>10974</v>
      </c>
      <c r="J52" s="462">
        <f>J51+I52</f>
        <v>21995</v>
      </c>
      <c r="K52" s="462">
        <f>J52+K51</f>
        <v>22459</v>
      </c>
      <c r="L52" s="462">
        <f>K52+L51</f>
        <v>27810</v>
      </c>
      <c r="M52" s="462"/>
      <c r="N52" s="462"/>
      <c r="O52" s="462"/>
      <c r="P52" s="462"/>
      <c r="Q52" s="462"/>
      <c r="R52" s="462"/>
      <c r="S52" s="462"/>
      <c r="T52" s="462"/>
      <c r="U52" s="463"/>
      <c r="V52" s="462">
        <f>L52+V51</f>
        <v>32749</v>
      </c>
      <c r="W52" s="462">
        <f t="shared" ref="W52:AC52" si="20">V52+W51</f>
        <v>15080</v>
      </c>
      <c r="X52" s="462">
        <f t="shared" si="20"/>
        <v>83379</v>
      </c>
      <c r="Y52" s="462">
        <f t="shared" si="20"/>
        <v>101212.33333333333</v>
      </c>
      <c r="Z52" s="462">
        <f t="shared" si="20"/>
        <v>106151.33333333333</v>
      </c>
      <c r="AA52" s="462">
        <f t="shared" si="20"/>
        <v>88482.333333333328</v>
      </c>
      <c r="AB52" s="462">
        <f t="shared" si="20"/>
        <v>156781.33333333331</v>
      </c>
      <c r="AC52" s="462">
        <f t="shared" si="20"/>
        <v>174614.66666666666</v>
      </c>
      <c r="AD52" s="462"/>
      <c r="AE52" s="462"/>
      <c r="AF52" s="462"/>
      <c r="AG52" s="463"/>
      <c r="AH52" s="463"/>
      <c r="AI52" s="462"/>
      <c r="AJ52" s="462"/>
      <c r="AK52" s="3"/>
      <c r="AL52" s="3"/>
      <c r="AM52" s="3"/>
      <c r="AN52" s="3"/>
      <c r="AO52" s="3"/>
      <c r="AP52" s="3"/>
      <c r="AQ52" s="3"/>
      <c r="AR52" s="3"/>
    </row>
    <row r="53" spans="1:44" ht="19.5" customHeight="1" x14ac:dyDescent="0.3">
      <c r="A53" s="3"/>
      <c r="B53" s="474" t="s">
        <v>571</v>
      </c>
      <c r="C53" s="464" t="s">
        <v>569</v>
      </c>
      <c r="D53" s="3"/>
      <c r="E53" s="462"/>
      <c r="F53" s="462">
        <f ca="1">IFERROR(1/F$3,1)*SUM(I53:T53)</f>
        <v>5052777.7777777771</v>
      </c>
      <c r="G53" s="462">
        <f>AJ53/12</f>
        <v>17833.333333333332</v>
      </c>
      <c r="H53" s="463"/>
      <c r="I53" s="462">
        <f>AJ51/12</f>
        <v>17833.333333333332</v>
      </c>
      <c r="J53" s="462">
        <f>I53*2</f>
        <v>35666.666666666664</v>
      </c>
      <c r="K53" s="462">
        <f>I53*3</f>
        <v>53500</v>
      </c>
      <c r="L53" s="462">
        <f>I53*4</f>
        <v>71333.333333333328</v>
      </c>
      <c r="M53" s="462">
        <f t="shared" ref="M53:U53" si="21">K53*3</f>
        <v>160500</v>
      </c>
      <c r="N53" s="462">
        <f t="shared" si="21"/>
        <v>214000</v>
      </c>
      <c r="O53" s="462">
        <f t="shared" si="21"/>
        <v>481500</v>
      </c>
      <c r="P53" s="462">
        <f t="shared" si="21"/>
        <v>642000</v>
      </c>
      <c r="Q53" s="462">
        <f t="shared" si="21"/>
        <v>1444500</v>
      </c>
      <c r="R53" s="462">
        <f t="shared" si="21"/>
        <v>1926000</v>
      </c>
      <c r="S53" s="462">
        <f t="shared" si="21"/>
        <v>4333500</v>
      </c>
      <c r="T53" s="462">
        <f t="shared" si="21"/>
        <v>5778000</v>
      </c>
      <c r="U53" s="462">
        <f t="shared" si="21"/>
        <v>13000500</v>
      </c>
      <c r="V53" s="462">
        <f>I53*5</f>
        <v>89166.666666666657</v>
      </c>
      <c r="W53" s="462">
        <f>I53*6</f>
        <v>107000</v>
      </c>
      <c r="X53" s="462">
        <f>I53*7</f>
        <v>124833.33333333333</v>
      </c>
      <c r="Y53" s="462">
        <f>I53*8</f>
        <v>142666.66666666666</v>
      </c>
      <c r="Z53" s="462">
        <f>I53*9</f>
        <v>160500</v>
      </c>
      <c r="AA53" s="462">
        <f>I53*10</f>
        <v>178333.33333333331</v>
      </c>
      <c r="AB53" s="462">
        <f>I53*11</f>
        <v>196166.66666666666</v>
      </c>
      <c r="AC53" s="462">
        <f>I53*12</f>
        <v>214000</v>
      </c>
      <c r="AD53" s="462">
        <f t="shared" ref="AD53:AI53" si="22">AB53*3</f>
        <v>588500</v>
      </c>
      <c r="AE53" s="462">
        <f t="shared" si="22"/>
        <v>642000</v>
      </c>
      <c r="AF53" s="462">
        <f t="shared" si="22"/>
        <v>1765500</v>
      </c>
      <c r="AG53" s="462">
        <f t="shared" si="22"/>
        <v>1926000</v>
      </c>
      <c r="AH53" s="462">
        <f t="shared" si="22"/>
        <v>5296500</v>
      </c>
      <c r="AI53" s="462">
        <f t="shared" si="22"/>
        <v>5778000</v>
      </c>
      <c r="AJ53" s="462">
        <v>214000</v>
      </c>
      <c r="AK53" s="3"/>
      <c r="AL53" s="3"/>
      <c r="AM53" s="3"/>
      <c r="AN53" s="3"/>
      <c r="AO53" s="3"/>
      <c r="AP53" s="3"/>
      <c r="AQ53" s="3"/>
      <c r="AR53" s="3"/>
    </row>
    <row r="54" spans="1:44" ht="19.5" customHeight="1" x14ac:dyDescent="0.3">
      <c r="A54" s="3"/>
      <c r="B54" s="474" t="s">
        <v>572</v>
      </c>
      <c r="C54" s="464" t="s">
        <v>569</v>
      </c>
      <c r="D54" s="3"/>
      <c r="E54" s="462"/>
      <c r="F54" s="462">
        <f ca="1">IFERROR(1/F$3,1)*SUM(I54:T54)</f>
        <v>0</v>
      </c>
      <c r="G54" s="462">
        <f>AJ54/12</f>
        <v>41666.666666666664</v>
      </c>
      <c r="H54" s="463"/>
      <c r="I54" s="462">
        <f t="shared" ref="I54:AA54" si="23">I33+I34+I35</f>
        <v>0</v>
      </c>
      <c r="J54" s="462">
        <f t="shared" si="23"/>
        <v>0</v>
      </c>
      <c r="K54" s="462">
        <f t="shared" si="23"/>
        <v>0</v>
      </c>
      <c r="L54" s="462">
        <f t="shared" si="23"/>
        <v>0</v>
      </c>
      <c r="M54" s="462">
        <f t="shared" si="23"/>
        <v>0</v>
      </c>
      <c r="N54" s="462">
        <f t="shared" si="23"/>
        <v>0</v>
      </c>
      <c r="O54" s="462">
        <f t="shared" si="23"/>
        <v>0</v>
      </c>
      <c r="P54" s="462">
        <f t="shared" si="23"/>
        <v>0</v>
      </c>
      <c r="Q54" s="462">
        <f t="shared" si="23"/>
        <v>0</v>
      </c>
      <c r="R54" s="462">
        <f t="shared" si="23"/>
        <v>0</v>
      </c>
      <c r="S54" s="462">
        <f t="shared" si="23"/>
        <v>0</v>
      </c>
      <c r="T54" s="462">
        <f t="shared" si="23"/>
        <v>0</v>
      </c>
      <c r="U54" s="462">
        <f t="shared" si="23"/>
        <v>0</v>
      </c>
      <c r="V54" s="462">
        <f t="shared" si="23"/>
        <v>0</v>
      </c>
      <c r="W54" s="462">
        <f t="shared" si="23"/>
        <v>0</v>
      </c>
      <c r="X54" s="462">
        <f t="shared" si="23"/>
        <v>0</v>
      </c>
      <c r="Y54" s="462">
        <f t="shared" si="23"/>
        <v>27271.5</v>
      </c>
      <c r="Z54" s="462">
        <f t="shared" si="23"/>
        <v>17358.5</v>
      </c>
      <c r="AA54" s="462">
        <f t="shared" si="23"/>
        <v>45416.666666666664</v>
      </c>
      <c r="AB54" s="462">
        <f>AJ54/12</f>
        <v>41666.666666666664</v>
      </c>
      <c r="AC54" s="462">
        <f>AJ54/12</f>
        <v>41666.666666666664</v>
      </c>
      <c r="AD54" s="462"/>
      <c r="AE54" s="462">
        <f>SUM(I54:K54)</f>
        <v>0</v>
      </c>
      <c r="AF54" s="462">
        <f ca="1">AC54*C5</f>
        <v>166666.66666666666</v>
      </c>
      <c r="AG54" s="463"/>
      <c r="AH54" s="463"/>
      <c r="AI54" s="462">
        <f>SUM(M54:O54)</f>
        <v>0</v>
      </c>
      <c r="AJ54" s="462">
        <v>500000</v>
      </c>
      <c r="AK54" s="3"/>
      <c r="AL54" s="3"/>
      <c r="AM54" s="3"/>
      <c r="AN54" s="3"/>
      <c r="AO54" s="3"/>
      <c r="AP54" s="3"/>
      <c r="AQ54" s="3"/>
      <c r="AR54" s="3"/>
    </row>
    <row r="55" spans="1:44" ht="19.5" customHeight="1" x14ac:dyDescent="0.3">
      <c r="A55" s="3"/>
      <c r="B55" s="474" t="s">
        <v>573</v>
      </c>
      <c r="C55" s="464"/>
      <c r="D55" s="3"/>
      <c r="E55" s="462"/>
      <c r="F55" s="462"/>
      <c r="G55" s="462"/>
      <c r="H55" s="463"/>
      <c r="I55" s="462">
        <f>I54</f>
        <v>0</v>
      </c>
      <c r="J55" s="462">
        <f>I55+J54</f>
        <v>0</v>
      </c>
      <c r="K55" s="462">
        <f>J55+K54</f>
        <v>0</v>
      </c>
      <c r="L55" s="462">
        <f>K55+L54</f>
        <v>0</v>
      </c>
      <c r="M55" s="462">
        <f t="shared" ref="M55:U55" si="24">M54</f>
        <v>0</v>
      </c>
      <c r="N55" s="462">
        <f t="shared" si="24"/>
        <v>0</v>
      </c>
      <c r="O55" s="462">
        <f t="shared" si="24"/>
        <v>0</v>
      </c>
      <c r="P55" s="462">
        <f t="shared" si="24"/>
        <v>0</v>
      </c>
      <c r="Q55" s="462">
        <f t="shared" si="24"/>
        <v>0</v>
      </c>
      <c r="R55" s="462">
        <f t="shared" si="24"/>
        <v>0</v>
      </c>
      <c r="S55" s="462">
        <f t="shared" si="24"/>
        <v>0</v>
      </c>
      <c r="T55" s="462">
        <f t="shared" si="24"/>
        <v>0</v>
      </c>
      <c r="U55" s="462">
        <f t="shared" si="24"/>
        <v>0</v>
      </c>
      <c r="V55" s="462">
        <f>L55+V54</f>
        <v>0</v>
      </c>
      <c r="W55" s="462">
        <f t="shared" ref="W55:AI55" si="25">V55+W54</f>
        <v>0</v>
      </c>
      <c r="X55" s="462">
        <f t="shared" si="25"/>
        <v>0</v>
      </c>
      <c r="Y55" s="462">
        <f t="shared" si="25"/>
        <v>27271.5</v>
      </c>
      <c r="Z55" s="462">
        <f t="shared" si="25"/>
        <v>44630</v>
      </c>
      <c r="AA55" s="462">
        <f t="shared" si="25"/>
        <v>90046.666666666657</v>
      </c>
      <c r="AB55" s="462">
        <f t="shared" si="25"/>
        <v>131713.33333333331</v>
      </c>
      <c r="AC55" s="462">
        <f t="shared" si="25"/>
        <v>173379.99999999997</v>
      </c>
      <c r="AD55" s="462">
        <f t="shared" si="25"/>
        <v>173379.99999999997</v>
      </c>
      <c r="AE55" s="462">
        <f t="shared" si="25"/>
        <v>173379.99999999997</v>
      </c>
      <c r="AF55" s="462">
        <f t="shared" ca="1" si="25"/>
        <v>340046.66666666663</v>
      </c>
      <c r="AG55" s="462">
        <f t="shared" ca="1" si="25"/>
        <v>340046.66666666663</v>
      </c>
      <c r="AH55" s="462">
        <f t="shared" ca="1" si="25"/>
        <v>340046.66666666663</v>
      </c>
      <c r="AI55" s="462">
        <f t="shared" ca="1" si="25"/>
        <v>340046.66666666663</v>
      </c>
      <c r="AJ55" s="462"/>
      <c r="AK55" s="3"/>
      <c r="AL55" s="3"/>
      <c r="AM55" s="3"/>
      <c r="AN55" s="3"/>
      <c r="AO55" s="3"/>
      <c r="AP55" s="3"/>
      <c r="AQ55" s="3"/>
      <c r="AR55" s="3"/>
    </row>
    <row r="56" spans="1:44" ht="19.5" customHeight="1" x14ac:dyDescent="0.3">
      <c r="A56" s="3"/>
      <c r="B56" s="33" t="s">
        <v>574</v>
      </c>
      <c r="C56" s="3"/>
      <c r="D56" s="3"/>
      <c r="E56" s="8"/>
      <c r="F56" s="8"/>
      <c r="G56" s="8"/>
      <c r="H56" s="3"/>
      <c r="I56" s="462">
        <f>AJ56/12</f>
        <v>41666.666666666664</v>
      </c>
      <c r="J56" s="462">
        <f>I56*2</f>
        <v>83333.333333333328</v>
      </c>
      <c r="K56" s="462">
        <f>I56*3</f>
        <v>125000</v>
      </c>
      <c r="L56" s="462">
        <f>I56*4</f>
        <v>166666.66666666666</v>
      </c>
      <c r="M56" s="462"/>
      <c r="N56" s="462"/>
      <c r="O56" s="462"/>
      <c r="P56" s="462"/>
      <c r="Q56" s="462"/>
      <c r="R56" s="462"/>
      <c r="S56" s="462"/>
      <c r="T56" s="462"/>
      <c r="U56" s="463"/>
      <c r="V56" s="462">
        <f>I56*5</f>
        <v>208333.33333333331</v>
      </c>
      <c r="W56" s="462">
        <f>I56*6</f>
        <v>250000</v>
      </c>
      <c r="X56" s="462">
        <f>I56*7</f>
        <v>291666.66666666663</v>
      </c>
      <c r="Y56" s="462">
        <f>I56*8</f>
        <v>333333.33333333331</v>
      </c>
      <c r="Z56" s="462">
        <f>I56*9</f>
        <v>375000</v>
      </c>
      <c r="AA56" s="462">
        <f>I56*10</f>
        <v>416666.66666666663</v>
      </c>
      <c r="AB56" s="462">
        <f>I56*11</f>
        <v>458333.33333333331</v>
      </c>
      <c r="AC56" s="462">
        <f>I56*12</f>
        <v>500000</v>
      </c>
      <c r="AD56" s="462"/>
      <c r="AE56" s="462">
        <f>SUM(I56:K56)</f>
        <v>250000</v>
      </c>
      <c r="AF56" s="462">
        <f>AC56*C6</f>
        <v>0</v>
      </c>
      <c r="AG56" s="463"/>
      <c r="AH56" s="463"/>
      <c r="AI56" s="462">
        <f>SUM(M56:O56)</f>
        <v>0</v>
      </c>
      <c r="AJ56" s="462">
        <v>500000</v>
      </c>
      <c r="AK56" s="3"/>
      <c r="AL56" s="3"/>
      <c r="AM56" s="3"/>
      <c r="AN56" s="3"/>
      <c r="AO56" s="3"/>
      <c r="AP56" s="3"/>
      <c r="AQ56" s="3"/>
      <c r="AR5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B88"/>
  <sheetViews>
    <sheetView workbookViewId="0"/>
  </sheetViews>
  <sheetFormatPr baseColWidth="10" defaultColWidth="8.88671875" defaultRowHeight="14.4" x14ac:dyDescent="0.3"/>
  <cols>
    <col min="1" max="1" width="12.109375" style="17" bestFit="1" customWidth="1"/>
    <col min="2" max="2" width="26" style="432" bestFit="1" customWidth="1"/>
    <col min="3" max="4" width="12.109375" style="18" bestFit="1" customWidth="1"/>
    <col min="5" max="7" width="12" style="18" bestFit="1" customWidth="1"/>
    <col min="8" max="8" width="12.109375" style="18" bestFit="1" customWidth="1"/>
    <col min="9" max="10" width="12" style="18" bestFit="1" customWidth="1"/>
    <col min="11" max="14" width="13.109375" style="18" bestFit="1" customWidth="1"/>
    <col min="15" max="15" width="12.44140625" style="17" bestFit="1" customWidth="1"/>
    <col min="16" max="16" width="10.44140625" style="17" bestFit="1" customWidth="1"/>
    <col min="17" max="17" width="13.5546875" style="17" bestFit="1" customWidth="1"/>
    <col min="18" max="54" width="14.109375" style="17" bestFit="1" customWidth="1"/>
  </cols>
  <sheetData>
    <row r="1" spans="1:54" ht="19.5" customHeight="1" x14ac:dyDescent="0.3">
      <c r="A1" s="397" t="s">
        <v>86</v>
      </c>
      <c r="B1" s="398"/>
      <c r="C1" s="399" t="s">
        <v>284</v>
      </c>
      <c r="D1" s="399" t="s">
        <v>282</v>
      </c>
      <c r="E1" s="399" t="s">
        <v>432</v>
      </c>
      <c r="F1" s="399" t="s">
        <v>268</v>
      </c>
      <c r="G1" s="399" t="s">
        <v>433</v>
      </c>
      <c r="H1" s="399" t="s">
        <v>286</v>
      </c>
      <c r="I1" s="399" t="s">
        <v>287</v>
      </c>
      <c r="J1" s="399" t="s">
        <v>283</v>
      </c>
      <c r="K1" s="399" t="s">
        <v>288</v>
      </c>
      <c r="L1" s="399" t="s">
        <v>434</v>
      </c>
      <c r="M1" s="399" t="s">
        <v>290</v>
      </c>
      <c r="N1" s="399" t="s">
        <v>435</v>
      </c>
      <c r="O1" s="400" t="s">
        <v>51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9.5" customHeight="1" x14ac:dyDescent="0.3">
      <c r="A2" s="123">
        <f>SUM(C2:N2)</f>
        <v>0</v>
      </c>
      <c r="B2" s="123" t="s">
        <v>436</v>
      </c>
      <c r="C2" s="9">
        <f>SUMPRODUCT((YEAR(Data!$D$3:$D150)=2022)*(MONTH(Data!$D$3:$D150)=1)*(Data!$I$3:I150))</f>
        <v>0</v>
      </c>
      <c r="D2" s="9">
        <f>SUMPRODUCT((YEAR(Data!$D$3:$D150)=2022)*(MONTH(Data!$D$3:$D150)=2)*(Data!$I$3:I150))</f>
        <v>0</v>
      </c>
      <c r="E2" s="9">
        <f>SUMPRODUCT((YEAR(Data!$D$3:$D$150)=2022)*(MONTH(Data!$D$3:$D$150)=3)*(Data!$I$3:$I$150))</f>
        <v>0</v>
      </c>
      <c r="F2" s="9">
        <f>SUMPRODUCT((YEAR(Data!$D$3:$D$150)=2022)*(MONTH(Data!$D$3:$D$150)=4)*(Data!$I$3:$I$150))</f>
        <v>0</v>
      </c>
      <c r="G2" s="9">
        <f>SUMPRODUCT((YEAR(Data!$D$3:$D$150)=2022)*(MONTH(Data!$D$3:$D$150)=5)*(Data!$I$3:$I$150))</f>
        <v>0</v>
      </c>
      <c r="H2" s="9">
        <f>SUMPRODUCT((YEAR(Data!$D$3:$D$150)=2022)*(MONTH(Data!$D$3:$D$150)=6)*(Data!$I$3:$I$150))</f>
        <v>0</v>
      </c>
      <c r="I2" s="9">
        <f>SUMPRODUCT((YEAR(Data!$D$3:$D$150)=2022)*(MONTH(Data!$D$3:$D$150)=7)*(Data!$I$3:$I$150))</f>
        <v>0</v>
      </c>
      <c r="J2" s="9">
        <f>SUMPRODUCT((YEAR(Data!$D$3:$D$150)=2022)*(MONTH(Data!$D$3:$D$150)=8)*(Data!$I$3:$I$150))</f>
        <v>0</v>
      </c>
      <c r="K2" s="9">
        <f>SUMPRODUCT((YEAR(Data!$D$3:$D$150)=2022)*(MONTH(Data!$D$3:$D$150)=9)*(Data!$I$3:$I$150))</f>
        <v>0</v>
      </c>
      <c r="L2" s="9">
        <f>SUMPRODUCT((YEAR(Data!$D$3:$D$150)=2022)*(MONTH(Data!$D$3:$D$150)=10)*(Data!$I$3:$I$150))</f>
        <v>0</v>
      </c>
      <c r="M2" s="9">
        <f>SUMPRODUCT((YEAR(Data!$D$3:$D$150)=2022)*(MONTH(Data!$D$3:$D$150)=11)*(Data!$I$3:$I$150))</f>
        <v>0</v>
      </c>
      <c r="N2" s="9">
        <f>SUMPRODUCT((YEAR(Data!$D$3:$D$150)=2022)*(MONTH(Data!$D$3:$D$150)=12)*(Data!$I$3:$I$150))</f>
        <v>0</v>
      </c>
      <c r="O2" s="228">
        <f>SUM(C2:N2)</f>
        <v>0</v>
      </c>
      <c r="P2" s="3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ht="19.5" customHeight="1" x14ac:dyDescent="0.3">
      <c r="A3" s="401">
        <f>SUM(C3:N3)</f>
        <v>0</v>
      </c>
      <c r="B3" s="401" t="s">
        <v>437</v>
      </c>
      <c r="C3" s="402">
        <f>SUMIFS(Data!$S$3:$S$150,Data!$P$3:$P$150,C$21,Data!$O$3:$O$150,"2022")</f>
        <v>0</v>
      </c>
      <c r="D3" s="402">
        <f>SUMIFS(Data!$S$3:$S$150,Data!$P$3:$P$150,D$21,Data!$O$3:$O$150,"2022")</f>
        <v>0</v>
      </c>
      <c r="E3" s="402">
        <f>SUMIFS(Data!$S$3:$S$150,Data!$P$3:$P$150,E$21,Data!$O$3:$O$150,"2022")</f>
        <v>0</v>
      </c>
      <c r="F3" s="402">
        <f>SUMIFS(Data!$S$3:$S$150,Data!$P$3:$P$150,F$21,Data!$O$3:$O$150,"2022")</f>
        <v>0</v>
      </c>
      <c r="G3" s="402">
        <f>SUMIFS(Data!$S$3:$S$150,Data!$P$3:$P$150,G$21,Data!$O$3:$O$150,"2022")</f>
        <v>0</v>
      </c>
      <c r="H3" s="402">
        <f>SUMIFS(Data!$S$3:$S$150,Data!$P$3:$P$150,H$21,Data!$O$3:$O$150,"2022")</f>
        <v>0</v>
      </c>
      <c r="I3" s="402">
        <f>SUMIFS(Data!$S$3:$S$150,Data!$P$3:$P$150,I$21,Data!$O$3:$O$150,"2022")</f>
        <v>0</v>
      </c>
      <c r="J3" s="402">
        <f>SUMIFS(Data!$S$3:$S$150,Data!$P$3:$P$150,J$21,Data!$O$3:$O$150,"2022")</f>
        <v>0</v>
      </c>
      <c r="K3" s="402">
        <f>SUMIFS(Data!$S$3:$S$150,Data!$P$3:$P$150,K$21,Data!$O$3:$O$150,"2022")</f>
        <v>0</v>
      </c>
      <c r="L3" s="402">
        <f>SUMIFS(Data!$S$3:$S$150,Data!$P$3:$P$150,L$21,Data!$O$3:$O$150,"2022")</f>
        <v>0</v>
      </c>
      <c r="M3" s="402">
        <f>SUMIFS(Data!$S$3:$S$150,Data!$P$3:$P$150,M$21,Data!$O$3:$O$150,"2022")</f>
        <v>0</v>
      </c>
      <c r="N3" s="402">
        <f>SUMIFS(Data!$S$3:$S$150,Data!$P$3:$P$150,N$21,Data!$O$3:$O$150,"2022")</f>
        <v>0</v>
      </c>
      <c r="O3" s="228">
        <f>SUM(C3:N3)</f>
        <v>0</v>
      </c>
      <c r="P3" s="38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ht="19.5" customHeight="1" x14ac:dyDescent="0.3">
      <c r="A4" s="403">
        <f>SUM(C4:N4)</f>
        <v>-7121</v>
      </c>
      <c r="B4" s="403" t="s">
        <v>438</v>
      </c>
      <c r="C4" s="404">
        <f>SUMPRODUCT((YEAR(Data!$AC$3:$AC$150)=2022)*(MONTH(Data!$AC$3:$AC$150)=1)*(Data!$AD$3:$AD$150))-Data!AD138-Data!AD139-Data!AD140</f>
        <v>-790</v>
      </c>
      <c r="D4" s="404">
        <f>SUMPRODUCT((YEAR(Data!$AC$3:$AC$150)=2022)*(MONTH(Data!$AC$3:$AC$150)=2)*(Data!$AD$3:$AD$150))</f>
        <v>0</v>
      </c>
      <c r="E4" s="404">
        <f>SUMPRODUCT((YEAR(Data!$AC$3:$AC$150)=2022)*(MONTH(Data!$AC$3:$AC$150)=3)*(Data!$AD$3:$AD$150))-Data!AD143-Data!AD144-Data!AD145</f>
        <v>-6331</v>
      </c>
      <c r="F4" s="404">
        <f>SUMPRODUCT((YEAR(Data!$AC$3:$AC$150)=2022)*(MONTH(Data!$AC$3:$AC$150)=4)*(Data!$AD$3:$AD$150))</f>
        <v>0</v>
      </c>
      <c r="G4" s="404">
        <f>SUMPRODUCT((YEAR(Data!$AC$3:$AC$150)=2022)*(MONTH(Data!$AC$3:$AC$150)=5)*(Data!$AD$3:$AD$150))</f>
        <v>0</v>
      </c>
      <c r="H4" s="404">
        <f>SUMPRODUCT((YEAR(Data!$AC$3:$AC$150)=2022)*(MONTH(Data!$AC$3:$AC$150)=6)*(Data!$AD$3:$AD$150))</f>
        <v>0</v>
      </c>
      <c r="I4" s="404">
        <f>SUMPRODUCT((YEAR(Data!$AC$3:$AC$150)=2022)*(MONTH(Data!$AC$3:$AC$150)=7)*(Data!$AD$3:$AD$150))</f>
        <v>0</v>
      </c>
      <c r="J4" s="404">
        <f>SUMPRODUCT((YEAR(Data!$AC$3:$AC$150)=2022)*(MONTH(Data!$AC$3:$AC$150)=8)*(Data!$AD$3:$AD$150))</f>
        <v>0</v>
      </c>
      <c r="K4" s="404">
        <f>SUMPRODUCT((YEAR(Data!$AC$3:$AC$150)=2022)*(MONTH(Data!$AC$3:$AC$150)=9)*(Data!$AD$3:$AD$150))</f>
        <v>0</v>
      </c>
      <c r="L4" s="404">
        <f>SUMPRODUCT((YEAR(Data!$AC$3:$AC$150)=2022)*(MONTH(Data!$AC$3:$AC$150)=10)*(Data!$AD$3:$AD$150))</f>
        <v>0</v>
      </c>
      <c r="M4" s="404">
        <f>SUMPRODUCT((YEAR(Data!$AC$3:$AC$150)=2022)*(MONTH(Data!$AC$3:$AC$150)=11)*(Data!$AD$3:$AD$150))</f>
        <v>0</v>
      </c>
      <c r="N4" s="404">
        <f>SUMPRODUCT((YEAR(Data!$AC$3:$AC$150)=2022)*(MONTH(Data!$AC$3:$AC$150)=12)*(Data!$AD$3:$AD$150))</f>
        <v>0</v>
      </c>
      <c r="O4" s="228">
        <f>SUM(C4:N4)</f>
        <v>-7121</v>
      </c>
      <c r="P4" s="15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ht="19.5" customHeight="1" x14ac:dyDescent="0.3">
      <c r="A5" s="401">
        <f>SUM(C5:N5)</f>
        <v>0</v>
      </c>
      <c r="B5" s="401" t="s">
        <v>437</v>
      </c>
      <c r="C5" s="402">
        <f t="shared" ref="C5:N5" si="0">C17*$O$5</f>
        <v>0</v>
      </c>
      <c r="D5" s="402">
        <f t="shared" si="0"/>
        <v>0</v>
      </c>
      <c r="E5" s="402">
        <f t="shared" si="0"/>
        <v>0</v>
      </c>
      <c r="F5" s="402">
        <f t="shared" si="0"/>
        <v>0</v>
      </c>
      <c r="G5" s="402">
        <f t="shared" si="0"/>
        <v>0</v>
      </c>
      <c r="H5" s="402">
        <f t="shared" si="0"/>
        <v>0</v>
      </c>
      <c r="I5" s="402">
        <f t="shared" si="0"/>
        <v>0</v>
      </c>
      <c r="J5" s="402">
        <f t="shared" si="0"/>
        <v>0</v>
      </c>
      <c r="K5" s="402">
        <f t="shared" si="0"/>
        <v>0</v>
      </c>
      <c r="L5" s="402">
        <f t="shared" si="0"/>
        <v>0</v>
      </c>
      <c r="M5" s="402">
        <f t="shared" si="0"/>
        <v>0</v>
      </c>
      <c r="N5" s="402">
        <f t="shared" si="0"/>
        <v>0</v>
      </c>
      <c r="O5" s="405"/>
      <c r="P5" s="38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ht="19.5" customHeight="1" x14ac:dyDescent="0.3">
      <c r="A6" s="403">
        <f>SUM(C6:N6)</f>
        <v>0</v>
      </c>
      <c r="B6" s="403" t="s">
        <v>438</v>
      </c>
      <c r="C6" s="404">
        <f t="shared" ref="C6:N6" si="1">C19*$O$6</f>
        <v>0</v>
      </c>
      <c r="D6" s="404">
        <f t="shared" si="1"/>
        <v>0</v>
      </c>
      <c r="E6" s="404">
        <f t="shared" si="1"/>
        <v>0</v>
      </c>
      <c r="F6" s="404">
        <f t="shared" si="1"/>
        <v>0</v>
      </c>
      <c r="G6" s="404">
        <f t="shared" si="1"/>
        <v>0</v>
      </c>
      <c r="H6" s="404">
        <f t="shared" si="1"/>
        <v>0</v>
      </c>
      <c r="I6" s="404">
        <f t="shared" si="1"/>
        <v>0</v>
      </c>
      <c r="J6" s="404">
        <f t="shared" si="1"/>
        <v>0</v>
      </c>
      <c r="K6" s="404">
        <f t="shared" si="1"/>
        <v>0</v>
      </c>
      <c r="L6" s="404">
        <f t="shared" si="1"/>
        <v>0</v>
      </c>
      <c r="M6" s="404">
        <f t="shared" si="1"/>
        <v>0</v>
      </c>
      <c r="N6" s="404">
        <f t="shared" si="1"/>
        <v>0</v>
      </c>
      <c r="O6" s="406"/>
      <c r="P6" s="15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9.5" customHeight="1" x14ac:dyDescent="0.3">
      <c r="A7" s="407"/>
      <c r="B7" s="408" t="s">
        <v>146</v>
      </c>
      <c r="C7" s="409">
        <f>C2</f>
        <v>0</v>
      </c>
      <c r="D7" s="409">
        <f t="shared" ref="D7:N7" si="2">C7+D2</f>
        <v>0</v>
      </c>
      <c r="E7" s="409">
        <f t="shared" si="2"/>
        <v>0</v>
      </c>
      <c r="F7" s="409">
        <f t="shared" si="2"/>
        <v>0</v>
      </c>
      <c r="G7" s="409">
        <f t="shared" si="2"/>
        <v>0</v>
      </c>
      <c r="H7" s="164">
        <f t="shared" si="2"/>
        <v>0</v>
      </c>
      <c r="I7" s="409">
        <f t="shared" si="2"/>
        <v>0</v>
      </c>
      <c r="J7" s="407">
        <f t="shared" si="2"/>
        <v>0</v>
      </c>
      <c r="K7" s="407">
        <f t="shared" si="2"/>
        <v>0</v>
      </c>
      <c r="L7" s="407">
        <f t="shared" si="2"/>
        <v>0</v>
      </c>
      <c r="M7" s="407">
        <f t="shared" si="2"/>
        <v>0</v>
      </c>
      <c r="N7" s="407">
        <f t="shared" si="2"/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9.5" customHeight="1" x14ac:dyDescent="0.3">
      <c r="A8" s="410" t="s">
        <v>439</v>
      </c>
      <c r="B8" s="411" t="s">
        <v>440</v>
      </c>
      <c r="C8" s="224">
        <f>C3</f>
        <v>0</v>
      </c>
      <c r="D8" s="224">
        <f t="shared" ref="D8:N8" si="3">C8+D3</f>
        <v>0</v>
      </c>
      <c r="E8" s="224">
        <f t="shared" si="3"/>
        <v>0</v>
      </c>
      <c r="F8" s="224">
        <f t="shared" si="3"/>
        <v>0</v>
      </c>
      <c r="G8" s="224">
        <f t="shared" si="3"/>
        <v>0</v>
      </c>
      <c r="H8" s="224">
        <f t="shared" si="3"/>
        <v>0</v>
      </c>
      <c r="I8" s="224">
        <f t="shared" si="3"/>
        <v>0</v>
      </c>
      <c r="J8" s="224">
        <f t="shared" si="3"/>
        <v>0</v>
      </c>
      <c r="K8" s="224">
        <f t="shared" si="3"/>
        <v>0</v>
      </c>
      <c r="L8" s="224">
        <f t="shared" si="3"/>
        <v>0</v>
      </c>
      <c r="M8" s="224">
        <f t="shared" si="3"/>
        <v>0</v>
      </c>
      <c r="N8" s="224">
        <f t="shared" si="3"/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ht="19.5" customHeight="1" x14ac:dyDescent="0.3">
      <c r="A9" s="412" t="s">
        <v>441</v>
      </c>
      <c r="B9" s="398" t="s">
        <v>442</v>
      </c>
      <c r="C9" s="9">
        <f>SUM('Weekly Data'!C5:G5)</f>
        <v>0</v>
      </c>
      <c r="D9" s="9">
        <f>SUM('Weekly Data'!H5:K5)</f>
        <v>0</v>
      </c>
      <c r="E9" s="9">
        <f>SUM('Weekly Data'!L5:O5)</f>
        <v>0</v>
      </c>
      <c r="F9" s="9">
        <f>SUM('Weekly Data'!P5:S5)</f>
        <v>0</v>
      </c>
      <c r="G9" s="9">
        <f>SUM('Weekly Data'!T5:X5)</f>
        <v>0</v>
      </c>
      <c r="H9" s="9">
        <f>SUM('Weekly Data'!Y5:AB5)</f>
        <v>0</v>
      </c>
      <c r="I9" s="9">
        <f>SUM('Weekly Data'!AC5:AG5)</f>
        <v>0</v>
      </c>
      <c r="J9" s="123">
        <f>SUM('Weekly Data'!AH5:AK5)</f>
        <v>0</v>
      </c>
      <c r="K9" s="9">
        <f>SUM('Weekly Data'!AL5:AO5)</f>
        <v>0</v>
      </c>
      <c r="L9" s="9">
        <f>SUM('Weekly Data'!AP5:AT5)</f>
        <v>0</v>
      </c>
      <c r="M9" s="9">
        <f>SUM('Weekly Data'!AU5:AX5)</f>
        <v>0</v>
      </c>
      <c r="N9" s="9">
        <f>SUM('Weekly Data'!AY5:BB5)</f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9.5" customHeight="1" x14ac:dyDescent="0.3">
      <c r="A10" s="412" t="s">
        <v>441</v>
      </c>
      <c r="B10" s="398" t="s">
        <v>443</v>
      </c>
      <c r="C10" s="9">
        <f>C9</f>
        <v>0</v>
      </c>
      <c r="D10" s="9">
        <f t="shared" ref="D10:N10" si="4">C10+D9</f>
        <v>0</v>
      </c>
      <c r="E10" s="9">
        <f t="shared" si="4"/>
        <v>0</v>
      </c>
      <c r="F10" s="9">
        <f t="shared" si="4"/>
        <v>0</v>
      </c>
      <c r="G10" s="9">
        <f t="shared" si="4"/>
        <v>0</v>
      </c>
      <c r="H10" s="9">
        <f t="shared" si="4"/>
        <v>0</v>
      </c>
      <c r="I10" s="9">
        <f t="shared" si="4"/>
        <v>0</v>
      </c>
      <c r="J10" s="123">
        <f t="shared" si="4"/>
        <v>0</v>
      </c>
      <c r="K10" s="9">
        <f t="shared" si="4"/>
        <v>0</v>
      </c>
      <c r="L10" s="9">
        <f t="shared" si="4"/>
        <v>0</v>
      </c>
      <c r="M10" s="9">
        <f t="shared" si="4"/>
        <v>0</v>
      </c>
      <c r="N10" s="9">
        <f t="shared" si="4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9.5" customHeight="1" x14ac:dyDescent="0.3">
      <c r="A11" s="413" t="s">
        <v>444</v>
      </c>
      <c r="B11" s="159" t="s">
        <v>445</v>
      </c>
      <c r="C11" s="414">
        <f t="shared" ref="C11:N11" si="5">C8-C10</f>
        <v>0</v>
      </c>
      <c r="D11" s="414">
        <f t="shared" si="5"/>
        <v>0</v>
      </c>
      <c r="E11" s="414">
        <f t="shared" si="5"/>
        <v>0</v>
      </c>
      <c r="F11" s="414">
        <f t="shared" si="5"/>
        <v>0</v>
      </c>
      <c r="G11" s="414">
        <f t="shared" si="5"/>
        <v>0</v>
      </c>
      <c r="H11" s="415">
        <f t="shared" si="5"/>
        <v>0</v>
      </c>
      <c r="I11" s="415">
        <f t="shared" si="5"/>
        <v>0</v>
      </c>
      <c r="J11" s="415">
        <f t="shared" si="5"/>
        <v>0</v>
      </c>
      <c r="K11" s="415">
        <f t="shared" si="5"/>
        <v>0</v>
      </c>
      <c r="L11" s="414">
        <f t="shared" si="5"/>
        <v>0</v>
      </c>
      <c r="M11" s="414">
        <f t="shared" si="5"/>
        <v>0</v>
      </c>
      <c r="N11" s="155">
        <f t="shared" si="5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9.5" customHeight="1" x14ac:dyDescent="0.3">
      <c r="A12" s="416" t="s">
        <v>446</v>
      </c>
      <c r="B12" s="411" t="s">
        <v>447</v>
      </c>
      <c r="C12" s="417">
        <f>C4</f>
        <v>-790</v>
      </c>
      <c r="D12" s="224">
        <f t="shared" ref="D12:N12" si="6">D4+C12</f>
        <v>-790</v>
      </c>
      <c r="E12" s="224">
        <f t="shared" si="6"/>
        <v>-7121</v>
      </c>
      <c r="F12" s="224">
        <f t="shared" si="6"/>
        <v>-7121</v>
      </c>
      <c r="G12" s="224">
        <f t="shared" si="6"/>
        <v>-7121</v>
      </c>
      <c r="H12" s="224">
        <f t="shared" si="6"/>
        <v>-7121</v>
      </c>
      <c r="I12" s="224">
        <f t="shared" si="6"/>
        <v>-7121</v>
      </c>
      <c r="J12" s="224">
        <f t="shared" si="6"/>
        <v>-7121</v>
      </c>
      <c r="K12" s="224">
        <f t="shared" si="6"/>
        <v>-7121</v>
      </c>
      <c r="L12" s="224">
        <f t="shared" si="6"/>
        <v>-7121</v>
      </c>
      <c r="M12" s="224">
        <f t="shared" si="6"/>
        <v>-7121</v>
      </c>
      <c r="N12" s="224">
        <f t="shared" si="6"/>
        <v>-7121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9.5" customHeight="1" x14ac:dyDescent="0.3">
      <c r="A13" s="418" t="s">
        <v>441</v>
      </c>
      <c r="B13" s="398" t="s">
        <v>448</v>
      </c>
      <c r="C13" s="9">
        <f>SUM('Weekly Data'!C6:G6)</f>
        <v>0</v>
      </c>
      <c r="D13" s="9">
        <f>SUM('Weekly Data'!H6:K6)</f>
        <v>0</v>
      </c>
      <c r="E13" s="9">
        <f>SUM('Weekly Data'!L6:O6)</f>
        <v>0</v>
      </c>
      <c r="F13" s="9">
        <f>SUM('Weekly Data'!P6:S6)</f>
        <v>0</v>
      </c>
      <c r="G13" s="9">
        <f>SUM('Weekly Data'!T6:X6)</f>
        <v>0</v>
      </c>
      <c r="H13" s="9">
        <f>SUM('Weekly Data'!Y6:AB6)</f>
        <v>0</v>
      </c>
      <c r="I13" s="9">
        <f>SUM('Weekly Data'!AC6:AG6)</f>
        <v>0</v>
      </c>
      <c r="J13" s="123">
        <f>SUM('Weekly Data'!AH6:AK6)</f>
        <v>0</v>
      </c>
      <c r="K13" s="9">
        <f>SUM('Weekly Data'!AL6:AO6)</f>
        <v>0</v>
      </c>
      <c r="L13" s="9">
        <f>SUM('Weekly Data'!AP6:AT6)</f>
        <v>0</v>
      </c>
      <c r="M13" s="9">
        <f>SUM('Weekly Data'!AU6:AX6)</f>
        <v>0</v>
      </c>
      <c r="N13" s="9">
        <f>SUM('Weekly Data'!AV6:AY6)</f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ht="19.5" customHeight="1" x14ac:dyDescent="0.3">
      <c r="A14" s="418" t="s">
        <v>441</v>
      </c>
      <c r="B14" s="398" t="s">
        <v>449</v>
      </c>
      <c r="C14" s="419">
        <f>C13</f>
        <v>0</v>
      </c>
      <c r="D14" s="9">
        <f t="shared" ref="D14:N14" si="7">C14+D13</f>
        <v>0</v>
      </c>
      <c r="E14" s="9">
        <f t="shared" si="7"/>
        <v>0</v>
      </c>
      <c r="F14" s="9">
        <f t="shared" si="7"/>
        <v>0</v>
      </c>
      <c r="G14" s="9">
        <f t="shared" si="7"/>
        <v>0</v>
      </c>
      <c r="H14" s="9">
        <f t="shared" si="7"/>
        <v>0</v>
      </c>
      <c r="I14" s="9">
        <f t="shared" si="7"/>
        <v>0</v>
      </c>
      <c r="J14" s="123">
        <f t="shared" si="7"/>
        <v>0</v>
      </c>
      <c r="K14" s="9">
        <f t="shared" si="7"/>
        <v>0</v>
      </c>
      <c r="L14" s="9">
        <f t="shared" si="7"/>
        <v>0</v>
      </c>
      <c r="M14" s="9">
        <f t="shared" si="7"/>
        <v>0</v>
      </c>
      <c r="N14" s="9">
        <f t="shared" si="7"/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9.5" customHeight="1" x14ac:dyDescent="0.3">
      <c r="A15" s="420" t="s">
        <v>444</v>
      </c>
      <c r="B15" s="159" t="s">
        <v>450</v>
      </c>
      <c r="C15" s="414">
        <f t="shared" ref="C15:N15" si="8">C12-C14</f>
        <v>-790</v>
      </c>
      <c r="D15" s="414">
        <f t="shared" si="8"/>
        <v>-790</v>
      </c>
      <c r="E15" s="414">
        <f t="shared" si="8"/>
        <v>-7121</v>
      </c>
      <c r="F15" s="414">
        <f t="shared" si="8"/>
        <v>-7121</v>
      </c>
      <c r="G15" s="414">
        <f t="shared" si="8"/>
        <v>-7121</v>
      </c>
      <c r="H15" s="415">
        <f t="shared" si="8"/>
        <v>-7121</v>
      </c>
      <c r="I15" s="415">
        <f t="shared" si="8"/>
        <v>-7121</v>
      </c>
      <c r="J15" s="415">
        <f t="shared" si="8"/>
        <v>-7121</v>
      </c>
      <c r="K15" s="415">
        <f t="shared" si="8"/>
        <v>-7121</v>
      </c>
      <c r="L15" s="415">
        <f t="shared" si="8"/>
        <v>-7121</v>
      </c>
      <c r="M15" s="415">
        <f t="shared" si="8"/>
        <v>-7121</v>
      </c>
      <c r="N15" s="164">
        <f t="shared" si="8"/>
        <v>-7121</v>
      </c>
      <c r="O15" s="3"/>
      <c r="P15" s="3"/>
      <c r="Q15" s="3"/>
      <c r="R15" s="3"/>
      <c r="S15" s="9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9.5" customHeight="1" x14ac:dyDescent="0.3">
      <c r="A16" s="3" t="s">
        <v>451</v>
      </c>
      <c r="B16" s="421">
        <v>39254</v>
      </c>
      <c r="C16" s="123">
        <f t="shared" ref="C16:N16" si="9">B16+C3-C4</f>
        <v>40044</v>
      </c>
      <c r="D16" s="123">
        <f t="shared" si="9"/>
        <v>40044</v>
      </c>
      <c r="E16" s="123">
        <f t="shared" si="9"/>
        <v>46375</v>
      </c>
      <c r="F16" s="123">
        <f t="shared" si="9"/>
        <v>46375</v>
      </c>
      <c r="G16" s="123">
        <f t="shared" si="9"/>
        <v>46375</v>
      </c>
      <c r="H16" s="123">
        <f t="shared" si="9"/>
        <v>46375</v>
      </c>
      <c r="I16" s="123">
        <f t="shared" si="9"/>
        <v>46375</v>
      </c>
      <c r="J16" s="123">
        <f t="shared" si="9"/>
        <v>46375</v>
      </c>
      <c r="K16" s="123">
        <f t="shared" si="9"/>
        <v>46375</v>
      </c>
      <c r="L16" s="123">
        <f t="shared" si="9"/>
        <v>46375</v>
      </c>
      <c r="M16" s="123">
        <f t="shared" si="9"/>
        <v>46375</v>
      </c>
      <c r="N16" s="123">
        <f t="shared" si="9"/>
        <v>46375</v>
      </c>
      <c r="O16" s="123"/>
      <c r="P16" s="3"/>
      <c r="Q16" s="3"/>
      <c r="R16" s="3"/>
      <c r="S16" s="9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9.5" customHeight="1" x14ac:dyDescent="0.3">
      <c r="A17" s="3"/>
      <c r="B17" s="421" t="s">
        <v>452</v>
      </c>
      <c r="C17" s="422">
        <v>9.8184313208132007E-2</v>
      </c>
      <c r="D17" s="422">
        <v>7.6283963113623163E-2</v>
      </c>
      <c r="E17" s="422">
        <v>0.1005893766451187</v>
      </c>
      <c r="F17" s="422">
        <v>8.8330163836395206E-2</v>
      </c>
      <c r="G17" s="422">
        <v>0.10279784677762691</v>
      </c>
      <c r="H17" s="422">
        <v>0.11307931654085659</v>
      </c>
      <c r="I17" s="422">
        <v>0.12490371968934511</v>
      </c>
      <c r="J17" s="422">
        <v>6.9549382221743422E-2</v>
      </c>
      <c r="K17" s="422">
        <v>6.6172010067881593E-2</v>
      </c>
      <c r="L17" s="422">
        <v>4.4890388790984302E-2</v>
      </c>
      <c r="M17" s="422">
        <v>5.7609759554146552E-2</v>
      </c>
      <c r="N17" s="422">
        <v>5.7609759554146552E-2</v>
      </c>
      <c r="O17" s="123"/>
      <c r="P17" s="3"/>
      <c r="Q17" s="3"/>
      <c r="R17" s="3"/>
      <c r="S17" s="9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9.5" customHeight="1" x14ac:dyDescent="0.3">
      <c r="A18" s="3"/>
      <c r="B18" s="421" t="s">
        <v>453</v>
      </c>
      <c r="C18" s="422">
        <v>3.9068801241139872E-2</v>
      </c>
      <c r="D18" s="422">
        <v>0.1083888695887865</v>
      </c>
      <c r="E18" s="422">
        <v>5.9582366010513747E-2</v>
      </c>
      <c r="F18" s="422">
        <v>6.1204080294494277E-2</v>
      </c>
      <c r="G18" s="422">
        <v>0.1166287491291777</v>
      </c>
      <c r="H18" s="422">
        <v>3.9928456458716073E-2</v>
      </c>
      <c r="I18" s="422">
        <v>0.108953713634688</v>
      </c>
      <c r="J18" s="422">
        <v>7.527545628729071E-2</v>
      </c>
      <c r="K18" s="422">
        <v>7.1639620396483097E-2</v>
      </c>
      <c r="L18" s="422">
        <v>0.1170580710584261</v>
      </c>
      <c r="M18" s="422">
        <v>0.13484787726685599</v>
      </c>
      <c r="N18" s="422">
        <v>6.7423938633428021E-2</v>
      </c>
      <c r="O18" s="123"/>
      <c r="P18" s="3"/>
      <c r="Q18" s="3"/>
      <c r="R18" s="3"/>
      <c r="S18" s="9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9.5" customHeight="1" x14ac:dyDescent="0.3">
      <c r="A19" s="3"/>
      <c r="B19" s="421" t="s">
        <v>454</v>
      </c>
      <c r="C19" s="422">
        <f>C18*2/3+D18/3</f>
        <v>6.2175490690355412E-2</v>
      </c>
      <c r="D19" s="422">
        <f t="shared" ref="D19:M19" si="10">C18/3+D18/3+E18/3</f>
        <v>6.9013345613480048E-2</v>
      </c>
      <c r="E19" s="422">
        <f t="shared" si="10"/>
        <v>7.6391771964598176E-2</v>
      </c>
      <c r="F19" s="422">
        <f t="shared" si="10"/>
        <v>7.9138398478061894E-2</v>
      </c>
      <c r="G19" s="422">
        <f t="shared" si="10"/>
        <v>7.258709529412935E-2</v>
      </c>
      <c r="H19" s="422">
        <f t="shared" si="10"/>
        <v>8.850363974086059E-2</v>
      </c>
      <c r="I19" s="422">
        <f t="shared" si="10"/>
        <v>7.4719208793564931E-2</v>
      </c>
      <c r="J19" s="422">
        <f t="shared" si="10"/>
        <v>8.5289596772820594E-2</v>
      </c>
      <c r="K19" s="422">
        <f t="shared" si="10"/>
        <v>8.7991049247399963E-2</v>
      </c>
      <c r="L19" s="422">
        <f t="shared" si="10"/>
        <v>0.10784852290725505</v>
      </c>
      <c r="M19" s="422">
        <f t="shared" si="10"/>
        <v>0.10644329565290336</v>
      </c>
      <c r="N19" s="422">
        <f>M18/3+N18*2/3</f>
        <v>8.9898584844570667E-2</v>
      </c>
      <c r="O19" s="123"/>
      <c r="P19" s="3"/>
      <c r="Q19" s="3"/>
      <c r="R19" s="3"/>
      <c r="S19" s="9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9.5" customHeight="1" x14ac:dyDescent="0.3">
      <c r="A20" s="3"/>
      <c r="B20" s="39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9.5" customHeight="1" x14ac:dyDescent="0.3">
      <c r="A21" s="3"/>
      <c r="B21" s="398"/>
      <c r="C21" s="203">
        <v>1</v>
      </c>
      <c r="D21" s="203">
        <v>2</v>
      </c>
      <c r="E21" s="203">
        <v>3</v>
      </c>
      <c r="F21" s="203">
        <v>4</v>
      </c>
      <c r="G21" s="203">
        <v>5</v>
      </c>
      <c r="H21" s="203">
        <v>6</v>
      </c>
      <c r="I21" s="203">
        <v>7</v>
      </c>
      <c r="J21" s="203">
        <v>8</v>
      </c>
      <c r="K21" s="203">
        <v>9</v>
      </c>
      <c r="L21" s="203">
        <v>10</v>
      </c>
      <c r="M21" s="203">
        <v>11</v>
      </c>
      <c r="N21" s="203">
        <v>12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9.5" customHeight="1" x14ac:dyDescent="0.3">
      <c r="A22" s="3"/>
      <c r="B22" s="411" t="s">
        <v>455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>
        <f>SUMIFS(tbl_DCFC[Status],tbl_DCFC[Client],AT$1,tbl_DCFC[Contact Person],"GSE")</f>
        <v>0</v>
      </c>
      <c r="AU22" s="9">
        <f>SUMIFS(tbl_DCFC[Spalte2],tbl_DCFC[End Client],AU$1,tbl_DCFC[Spalte12],"GSE")</f>
        <v>0</v>
      </c>
      <c r="AV22" s="9"/>
      <c r="AW22" s="9"/>
      <c r="AX22" s="9">
        <f>SUMIFS(tbl_DCFC[OI_Month],tbl_DCFC[Categorie],AX$1,tbl_DCFC[Marge],"GSE")</f>
        <v>0</v>
      </c>
      <c r="AY22" s="9">
        <f>SUMIFS(tbl_DCFC[Date Cmde],tbl_DCFC[Status],AY$1,tbl_DCFC[Marge %],"GSE")</f>
        <v>0</v>
      </c>
      <c r="AZ22" s="9"/>
      <c r="BA22" s="9"/>
      <c r="BB22" s="9"/>
    </row>
    <row r="23" spans="1:54" ht="19.5" customHeight="1" x14ac:dyDescent="0.3">
      <c r="A23" s="3"/>
      <c r="B23" s="411" t="s">
        <v>456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>
        <f>SUMIFS(tbl_DCFC[Status],tbl_DCFC[Client],AT$1,tbl_DCFC[Contact Person],"TOO")</f>
        <v>0</v>
      </c>
      <c r="AU23" s="9">
        <f>SUMIFS(tbl_DCFC[Spalte2],tbl_DCFC[End Client],AU$1,tbl_DCFC[Spalte12],"TOO")</f>
        <v>0</v>
      </c>
      <c r="AV23" s="9"/>
      <c r="AW23" s="9"/>
      <c r="AX23" s="9">
        <f>SUMIFS(tbl_DCFC[OI_Month],tbl_DCFC[Categorie],AX$1,tbl_DCFC[Marge],"TOO")</f>
        <v>0</v>
      </c>
      <c r="AY23" s="9">
        <f>SUMIFS(tbl_DCFC[Date Cmde],tbl_DCFC[Status],AY$1,tbl_DCFC[Marge %],"TOO")</f>
        <v>0</v>
      </c>
      <c r="AZ23" s="9"/>
      <c r="BA23" s="9"/>
      <c r="BB23" s="9"/>
    </row>
    <row r="24" spans="1:54" ht="19.5" customHeight="1" x14ac:dyDescent="0.3">
      <c r="A24" s="3"/>
      <c r="B24" s="411" t="s">
        <v>457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>
        <f>SUMIFS(tbl_DCFC[Status],tbl_DCFC[Client],AT$1,tbl_DCFC[Contact Person],"SER")</f>
        <v>0</v>
      </c>
      <c r="AU24" s="9">
        <f>SUMIFS(tbl_DCFC[Spalte2],tbl_DCFC[End Client],AU$1,tbl_DCFC[Spalte12],"SER")</f>
        <v>0</v>
      </c>
      <c r="AV24" s="9"/>
      <c r="AW24" s="9"/>
      <c r="AX24" s="9">
        <f>SUMIFS(tbl_DCFC[OI_Month],tbl_DCFC[Categorie],AX$1,tbl_DCFC[Marge],"SER")</f>
        <v>0</v>
      </c>
      <c r="AY24" s="9">
        <f>SUMIFS(tbl_DCFC[Date Cmde],tbl_DCFC[Status],AY$1,tbl_DCFC[Marge %],"SER")</f>
        <v>0</v>
      </c>
      <c r="AZ24" s="9"/>
      <c r="BA24" s="9"/>
      <c r="BB24" s="9"/>
    </row>
    <row r="25" spans="1:54" ht="19.5" customHeight="1" x14ac:dyDescent="0.3">
      <c r="A25" s="3"/>
      <c r="B25" s="411" t="s">
        <v>458</v>
      </c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</row>
    <row r="26" spans="1:54" ht="19.5" customHeight="1" x14ac:dyDescent="0.3">
      <c r="A26" s="3"/>
      <c r="B26" s="411" t="s">
        <v>459</v>
      </c>
      <c r="C26" s="235">
        <f>C22</f>
        <v>0</v>
      </c>
      <c r="D26" s="235">
        <f t="shared" ref="D26:N26" si="11">C26+D22</f>
        <v>0</v>
      </c>
      <c r="E26" s="235">
        <f t="shared" si="11"/>
        <v>0</v>
      </c>
      <c r="F26" s="235">
        <f t="shared" si="11"/>
        <v>0</v>
      </c>
      <c r="G26" s="235">
        <f t="shared" si="11"/>
        <v>0</v>
      </c>
      <c r="H26" s="235">
        <f t="shared" si="11"/>
        <v>0</v>
      </c>
      <c r="I26" s="235">
        <f t="shared" si="11"/>
        <v>0</v>
      </c>
      <c r="J26" s="235">
        <f t="shared" si="11"/>
        <v>0</v>
      </c>
      <c r="K26" s="235">
        <f t="shared" si="11"/>
        <v>0</v>
      </c>
      <c r="L26" s="235">
        <f t="shared" si="11"/>
        <v>0</v>
      </c>
      <c r="M26" s="235">
        <f t="shared" si="11"/>
        <v>0</v>
      </c>
      <c r="N26" s="235">
        <f t="shared" si="11"/>
        <v>0</v>
      </c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>
        <f t="shared" ref="AT26:BB26" si="12">AS26+AT22</f>
        <v>0</v>
      </c>
      <c r="AU26" s="235">
        <f t="shared" si="12"/>
        <v>0</v>
      </c>
      <c r="AV26" s="235">
        <f t="shared" si="12"/>
        <v>0</v>
      </c>
      <c r="AW26" s="235">
        <f t="shared" si="12"/>
        <v>0</v>
      </c>
      <c r="AX26" s="235">
        <f t="shared" si="12"/>
        <v>0</v>
      </c>
      <c r="AY26" s="235">
        <f t="shared" si="12"/>
        <v>0</v>
      </c>
      <c r="AZ26" s="235">
        <f t="shared" si="12"/>
        <v>0</v>
      </c>
      <c r="BA26" s="235">
        <f t="shared" si="12"/>
        <v>0</v>
      </c>
      <c r="BB26" s="235">
        <f t="shared" si="12"/>
        <v>0</v>
      </c>
    </row>
    <row r="27" spans="1:54" ht="19.5" customHeight="1" x14ac:dyDescent="0.3">
      <c r="A27" s="3"/>
      <c r="B27" s="411" t="s">
        <v>460</v>
      </c>
      <c r="C27" s="9">
        <f>C23</f>
        <v>0</v>
      </c>
      <c r="D27" s="9">
        <f t="shared" ref="D27:N27" si="13">C27+D23</f>
        <v>0</v>
      </c>
      <c r="E27" s="9">
        <f t="shared" si="13"/>
        <v>0</v>
      </c>
      <c r="F27" s="9">
        <f t="shared" si="13"/>
        <v>0</v>
      </c>
      <c r="G27" s="9">
        <f t="shared" si="13"/>
        <v>0</v>
      </c>
      <c r="H27" s="9">
        <f t="shared" si="13"/>
        <v>0</v>
      </c>
      <c r="I27" s="9">
        <f t="shared" si="13"/>
        <v>0</v>
      </c>
      <c r="J27" s="9">
        <f t="shared" si="13"/>
        <v>0</v>
      </c>
      <c r="K27" s="9">
        <f t="shared" si="13"/>
        <v>0</v>
      </c>
      <c r="L27" s="9">
        <f t="shared" si="13"/>
        <v>0</v>
      </c>
      <c r="M27" s="9">
        <f t="shared" si="13"/>
        <v>0</v>
      </c>
      <c r="N27" s="9">
        <f t="shared" si="13"/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>
        <f t="shared" ref="AT27:BB27" si="14">AS27+AT23</f>
        <v>0</v>
      </c>
      <c r="AU27" s="9">
        <f t="shared" si="14"/>
        <v>0</v>
      </c>
      <c r="AV27" s="9">
        <f t="shared" si="14"/>
        <v>0</v>
      </c>
      <c r="AW27" s="9">
        <f t="shared" si="14"/>
        <v>0</v>
      </c>
      <c r="AX27" s="9">
        <f t="shared" si="14"/>
        <v>0</v>
      </c>
      <c r="AY27" s="9">
        <f t="shared" si="14"/>
        <v>0</v>
      </c>
      <c r="AZ27" s="9">
        <f t="shared" si="14"/>
        <v>0</v>
      </c>
      <c r="BA27" s="9">
        <f t="shared" si="14"/>
        <v>0</v>
      </c>
      <c r="BB27" s="9">
        <f t="shared" si="14"/>
        <v>0</v>
      </c>
    </row>
    <row r="28" spans="1:54" ht="19.5" customHeight="1" x14ac:dyDescent="0.3">
      <c r="A28" s="3"/>
      <c r="B28" s="411" t="s">
        <v>461</v>
      </c>
      <c r="C28" s="9">
        <f>C24</f>
        <v>0</v>
      </c>
      <c r="D28" s="9">
        <f t="shared" ref="D28:N28" si="15">C28+D24</f>
        <v>0</v>
      </c>
      <c r="E28" s="9">
        <f t="shared" si="15"/>
        <v>0</v>
      </c>
      <c r="F28" s="9">
        <f t="shared" si="15"/>
        <v>0</v>
      </c>
      <c r="G28" s="9">
        <f t="shared" si="15"/>
        <v>0</v>
      </c>
      <c r="H28" s="9">
        <f t="shared" si="15"/>
        <v>0</v>
      </c>
      <c r="I28" s="9">
        <f t="shared" si="15"/>
        <v>0</v>
      </c>
      <c r="J28" s="9">
        <f t="shared" si="15"/>
        <v>0</v>
      </c>
      <c r="K28" s="9">
        <f t="shared" si="15"/>
        <v>0</v>
      </c>
      <c r="L28" s="9">
        <f t="shared" si="15"/>
        <v>0</v>
      </c>
      <c r="M28" s="9">
        <f t="shared" si="15"/>
        <v>0</v>
      </c>
      <c r="N28" s="9">
        <f t="shared" si="15"/>
        <v>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>
        <f t="shared" ref="AT28:BB28" si="16">AS28+AT24</f>
        <v>0</v>
      </c>
      <c r="AU28" s="9">
        <f t="shared" si="16"/>
        <v>0</v>
      </c>
      <c r="AV28" s="9">
        <f t="shared" si="16"/>
        <v>0</v>
      </c>
      <c r="AW28" s="9">
        <f t="shared" si="16"/>
        <v>0</v>
      </c>
      <c r="AX28" s="9">
        <f t="shared" si="16"/>
        <v>0</v>
      </c>
      <c r="AY28" s="9">
        <f t="shared" si="16"/>
        <v>0</v>
      </c>
      <c r="AZ28" s="9">
        <f t="shared" si="16"/>
        <v>0</v>
      </c>
      <c r="BA28" s="9">
        <f t="shared" si="16"/>
        <v>0</v>
      </c>
      <c r="BB28" s="9">
        <f t="shared" si="16"/>
        <v>0</v>
      </c>
    </row>
    <row r="29" spans="1:54" ht="19.5" customHeight="1" x14ac:dyDescent="0.3">
      <c r="A29" s="3"/>
      <c r="B29" s="411" t="s">
        <v>462</v>
      </c>
      <c r="C29" s="9">
        <f>C25</f>
        <v>0</v>
      </c>
      <c r="D29" s="9">
        <f t="shared" ref="D29:N29" si="17">C29+D25</f>
        <v>0</v>
      </c>
      <c r="E29" s="9">
        <f t="shared" si="17"/>
        <v>0</v>
      </c>
      <c r="F29" s="9">
        <f t="shared" si="17"/>
        <v>0</v>
      </c>
      <c r="G29" s="9">
        <f t="shared" si="17"/>
        <v>0</v>
      </c>
      <c r="H29" s="9">
        <f t="shared" si="17"/>
        <v>0</v>
      </c>
      <c r="I29" s="9">
        <f t="shared" si="17"/>
        <v>0</v>
      </c>
      <c r="J29" s="9">
        <f t="shared" si="17"/>
        <v>0</v>
      </c>
      <c r="K29" s="9">
        <f t="shared" si="17"/>
        <v>0</v>
      </c>
      <c r="L29" s="9">
        <f t="shared" si="17"/>
        <v>0</v>
      </c>
      <c r="M29" s="9">
        <f t="shared" si="17"/>
        <v>0</v>
      </c>
      <c r="N29" s="9">
        <f t="shared" si="17"/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>
        <f t="shared" ref="AT29:BB29" si="18">AS29+AT25</f>
        <v>0</v>
      </c>
      <c r="AU29" s="9">
        <f t="shared" si="18"/>
        <v>0</v>
      </c>
      <c r="AV29" s="9">
        <f t="shared" si="18"/>
        <v>0</v>
      </c>
      <c r="AW29" s="9">
        <f t="shared" si="18"/>
        <v>0</v>
      </c>
      <c r="AX29" s="9">
        <f t="shared" si="18"/>
        <v>0</v>
      </c>
      <c r="AY29" s="9">
        <f t="shared" si="18"/>
        <v>0</v>
      </c>
      <c r="AZ29" s="9">
        <f t="shared" si="18"/>
        <v>0</v>
      </c>
      <c r="BA29" s="9">
        <f t="shared" si="18"/>
        <v>0</v>
      </c>
      <c r="BB29" s="9">
        <f t="shared" si="18"/>
        <v>0</v>
      </c>
    </row>
    <row r="30" spans="1:54" ht="19.5" customHeight="1" x14ac:dyDescent="0.3">
      <c r="A30" s="3"/>
      <c r="B30" s="15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ht="19.5" customHeight="1" x14ac:dyDescent="0.3">
      <c r="A31" s="3"/>
      <c r="B31" s="15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ht="19.5" customHeight="1" x14ac:dyDescent="0.3">
      <c r="A32" s="3"/>
      <c r="B32" s="15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ht="19.5" customHeight="1" x14ac:dyDescent="0.3">
      <c r="A33" s="3"/>
      <c r="B33" s="411" t="s">
        <v>463</v>
      </c>
      <c r="C33" s="9">
        <f>SUMIFS(tbl_DCFC[F Montant HT],tbl_DCFC[Revenue_Month],C$21,tbl_DCFC[BU_Key],"GSE")</f>
        <v>0</v>
      </c>
      <c r="D33" s="9">
        <f>SUMIFS(tbl_DCFC[F Montant HT],tbl_DCFC[Revenue_Month],D$21,tbl_DCFC[BU_Key],"GSE")</f>
        <v>0</v>
      </c>
      <c r="E33" s="9">
        <f>SUMIFS(tbl_DCFC[F Montant HT],tbl_DCFC[Revenue_Month],E$21,tbl_DCFC[BU_Key],"GSE")</f>
        <v>0</v>
      </c>
      <c r="F33" s="9">
        <f>SUMIFS(tbl_DCFC[F Montant HT],tbl_DCFC[Revenue_Month],F$21,tbl_DCFC[BU_Key],"GSE")</f>
        <v>0</v>
      </c>
      <c r="G33" s="9">
        <f>SUMIFS(tbl_DCFC[F Montant HT],tbl_DCFC[Revenue_Month],G$21,tbl_DCFC[BU_Key],"GSE")</f>
        <v>0</v>
      </c>
      <c r="H33" s="9">
        <f>SUMIFS(tbl_DCFC[F Montant HT],tbl_DCFC[Revenue_Month],H$21,tbl_DCFC[BU_Key],"GSE")</f>
        <v>0</v>
      </c>
      <c r="I33" s="9">
        <f>SUMIFS(tbl_DCFC[F Montant HT],tbl_DCFC[Revenue_Month],I$21,tbl_DCFC[BU_Key],"GSE")</f>
        <v>0</v>
      </c>
      <c r="J33" s="9">
        <f>SUMIFS(tbl_DCFC[F Montant HT],tbl_DCFC[Revenue_Month],J$21,tbl_DCFC[BU_Key],"GSE")</f>
        <v>0</v>
      </c>
      <c r="K33" s="9">
        <f>SUMIFS(tbl_DCFC[F Montant HT],tbl_DCFC[Revenue_Month],K$21,tbl_DCFC[BU_Key],"GSE")</f>
        <v>0</v>
      </c>
      <c r="L33" s="9">
        <f>SUMIFS(tbl_DCFC[F Montant HT],tbl_DCFC[Revenue_Month],L$21,tbl_DCFC[BU_Key],"GSE")</f>
        <v>0</v>
      </c>
      <c r="M33" s="9">
        <f>SUMIFS(tbl_DCFC[F Montant HT],tbl_DCFC[Revenue_Month],M$21,tbl_DCFC[BU_Key],"GSE")</f>
        <v>0</v>
      </c>
      <c r="N33" s="9">
        <f>SUMIFS(tbl_DCFC[F Montant HT],tbl_DCFC[Revenue_Month],N$21,tbl_DCFC[BU_Key],"GSE")</f>
        <v>0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>
        <f>SUMIFS(tbl_DCFC[F Montant HT],tbl_DCFC[CW REV],AT$1,tbl_DCFC[BU_Key],"GSE")</f>
        <v>0</v>
      </c>
      <c r="AU33" s="9">
        <f>SUMIFS(tbl_DCFC[F Montant HT],tbl_DCFC[CW REV],AU$1,tbl_DCFC[BU_Key],"GSE")</f>
        <v>0</v>
      </c>
      <c r="AV33" s="9">
        <f>SUMIFS(tbl_DCFC[F Montant HT],tbl_DCFC[CW REV],AV$1,tbl_DCFC[BU_Key],"GSE")</f>
        <v>0</v>
      </c>
      <c r="AW33" s="9">
        <f>SUMIFS(tbl_DCFC[F Montant HT],tbl_DCFC[CW REV],AW$1,tbl_DCFC[BU_Key],"GSE")</f>
        <v>0</v>
      </c>
      <c r="AX33" s="9">
        <f>SUMIFS(tbl_DCFC[F Montant HT],tbl_DCFC[CW REV],AX$1,tbl_DCFC[BU_Key],"GSE")</f>
        <v>0</v>
      </c>
      <c r="AY33" s="9">
        <f>SUMIFS(tbl_DCFC[F Montant HT],tbl_DCFC[CW REV],AY$1,tbl_DCFC[BU_Key],"GSE")</f>
        <v>0</v>
      </c>
      <c r="AZ33" s="9">
        <f>SUMIFS(tbl_DCFC[F Montant HT],tbl_DCFC[CW REV],AZ$1,tbl_DCFC[BU_Key],"GSE")</f>
        <v>0</v>
      </c>
      <c r="BA33" s="9">
        <f>SUMIFS(tbl_DCFC[F Montant HT],tbl_DCFC[CW REV],BA$1,tbl_DCFC[BU_Key],"GSE")</f>
        <v>0</v>
      </c>
      <c r="BB33" s="9">
        <f>SUMIFS(tbl_DCFC[F Montant HT],tbl_DCFC[CW REV],BB$1,tbl_DCFC[BU_Key],"GSE")</f>
        <v>0</v>
      </c>
    </row>
    <row r="34" spans="1:54" ht="19.5" customHeight="1" x14ac:dyDescent="0.3">
      <c r="A34" s="3"/>
      <c r="B34" s="411" t="s">
        <v>464</v>
      </c>
      <c r="C34" s="9">
        <f>SUMIFS(tbl_DCFC[F Montant HT],tbl_DCFC[Revenue_Month],C$21,tbl_DCFC[BU_Key],"TOO")</f>
        <v>6172</v>
      </c>
      <c r="D34" s="9">
        <f>SUMIFS(tbl_DCFC[F Montant HT],tbl_DCFC[Revenue_Month],D$21,tbl_DCFC[BU_Key],"TOO")</f>
        <v>0</v>
      </c>
      <c r="E34" s="9">
        <f>SUMIFS(tbl_DCFC[F Montant HT],tbl_DCFC[Revenue_Month],E$21,tbl_DCFC[BU_Key],"TOO")</f>
        <v>0</v>
      </c>
      <c r="F34" s="9">
        <f>SUMIFS(tbl_DCFC[F Montant HT],tbl_DCFC[Revenue_Month],F$21,tbl_DCFC[BU_Key],"TOO")</f>
        <v>0</v>
      </c>
      <c r="G34" s="9">
        <f>SUMIFS(tbl_DCFC[F Montant HT],tbl_DCFC[Revenue_Month],G$21,tbl_DCFC[BU_Key],"TOO")</f>
        <v>0</v>
      </c>
      <c r="H34" s="9">
        <f>SUMIFS(tbl_DCFC[F Montant HT],tbl_DCFC[Revenue_Month],H$21,tbl_DCFC[BU_Key],"TOO")</f>
        <v>0</v>
      </c>
      <c r="I34" s="9">
        <f>SUMIFS(tbl_DCFC[F Montant HT],tbl_DCFC[Revenue_Month],I$21,tbl_DCFC[BU_Key],"TOO")</f>
        <v>0</v>
      </c>
      <c r="J34" s="9">
        <f>SUMIFS(tbl_DCFC[F Montant HT],tbl_DCFC[Revenue_Month],J$21,tbl_DCFC[BU_Key],"TOO")</f>
        <v>0</v>
      </c>
      <c r="K34" s="9">
        <f>SUMIFS(tbl_DCFC[F Montant HT],tbl_DCFC[Revenue_Month],K$21,tbl_DCFC[BU_Key],"TOO")</f>
        <v>0</v>
      </c>
      <c r="L34" s="9">
        <f>SUMIFS(tbl_DCFC[F Montant HT],tbl_DCFC[Revenue_Month],L$21,tbl_DCFC[BU_Key],"TOO")</f>
        <v>0</v>
      </c>
      <c r="M34" s="9">
        <f>SUMIFS(tbl_DCFC[F Montant HT],tbl_DCFC[Revenue_Month],M$21,tbl_DCFC[BU_Key],"TOO")</f>
        <v>0</v>
      </c>
      <c r="N34" s="9">
        <f>SUMIFS(tbl_DCFC[F Montant HT],tbl_DCFC[Revenue_Month],N$21,tbl_DCFC[BU_Key],"TOO")</f>
        <v>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>
        <f>SUMIFS(tbl_DCFC[F Montant HT],tbl_DCFC[CW REV],AT$1,tbl_DCFC[BU_Key],"TOO")</f>
        <v>0</v>
      </c>
      <c r="AU34" s="9">
        <f>SUMIFS(tbl_DCFC[F Montant HT],tbl_DCFC[CW REV],AU$1,tbl_DCFC[BU_Key],"TOO")</f>
        <v>0</v>
      </c>
      <c r="AV34" s="9">
        <f>SUMIFS(tbl_DCFC[F Montant HT],tbl_DCFC[CW REV],AV$1,tbl_DCFC[BU_Key],"TOO")</f>
        <v>0</v>
      </c>
      <c r="AW34" s="9">
        <f>SUMIFS(tbl_DCFC[F Montant HT],tbl_DCFC[CW REV],AW$1,tbl_DCFC[BU_Key],"TOO")</f>
        <v>0</v>
      </c>
      <c r="AX34" s="9">
        <f>SUMIFS(tbl_DCFC[F Montant HT],tbl_DCFC[CW REV],AX$1,tbl_DCFC[BU_Key],"TOO")</f>
        <v>0</v>
      </c>
      <c r="AY34" s="9">
        <f>SUMIFS(tbl_DCFC[F Montant HT],tbl_DCFC[CW REV],AY$1,tbl_DCFC[BU_Key],"TOO")</f>
        <v>0</v>
      </c>
      <c r="AZ34" s="9">
        <f>SUMIFS(tbl_DCFC[F Montant HT],tbl_DCFC[CW REV],AZ$1,tbl_DCFC[BU_Key],"TOO")</f>
        <v>0</v>
      </c>
      <c r="BA34" s="9">
        <f>SUMIFS(tbl_DCFC[F Montant HT],tbl_DCFC[CW REV],BA$1,tbl_DCFC[BU_Key],"TOO")</f>
        <v>0</v>
      </c>
      <c r="BB34" s="9">
        <f>SUMIFS(tbl_DCFC[F Montant HT],tbl_DCFC[CW REV],BB$1,tbl_DCFC[BU_Key],"TOO")</f>
        <v>0</v>
      </c>
    </row>
    <row r="35" spans="1:54" ht="19.5" customHeight="1" x14ac:dyDescent="0.3">
      <c r="A35" s="3"/>
      <c r="B35" s="411" t="s">
        <v>465</v>
      </c>
      <c r="C35" s="9">
        <f>SUMIFS(tbl_DCFC[F Montant HT],tbl_DCFC[Revenue_Month],C$21,tbl_DCFC[BU_Key],"SER")</f>
        <v>21255.5</v>
      </c>
      <c r="D35" s="9">
        <f>SUMIFS(tbl_DCFC[F Montant HT],tbl_DCFC[Revenue_Month],D$21,tbl_DCFC[BU_Key],"SER")</f>
        <v>0</v>
      </c>
      <c r="E35" s="9">
        <f>SUMIFS(tbl_DCFC[F Montant HT],tbl_DCFC[Revenue_Month],E$21,tbl_DCFC[BU_Key],"SER")</f>
        <v>0</v>
      </c>
      <c r="F35" s="9">
        <f>SUMIFS(tbl_DCFC[F Montant HT],tbl_DCFC[Revenue_Month],F$21,tbl_DCFC[BU_Key],"SER")</f>
        <v>0</v>
      </c>
      <c r="G35" s="9">
        <f>SUMIFS(tbl_DCFC[F Montant HT],tbl_DCFC[Revenue_Month],G$21,tbl_DCFC[BU_Key],"SER")</f>
        <v>0</v>
      </c>
      <c r="H35" s="9">
        <f>SUMIFS(tbl_DCFC[F Montant HT],tbl_DCFC[Revenue_Month],H$21,tbl_DCFC[BU_Key],"SER")</f>
        <v>0</v>
      </c>
      <c r="I35" s="9">
        <f>SUMIFS(tbl_DCFC[F Montant HT],tbl_DCFC[Revenue_Month],I$21,tbl_DCFC[BU_Key],"SER")</f>
        <v>0</v>
      </c>
      <c r="J35" s="9">
        <f>SUMIFS(tbl_DCFC[F Montant HT],tbl_DCFC[Revenue_Month],J$21,tbl_DCFC[BU_Key],"SER")</f>
        <v>0</v>
      </c>
      <c r="K35" s="9">
        <f>SUMIFS(tbl_DCFC[F Montant HT],tbl_DCFC[Revenue_Month],K$21,tbl_DCFC[BU_Key],"SER")</f>
        <v>0</v>
      </c>
      <c r="L35" s="9">
        <f>SUMIFS(tbl_DCFC[F Montant HT],tbl_DCFC[Revenue_Month],L$21,tbl_DCFC[BU_Key],"SER")</f>
        <v>0</v>
      </c>
      <c r="M35" s="9">
        <f>SUMIFS(tbl_DCFC[F Montant HT],tbl_DCFC[Revenue_Month],M$21,tbl_DCFC[BU_Key],"SER")</f>
        <v>0</v>
      </c>
      <c r="N35" s="9">
        <f>SUMIFS(tbl_DCFC[F Montant HT],tbl_DCFC[Revenue_Month],N$21,tbl_DCFC[BU_Key],"SER")</f>
        <v>0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>
        <f>SUMIFS(tbl_DCFC[F Montant HT],tbl_DCFC[CW REV],AT$1,tbl_DCFC[BU_Key],"SER")</f>
        <v>0</v>
      </c>
      <c r="AU35" s="9">
        <f>SUMIFS(tbl_DCFC[F Montant HT],tbl_DCFC[CW REV],AU$1,tbl_DCFC[BU_Key],"SER")</f>
        <v>0</v>
      </c>
      <c r="AV35" s="9">
        <f>SUMIFS(tbl_DCFC[F Montant HT],tbl_DCFC[CW REV],AV$1,tbl_DCFC[BU_Key],"SER")</f>
        <v>0</v>
      </c>
      <c r="AW35" s="9">
        <f>SUMIFS(tbl_DCFC[F Montant HT],tbl_DCFC[CW REV],AW$1,tbl_DCFC[BU_Key],"SER")</f>
        <v>0</v>
      </c>
      <c r="AX35" s="9">
        <f>SUMIFS(tbl_DCFC[F Montant HT],tbl_DCFC[CW REV],AX$1,tbl_DCFC[BU_Key],"SER")</f>
        <v>0</v>
      </c>
      <c r="AY35" s="9">
        <f>SUMIFS(tbl_DCFC[F Montant HT],tbl_DCFC[CW REV],AY$1,tbl_DCFC[BU_Key],"SER")</f>
        <v>0</v>
      </c>
      <c r="AZ35" s="9">
        <f>SUMIFS(tbl_DCFC[F Montant HT],tbl_DCFC[CW REV],AZ$1,tbl_DCFC[BU_Key],"SER")</f>
        <v>0</v>
      </c>
      <c r="BA35" s="9">
        <f>SUMIFS(tbl_DCFC[F Montant HT],tbl_DCFC[CW REV],BA$1,tbl_DCFC[BU_Key],"SER")</f>
        <v>0</v>
      </c>
      <c r="BB35" s="9">
        <f>SUMIFS(tbl_DCFC[F Montant HT],tbl_DCFC[CW REV],BB$1,tbl_DCFC[BU_Key],"SER")</f>
        <v>0</v>
      </c>
    </row>
    <row r="36" spans="1:54" ht="19.5" customHeight="1" x14ac:dyDescent="0.3">
      <c r="A36" s="3"/>
      <c r="B36" s="411" t="s">
        <v>458</v>
      </c>
      <c r="C36" s="155">
        <f>SUMIFS(tbl_DCFC[F Montant HT],tbl_DCFC[Revenue_Month],C$21,tbl_DCFC[BU_Key],"INT")</f>
        <v>0</v>
      </c>
      <c r="D36" s="155">
        <f>SUMIFS(tbl_DCFC[F Montant HT],tbl_DCFC[Revenue_Month],D$21,tbl_DCFC[BU_Key],"INT")</f>
        <v>0</v>
      </c>
      <c r="E36" s="155">
        <f>SUMIFS(tbl_DCFC[F Montant HT],tbl_DCFC[Revenue_Month],E$21,tbl_DCFC[BU_Key],"INT")</f>
        <v>0</v>
      </c>
      <c r="F36" s="155">
        <f>SUMIFS(tbl_DCFC[F Montant HT],tbl_DCFC[Revenue_Month],F$21,tbl_DCFC[BU_Key],"INT")</f>
        <v>0</v>
      </c>
      <c r="G36" s="155">
        <f>SUMIFS(tbl_DCFC[F Montant HT],tbl_DCFC[Revenue_Month],G$21,tbl_DCFC[BU_Key],"INT")</f>
        <v>0</v>
      </c>
      <c r="H36" s="155">
        <f>SUMIFS(tbl_DCFC[F Montant HT],tbl_DCFC[Revenue_Month],H$21,tbl_DCFC[BU_Key],"INT")</f>
        <v>0</v>
      </c>
      <c r="I36" s="155">
        <f>SUMIFS(tbl_DCFC[F Montant HT],tbl_DCFC[Revenue_Month],I$21,tbl_DCFC[BU_Key],"INT")</f>
        <v>0</v>
      </c>
      <c r="J36" s="155">
        <f>SUMIFS(tbl_DCFC[F Montant HT],tbl_DCFC[Revenue_Month],J$21,tbl_DCFC[BU_Key],"INT")</f>
        <v>0</v>
      </c>
      <c r="K36" s="155">
        <f>SUMIFS(tbl_DCFC[F Montant HT],tbl_DCFC[Revenue_Month],K$21,tbl_DCFC[BU_Key],"INT")</f>
        <v>0</v>
      </c>
      <c r="L36" s="155">
        <f>SUMIFS(tbl_DCFC[F Montant HT],tbl_DCFC[Revenue_Month],L$21,tbl_DCFC[BU_Key],"INT")</f>
        <v>0</v>
      </c>
      <c r="M36" s="155">
        <f>SUMIFS(tbl_DCFC[F Montant HT],tbl_DCFC[Revenue_Month],M$21,tbl_DCFC[BU_Key],"INT")</f>
        <v>0</v>
      </c>
      <c r="N36" s="155">
        <f>SUMIFS(tbl_DCFC[F Montant HT],tbl_DCFC[Revenue_Month],N$21,tbl_DCFC[BU_Key],"INT")</f>
        <v>0</v>
      </c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>
        <f>SUMIFS(tbl_DCFC[F Montant HT],tbl_DCFC[CW REV],AT$1,tbl_DCFC[BU_Key],"INT")</f>
        <v>0</v>
      </c>
      <c r="AU36" s="155">
        <f>SUMIFS(tbl_DCFC[F Montant HT],tbl_DCFC[CW REV],AU$1,tbl_DCFC[BU_Key],"INT")</f>
        <v>0</v>
      </c>
      <c r="AV36" s="155">
        <f>SUMIFS(tbl_DCFC[F Montant HT],tbl_DCFC[CW REV],AV$1,tbl_DCFC[BU_Key],"INT")</f>
        <v>0</v>
      </c>
      <c r="AW36" s="155">
        <f>SUMIFS(tbl_DCFC[F Montant HT],tbl_DCFC[CW REV],AW$1,tbl_DCFC[BU_Key],"INT")</f>
        <v>0</v>
      </c>
      <c r="AX36" s="155">
        <f>SUMIFS(tbl_DCFC[F Montant HT],tbl_DCFC[CW REV],AX$1,tbl_DCFC[BU_Key],"INT")</f>
        <v>0</v>
      </c>
      <c r="AY36" s="155">
        <f>SUMIFS(tbl_DCFC[F Montant HT],tbl_DCFC[CW REV],AY$1,tbl_DCFC[BU_Key],"INT")</f>
        <v>0</v>
      </c>
      <c r="AZ36" s="155">
        <f>SUMIFS(tbl_DCFC[F Montant HT],tbl_DCFC[CW REV],AZ$1,tbl_DCFC[BU_Key],"INT")</f>
        <v>0</v>
      </c>
      <c r="BA36" s="155">
        <f>SUMIFS(tbl_DCFC[F Montant HT],tbl_DCFC[CW REV],BA$1,tbl_DCFC[BU_Key],"INT")</f>
        <v>0</v>
      </c>
      <c r="BB36" s="155">
        <f>SUMIFS(tbl_DCFC[F Montant HT],tbl_DCFC[CW REV],BB$1,tbl_DCFC[BU_Key],"INT")</f>
        <v>0</v>
      </c>
    </row>
    <row r="37" spans="1:54" ht="19.5" customHeight="1" x14ac:dyDescent="0.3">
      <c r="A37" s="3"/>
      <c r="B37" s="411" t="s">
        <v>466</v>
      </c>
      <c r="C37" s="9">
        <f>C33</f>
        <v>0</v>
      </c>
      <c r="D37" s="9">
        <f t="shared" ref="D37:N37" si="19">C37+D33</f>
        <v>0</v>
      </c>
      <c r="E37" s="9">
        <f t="shared" si="19"/>
        <v>0</v>
      </c>
      <c r="F37" s="9">
        <f t="shared" si="19"/>
        <v>0</v>
      </c>
      <c r="G37" s="9">
        <f t="shared" si="19"/>
        <v>0</v>
      </c>
      <c r="H37" s="9">
        <f t="shared" si="19"/>
        <v>0</v>
      </c>
      <c r="I37" s="9">
        <f t="shared" si="19"/>
        <v>0</v>
      </c>
      <c r="J37" s="9">
        <f t="shared" si="19"/>
        <v>0</v>
      </c>
      <c r="K37" s="9">
        <f t="shared" si="19"/>
        <v>0</v>
      </c>
      <c r="L37" s="9">
        <f t="shared" si="19"/>
        <v>0</v>
      </c>
      <c r="M37" s="9">
        <f t="shared" si="19"/>
        <v>0</v>
      </c>
      <c r="N37" s="9">
        <f t="shared" si="19"/>
        <v>0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>
        <f t="shared" ref="AT37:BB37" si="20">AS37+AT33</f>
        <v>0</v>
      </c>
      <c r="AU37" s="9">
        <f t="shared" si="20"/>
        <v>0</v>
      </c>
      <c r="AV37" s="9">
        <f t="shared" si="20"/>
        <v>0</v>
      </c>
      <c r="AW37" s="9">
        <f t="shared" si="20"/>
        <v>0</v>
      </c>
      <c r="AX37" s="9">
        <f t="shared" si="20"/>
        <v>0</v>
      </c>
      <c r="AY37" s="9">
        <f t="shared" si="20"/>
        <v>0</v>
      </c>
      <c r="AZ37" s="9">
        <f t="shared" si="20"/>
        <v>0</v>
      </c>
      <c r="BA37" s="9">
        <f t="shared" si="20"/>
        <v>0</v>
      </c>
      <c r="BB37" s="9">
        <f t="shared" si="20"/>
        <v>0</v>
      </c>
    </row>
    <row r="38" spans="1:54" ht="19.5" customHeight="1" x14ac:dyDescent="0.3">
      <c r="A38" s="3"/>
      <c r="B38" s="411" t="s">
        <v>467</v>
      </c>
      <c r="C38" s="9">
        <f>C34</f>
        <v>6172</v>
      </c>
      <c r="D38" s="9">
        <f t="shared" ref="D38:N38" si="21">C38+D34</f>
        <v>6172</v>
      </c>
      <c r="E38" s="9">
        <f t="shared" si="21"/>
        <v>6172</v>
      </c>
      <c r="F38" s="9">
        <f t="shared" si="21"/>
        <v>6172</v>
      </c>
      <c r="G38" s="9">
        <f t="shared" si="21"/>
        <v>6172</v>
      </c>
      <c r="H38" s="9">
        <f t="shared" si="21"/>
        <v>6172</v>
      </c>
      <c r="I38" s="9">
        <f t="shared" si="21"/>
        <v>6172</v>
      </c>
      <c r="J38" s="9">
        <f t="shared" si="21"/>
        <v>6172</v>
      </c>
      <c r="K38" s="9">
        <f t="shared" si="21"/>
        <v>6172</v>
      </c>
      <c r="L38" s="9">
        <f t="shared" si="21"/>
        <v>6172</v>
      </c>
      <c r="M38" s="9">
        <f t="shared" si="21"/>
        <v>6172</v>
      </c>
      <c r="N38" s="9">
        <f t="shared" si="21"/>
        <v>6172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>
        <f t="shared" ref="AT38:BB38" si="22">AS38+AT34</f>
        <v>0</v>
      </c>
      <c r="AU38" s="9">
        <f t="shared" si="22"/>
        <v>0</v>
      </c>
      <c r="AV38" s="9">
        <f t="shared" si="22"/>
        <v>0</v>
      </c>
      <c r="AW38" s="9">
        <f t="shared" si="22"/>
        <v>0</v>
      </c>
      <c r="AX38" s="9">
        <f t="shared" si="22"/>
        <v>0</v>
      </c>
      <c r="AY38" s="9">
        <f t="shared" si="22"/>
        <v>0</v>
      </c>
      <c r="AZ38" s="9">
        <f t="shared" si="22"/>
        <v>0</v>
      </c>
      <c r="BA38" s="9">
        <f t="shared" si="22"/>
        <v>0</v>
      </c>
      <c r="BB38" s="9">
        <f t="shared" si="22"/>
        <v>0</v>
      </c>
    </row>
    <row r="39" spans="1:54" ht="19.5" customHeight="1" x14ac:dyDescent="0.3">
      <c r="A39" s="3"/>
      <c r="B39" s="411" t="s">
        <v>468</v>
      </c>
      <c r="C39" s="9">
        <f>C35</f>
        <v>21255.5</v>
      </c>
      <c r="D39" s="9">
        <f t="shared" ref="D39:N39" si="23">C39+D35</f>
        <v>21255.5</v>
      </c>
      <c r="E39" s="9">
        <f t="shared" si="23"/>
        <v>21255.5</v>
      </c>
      <c r="F39" s="9">
        <f t="shared" si="23"/>
        <v>21255.5</v>
      </c>
      <c r="G39" s="9">
        <f t="shared" si="23"/>
        <v>21255.5</v>
      </c>
      <c r="H39" s="9">
        <f t="shared" si="23"/>
        <v>21255.5</v>
      </c>
      <c r="I39" s="9">
        <f t="shared" si="23"/>
        <v>21255.5</v>
      </c>
      <c r="J39" s="9">
        <f t="shared" si="23"/>
        <v>21255.5</v>
      </c>
      <c r="K39" s="9">
        <f t="shared" si="23"/>
        <v>21255.5</v>
      </c>
      <c r="L39" s="9">
        <f t="shared" si="23"/>
        <v>21255.5</v>
      </c>
      <c r="M39" s="9">
        <f t="shared" si="23"/>
        <v>21255.5</v>
      </c>
      <c r="N39" s="9">
        <f t="shared" si="23"/>
        <v>21255.5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>
        <f t="shared" ref="AT39:BB39" si="24">AS39+AT35</f>
        <v>0</v>
      </c>
      <c r="AU39" s="9">
        <f t="shared" si="24"/>
        <v>0</v>
      </c>
      <c r="AV39" s="9">
        <f t="shared" si="24"/>
        <v>0</v>
      </c>
      <c r="AW39" s="9">
        <f t="shared" si="24"/>
        <v>0</v>
      </c>
      <c r="AX39" s="9">
        <f t="shared" si="24"/>
        <v>0</v>
      </c>
      <c r="AY39" s="9">
        <f t="shared" si="24"/>
        <v>0</v>
      </c>
      <c r="AZ39" s="9">
        <f t="shared" si="24"/>
        <v>0</v>
      </c>
      <c r="BA39" s="9">
        <f t="shared" si="24"/>
        <v>0</v>
      </c>
      <c r="BB39" s="9">
        <f t="shared" si="24"/>
        <v>0</v>
      </c>
    </row>
    <row r="40" spans="1:54" ht="19.5" customHeight="1" x14ac:dyDescent="0.3">
      <c r="A40" s="3"/>
      <c r="B40" s="411" t="s">
        <v>469</v>
      </c>
      <c r="C40" s="9">
        <f>C36</f>
        <v>0</v>
      </c>
      <c r="D40" s="9">
        <f t="shared" ref="D40:N40" si="25">C40+D36</f>
        <v>0</v>
      </c>
      <c r="E40" s="9">
        <f t="shared" si="25"/>
        <v>0</v>
      </c>
      <c r="F40" s="9">
        <f t="shared" si="25"/>
        <v>0</v>
      </c>
      <c r="G40" s="9">
        <f t="shared" si="25"/>
        <v>0</v>
      </c>
      <c r="H40" s="9">
        <f t="shared" si="25"/>
        <v>0</v>
      </c>
      <c r="I40" s="9">
        <f t="shared" si="25"/>
        <v>0</v>
      </c>
      <c r="J40" s="9">
        <f t="shared" si="25"/>
        <v>0</v>
      </c>
      <c r="K40" s="9">
        <f t="shared" si="25"/>
        <v>0</v>
      </c>
      <c r="L40" s="9">
        <f t="shared" si="25"/>
        <v>0</v>
      </c>
      <c r="M40" s="9">
        <f t="shared" si="25"/>
        <v>0</v>
      </c>
      <c r="N40" s="9">
        <f t="shared" si="25"/>
        <v>0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>
        <f t="shared" ref="AT40:BB40" si="26">AS40+AT36</f>
        <v>0</v>
      </c>
      <c r="AU40" s="9">
        <f t="shared" si="26"/>
        <v>0</v>
      </c>
      <c r="AV40" s="9">
        <f t="shared" si="26"/>
        <v>0</v>
      </c>
      <c r="AW40" s="9">
        <f t="shared" si="26"/>
        <v>0</v>
      </c>
      <c r="AX40" s="9">
        <f t="shared" si="26"/>
        <v>0</v>
      </c>
      <c r="AY40" s="9">
        <f t="shared" si="26"/>
        <v>0</v>
      </c>
      <c r="AZ40" s="9">
        <f t="shared" si="26"/>
        <v>0</v>
      </c>
      <c r="BA40" s="9">
        <f t="shared" si="26"/>
        <v>0</v>
      </c>
      <c r="BB40" s="9">
        <f t="shared" si="26"/>
        <v>0</v>
      </c>
    </row>
    <row r="41" spans="1:54" ht="19.5" customHeight="1" x14ac:dyDescent="0.3">
      <c r="A41" s="3"/>
      <c r="B41" s="39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  <row r="42" spans="1:54" ht="19.5" customHeight="1" x14ac:dyDescent="0.3">
      <c r="A42" s="3"/>
      <c r="B42" s="39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</row>
    <row r="43" spans="1:54" ht="19.5" customHeight="1" x14ac:dyDescent="0.3">
      <c r="A43" s="3"/>
      <c r="B43" s="39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</row>
    <row r="44" spans="1:54" ht="19.5" customHeight="1" x14ac:dyDescent="0.3">
      <c r="A44" s="3"/>
      <c r="B44" s="41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</row>
    <row r="45" spans="1:54" ht="19.5" customHeight="1" x14ac:dyDescent="0.3">
      <c r="A45" s="3"/>
      <c r="B45" s="39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</row>
    <row r="46" spans="1:54" ht="19.5" customHeight="1" x14ac:dyDescent="0.3">
      <c r="A46" s="3"/>
      <c r="B46" s="121" t="s">
        <v>470</v>
      </c>
      <c r="C46" s="9">
        <f>SUMIFS(Data!$AD$3:$AD$150,Data!$Z$3:$Z$150,C$21,Data!$Y$3:$Y$150,"2021",Data!$K$3:$K$150,'Reporting 2021'!$B15)</f>
        <v>0</v>
      </c>
      <c r="D46" s="9">
        <f>SUMIFS(Data!$AD$3:$AD$150,Data!$Z$3:$Z$150,D$21,Data!$Y$3:$Y$150,"2021",Data!$K$3:$K$150,'Reporting 2021'!$B15)</f>
        <v>0</v>
      </c>
      <c r="E46" s="9">
        <f>SUMIFS(Data!$AD$3:$AD$150,Data!$Z$3:$Z$150,E$21,Data!$Y$3:$Y$150,"2021",Data!$K$3:$K$150,'Reporting 2021'!$B15)</f>
        <v>0</v>
      </c>
      <c r="F46" s="9">
        <f>SUMIFS(Data!$AD$3:$AD$150,Data!$Z$3:$Z$150,F$21,Data!$Y$3:$Y$150,"2021",Data!$K$3:$K$150,'Reporting 2021'!$B15)</f>
        <v>0</v>
      </c>
      <c r="G46" s="9">
        <f>SUMIFS(Data!$AD$3:$AD$150,Data!$Z$3:$Z$150,G$21,Data!$Y$3:$Y$150,"2021",Data!$K$3:$K$150,'Reporting 2021'!$B15)</f>
        <v>0</v>
      </c>
      <c r="H46" s="9">
        <f>SUMIFS(Data!$AD$3:$AD$150,Data!$Z$3:$Z$150,H$21,Data!$Y$3:$Y$150,"2021",Data!$K$3:$K$150,'Reporting 2021'!$B15)</f>
        <v>0</v>
      </c>
      <c r="I46" s="9">
        <f>SUMIFS(Data!$AD$3:$AD$150,Data!$Z$3:$Z$150,I$21,Data!$Y$3:$Y$150,"2021",Data!$K$3:$K$150,'Reporting 2021'!$B15)</f>
        <v>0</v>
      </c>
      <c r="J46" s="9">
        <f>SUMIFS(Data!$AD$3:$AD$150,Data!$Z$3:$Z$150,J$21,Data!$Y$3:$Y$150,"2021",Data!$K$3:$K$150,'Reporting 2021'!$B15)</f>
        <v>0</v>
      </c>
      <c r="K46" s="9">
        <f>SUMIFS(Data!$AD$3:$AD$150,Data!$Z$3:$Z$150,K$21,Data!$Y$3:$Y$150,"2021",Data!$K$3:$K$150,'Reporting 2021'!$B15)</f>
        <v>0</v>
      </c>
      <c r="L46" s="9">
        <f>SUMIFS(Data!$AD$3:$AD$150,Data!$Z$3:$Z$150,L$21,Data!$Y$3:$Y$150,"2021",Data!$K$3:$K$150,'Reporting 2021'!$B15)</f>
        <v>0</v>
      </c>
      <c r="M46" s="9">
        <f>SUMIFS(Data!$AD$3:$AD$150,Data!$Z$3:$Z$150,M$21,Data!$Y$3:$Y$150,"2021",Data!$K$3:$K$150,'Reporting 2021'!$B15)</f>
        <v>0</v>
      </c>
      <c r="N46" s="9">
        <f>SUMIFS(Data!$AD$3:$AD$150,Data!$Z$3:$Z$150,N$21,Data!$Y$3:$Y$150,"2021",Data!$K$3:$K$150,'Reporting 2021'!$B15)</f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ht="19.5" customHeight="1" x14ac:dyDescent="0.3">
      <c r="A47" s="3"/>
      <c r="B47" s="121" t="s">
        <v>471</v>
      </c>
      <c r="C47" s="9">
        <f>SUMIFS(Data!$AD$3:$AD$150,Data!$Z$3:$Z$150,C$21,Data!$Y$3:$Y$150,"2021",Data!$K$3:$K$150,'Reporting 2021'!$B16)</f>
        <v>0</v>
      </c>
      <c r="D47" s="9">
        <f>SUMIFS(Data!$AD$3:$AD$150,Data!$Z$3:$Z$150,D$21,Data!$Y$3:$Y$150,"2021",Data!$K$3:$K$150,'Reporting 2021'!$B16)</f>
        <v>0</v>
      </c>
      <c r="E47" s="9">
        <f>SUMIFS(Data!$AD$3:$AD$150,Data!$Z$3:$Z$150,E$21,Data!$Y$3:$Y$150,"2021",Data!$K$3:$K$150,'Reporting 2021'!$B16)</f>
        <v>0</v>
      </c>
      <c r="F47" s="9">
        <f>SUMIFS(Data!$AD$3:$AD$150,Data!$Z$3:$Z$150,F$21,Data!$Y$3:$Y$150,"2021",Data!$K$3:$K$150,'Reporting 2021'!$B16)</f>
        <v>0</v>
      </c>
      <c r="G47" s="9">
        <f>SUMIFS(Data!$AD$3:$AD$150,Data!$Z$3:$Z$150,G$21,Data!$Y$3:$Y$150,"2021",Data!$K$3:$K$150,'Reporting 2021'!$B16)</f>
        <v>0</v>
      </c>
      <c r="H47" s="9">
        <f>SUMIFS(Data!$AD$3:$AD$150,Data!$Z$3:$Z$150,H$21,Data!$Y$3:$Y$150,"2021",Data!$K$3:$K$150,'Reporting 2021'!$B16)</f>
        <v>0</v>
      </c>
      <c r="I47" s="9">
        <f>SUMIFS(Data!$AD$3:$AD$150,Data!$Z$3:$Z$150,I$21,Data!$Y$3:$Y$150,"2021",Data!$K$3:$K$150,'Reporting 2021'!$B16)</f>
        <v>0</v>
      </c>
      <c r="J47" s="9">
        <f>SUMIFS(Data!$AD$3:$AD$150,Data!$Z$3:$Z$150,J$21,Data!$Y$3:$Y$150,"2021",Data!$K$3:$K$150,'Reporting 2021'!$B16)</f>
        <v>0</v>
      </c>
      <c r="K47" s="9">
        <f>SUMIFS(Data!$AD$3:$AD$150,Data!$Z$3:$Z$150,K$21,Data!$Y$3:$Y$150,"2021",Data!$K$3:$K$150,'Reporting 2021'!$B16)</f>
        <v>0</v>
      </c>
      <c r="L47" s="9">
        <f>SUMIFS(Data!$AD$3:$AD$150,Data!$Z$3:$Z$150,L$21,Data!$Y$3:$Y$150,"2021",Data!$K$3:$K$150,'Reporting 2021'!$B16)</f>
        <v>0</v>
      </c>
      <c r="M47" s="9">
        <f>SUMIFS(Data!$AD$3:$AD$150,Data!$Z$3:$Z$150,M$21,Data!$Y$3:$Y$150,"2021",Data!$K$3:$K$150,'Reporting 2021'!$B16)</f>
        <v>0</v>
      </c>
      <c r="N47" s="9">
        <f>SUMIFS(Data!$AD$3:$AD$150,Data!$Z$3:$Z$150,N$21,Data!$Y$3:$Y$150,"2021",Data!$K$3:$K$150,'Reporting 2021'!$B16)</f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ht="19.5" customHeight="1" x14ac:dyDescent="0.3">
      <c r="A48" s="3"/>
      <c r="B48" s="121" t="s">
        <v>472</v>
      </c>
      <c r="C48" s="9">
        <f>SUMIFS(Data!$AD$3:$AD$150,Data!$Z$3:$Z$150,C$21,Data!$Y$3:$Y$150,"2021",Data!$K$3:$K$150,'Reporting 2021'!$B17)</f>
        <v>0</v>
      </c>
      <c r="D48" s="9">
        <f>SUMIFS(Data!$AD$3:$AD$150,Data!$Z$3:$Z$150,D$21,Data!$Y$3:$Y$150,"2021",Data!$K$3:$K$150,'Reporting 2021'!$B17)</f>
        <v>0</v>
      </c>
      <c r="E48" s="9">
        <f>SUMIFS(Data!$AD$3:$AD$150,Data!$Z$3:$Z$150,E$21,Data!$Y$3:$Y$150,"2021",Data!$K$3:$K$150,'Reporting 2021'!$B17)</f>
        <v>0</v>
      </c>
      <c r="F48" s="9">
        <f>SUMIFS(Data!$AD$3:$AD$150,Data!$Z$3:$Z$150,F$21,Data!$Y$3:$Y$150,"2021",Data!$K$3:$K$150,'Reporting 2021'!$B17)</f>
        <v>0</v>
      </c>
      <c r="G48" s="9">
        <f>SUMIFS(Data!$AD$3:$AD$150,Data!$Z$3:$Z$150,G$21,Data!$Y$3:$Y$150,"2021",Data!$K$3:$K$150,'Reporting 2021'!$B17)</f>
        <v>0</v>
      </c>
      <c r="H48" s="9">
        <f>SUMIFS(Data!$AD$3:$AD$150,Data!$Z$3:$Z$150,H$21,Data!$Y$3:$Y$150,"2021",Data!$K$3:$K$150,'Reporting 2021'!$B17)</f>
        <v>0</v>
      </c>
      <c r="I48" s="9">
        <f>SUMIFS(Data!$AD$3:$AD$150,Data!$Z$3:$Z$150,I$21,Data!$Y$3:$Y$150,"2021",Data!$K$3:$K$150,'Reporting 2021'!$B17)</f>
        <v>0</v>
      </c>
      <c r="J48" s="9">
        <f>SUMIFS(Data!$AD$3:$AD$150,Data!$Z$3:$Z$150,J$21,Data!$Y$3:$Y$150,"2021",Data!$K$3:$K$150,'Reporting 2021'!$B17)</f>
        <v>0</v>
      </c>
      <c r="K48" s="9">
        <f>SUMIFS(Data!$AD$3:$AD$150,Data!$Z$3:$Z$150,K$21,Data!$Y$3:$Y$150,"2021",Data!$K$3:$K$150,'Reporting 2021'!$B17)</f>
        <v>0</v>
      </c>
      <c r="L48" s="9">
        <f>SUMIFS(Data!$AD$3:$AD$150,Data!$Z$3:$Z$150,L$21,Data!$Y$3:$Y$150,"2021",Data!$K$3:$K$150,'Reporting 2021'!$B17)</f>
        <v>0</v>
      </c>
      <c r="M48" s="9">
        <f>SUMIFS(Data!$AD$3:$AD$150,Data!$Z$3:$Z$150,M$21,Data!$Y$3:$Y$150,"2021",Data!$K$3:$K$150,'Reporting 2021'!$B17)</f>
        <v>0</v>
      </c>
      <c r="N48" s="9">
        <f>SUMIFS(Data!$AD$3:$AD$150,Data!$Z$3:$Z$150,N$21,Data!$Y$3:$Y$150,"2021",Data!$K$3:$K$150,'Reporting 2021'!$B17)</f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 ht="19.5" customHeight="1" x14ac:dyDescent="0.3">
      <c r="A49" s="3"/>
      <c r="B49" s="121" t="s">
        <v>473</v>
      </c>
      <c r="C49" s="9">
        <f>SUMIFS(Data!$AD$3:$AD$150,Data!$Z$3:$Z$150,C$21,Data!$Y$3:$Y$150,"2021",Data!$K$3:$K$150,'Reporting 2021'!$B18)</f>
        <v>0</v>
      </c>
      <c r="D49" s="9">
        <f>SUMIFS(Data!$AD$3:$AD$150,Data!$Z$3:$Z$150,D$21,Data!$Y$3:$Y$150,"2021",Data!$K$3:$K$150,'Reporting 2021'!$B18)</f>
        <v>0</v>
      </c>
      <c r="E49" s="9">
        <f>SUMIFS(Data!$AD$3:$AD$150,Data!$Z$3:$Z$150,E$21,Data!$Y$3:$Y$150,"2021",Data!$K$3:$K$150,'Reporting 2021'!$B18)</f>
        <v>0</v>
      </c>
      <c r="F49" s="9">
        <f>SUMIFS(Data!$AD$3:$AD$150,Data!$Z$3:$Z$150,F$21,Data!$Y$3:$Y$150,"2021",Data!$K$3:$K$150,'Reporting 2021'!$B18)</f>
        <v>0</v>
      </c>
      <c r="G49" s="9">
        <f>SUMIFS(Data!$AD$3:$AD$150,Data!$Z$3:$Z$150,G$21,Data!$Y$3:$Y$150,"2021",Data!$K$3:$K$150,'Reporting 2021'!$B18)</f>
        <v>0</v>
      </c>
      <c r="H49" s="9">
        <f>SUMIFS(Data!$AD$3:$AD$150,Data!$Z$3:$Z$150,H$21,Data!$Y$3:$Y$150,"2021",Data!$K$3:$K$150,'Reporting 2021'!$B18)</f>
        <v>0</v>
      </c>
      <c r="I49" s="9">
        <f>SUMIFS(Data!$AD$3:$AD$150,Data!$Z$3:$Z$150,I$21,Data!$Y$3:$Y$150,"2021",Data!$K$3:$K$150,'Reporting 2021'!$B18)</f>
        <v>0</v>
      </c>
      <c r="J49" s="9">
        <f>SUMIFS(Data!$AD$3:$AD$150,Data!$Z$3:$Z$150,J$21,Data!$Y$3:$Y$150,"2021",Data!$K$3:$K$150,'Reporting 2021'!$B18)</f>
        <v>0</v>
      </c>
      <c r="K49" s="9">
        <f>SUMIFS(Data!$AD$3:$AD$150,Data!$Z$3:$Z$150,K$21,Data!$Y$3:$Y$150,"2021",Data!$K$3:$K$150,'Reporting 2021'!$B18)</f>
        <v>0</v>
      </c>
      <c r="L49" s="9">
        <f>SUMIFS(Data!$AD$3:$AD$150,Data!$Z$3:$Z$150,L$21,Data!$Y$3:$Y$150,"2021",Data!$K$3:$K$150,'Reporting 2021'!$B18)</f>
        <v>0</v>
      </c>
      <c r="M49" s="9">
        <f>SUMIFS(Data!$AD$3:$AD$150,Data!$Z$3:$Z$150,M$21,Data!$Y$3:$Y$150,"2021",Data!$K$3:$K$150,'Reporting 2021'!$B18)</f>
        <v>0</v>
      </c>
      <c r="N49" s="9">
        <f>SUMIFS(Data!$AD$3:$AD$150,Data!$Z$3:$Z$150,N$21,Data!$Y$3:$Y$150,"2021",Data!$K$3:$K$150,'Reporting 2021'!$B18)</f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 ht="19.5" customHeight="1" x14ac:dyDescent="0.3">
      <c r="A50" s="3"/>
      <c r="B50" s="121" t="s">
        <v>474</v>
      </c>
      <c r="C50" s="9">
        <f>SUMIFS(Data!$AD$3:$AD$150,Data!$Z$3:$Z$150,C$21,Data!$Y$3:$Y$150,"2021",Data!$K$3:$K$150,'Reporting 2021'!$B19)</f>
        <v>0</v>
      </c>
      <c r="D50" s="9">
        <f>SUMIFS(Data!$AD$3:$AD$150,Data!$Z$3:$Z$150,D$21,Data!$Y$3:$Y$150,"2021",Data!$K$3:$K$150,'Reporting 2021'!$B19)</f>
        <v>0</v>
      </c>
      <c r="E50" s="9">
        <f>SUMIFS(Data!$AD$3:$AD$150,Data!$Z$3:$Z$150,E$21,Data!$Y$3:$Y$150,"2021",Data!$K$3:$K$150,'Reporting 2021'!$B19)</f>
        <v>0</v>
      </c>
      <c r="F50" s="9">
        <f>SUMIFS(Data!$AD$3:$AD$150,Data!$Z$3:$Z$150,F$21,Data!$Y$3:$Y$150,"2021",Data!$K$3:$K$150,'Reporting 2021'!$B19)</f>
        <v>0</v>
      </c>
      <c r="G50" s="9">
        <f>SUMIFS(Data!$AD$3:$AD$150,Data!$Z$3:$Z$150,G$21,Data!$Y$3:$Y$150,"2021",Data!$K$3:$K$150,'Reporting 2021'!$B19)</f>
        <v>0</v>
      </c>
      <c r="H50" s="9">
        <f>SUMIFS(Data!$AD$3:$AD$150,Data!$Z$3:$Z$150,H$21,Data!$Y$3:$Y$150,"2021",Data!$K$3:$K$150,'Reporting 2021'!$B19)</f>
        <v>0</v>
      </c>
      <c r="I50" s="9">
        <f>SUMIFS(Data!$AD$3:$AD$150,Data!$Z$3:$Z$150,I$21,Data!$Y$3:$Y$150,"2021",Data!$K$3:$K$150,'Reporting 2021'!$B19)</f>
        <v>0</v>
      </c>
      <c r="J50" s="9">
        <f>SUMIFS(Data!$AD$3:$AD$150,Data!$Z$3:$Z$150,J$21,Data!$Y$3:$Y$150,"2021",Data!$K$3:$K$150,'Reporting 2021'!$B19)</f>
        <v>0</v>
      </c>
      <c r="K50" s="9">
        <f>SUMIFS(Data!$AD$3:$AD$150,Data!$Z$3:$Z$150,K$21,Data!$Y$3:$Y$150,"2021",Data!$K$3:$K$150,'Reporting 2021'!$B19)</f>
        <v>0</v>
      </c>
      <c r="L50" s="9">
        <f>SUMIFS(Data!$AD$3:$AD$150,Data!$Z$3:$Z$150,L$21,Data!$Y$3:$Y$150,"2021",Data!$K$3:$K$150,'Reporting 2021'!$B19)</f>
        <v>0</v>
      </c>
      <c r="M50" s="9">
        <f>SUMIFS(Data!$AD$3:$AD$150,Data!$Z$3:$Z$150,M$21,Data!$Y$3:$Y$150,"2021",Data!$K$3:$K$150,'Reporting 2021'!$B19)</f>
        <v>0</v>
      </c>
      <c r="N50" s="9">
        <f>SUMIFS(Data!$AD$3:$AD$150,Data!$Z$3:$Z$150,N$21,Data!$Y$3:$Y$150,"2021",Data!$K$3:$K$150,'Reporting 2021'!$B19)</f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ht="15" customHeight="1" x14ac:dyDescent="0.3">
      <c r="A51" s="3"/>
      <c r="B51" s="121" t="s">
        <v>475</v>
      </c>
      <c r="C51" s="9">
        <f>SUMIFS(Data!$AD$3:$AD$150,Data!$Z$3:$Z$150,C$21,Data!$Y$3:$Y$150,"2021",Data!$K$3:$K$150,'Reporting 2021'!$B20)</f>
        <v>0</v>
      </c>
      <c r="D51" s="9">
        <f>SUMIFS(Data!$AD$3:$AD$150,Data!$Z$3:$Z$150,D$21,Data!$Y$3:$Y$150,"2021",Data!$K$3:$K$150,'Reporting 2021'!$B20)</f>
        <v>0</v>
      </c>
      <c r="E51" s="9">
        <f>SUMIFS(Data!$AD$3:$AD$150,Data!$Z$3:$Z$150,E$21,Data!$Y$3:$Y$150,"2021",Data!$K$3:$K$150,'Reporting 2021'!$B20)</f>
        <v>0</v>
      </c>
      <c r="F51" s="9">
        <f>SUMIFS(Data!$AD$3:$AD$150,Data!$Z$3:$Z$150,F$21,Data!$Y$3:$Y$150,"2021",Data!$K$3:$K$150,'Reporting 2021'!$B20)</f>
        <v>0</v>
      </c>
      <c r="G51" s="9">
        <f>SUMIFS(Data!$AD$3:$AD$150,Data!$Z$3:$Z$150,G$21,Data!$Y$3:$Y$150,"2021",Data!$K$3:$K$150,'Reporting 2021'!$B20)</f>
        <v>0</v>
      </c>
      <c r="H51" s="9">
        <f>SUMIFS(Data!$AD$3:$AD$150,Data!$Z$3:$Z$150,H$21,Data!$Y$3:$Y$150,"2021",Data!$K$3:$K$150,'Reporting 2021'!$B20)</f>
        <v>0</v>
      </c>
      <c r="I51" s="9">
        <f>SUMIFS(Data!$AD$3:$AD$150,Data!$Z$3:$Z$150,I$21,Data!$Y$3:$Y$150,"2021",Data!$K$3:$K$150,'Reporting 2021'!$B20)</f>
        <v>0</v>
      </c>
      <c r="J51" s="9">
        <f>SUMIFS(Data!$AD$3:$AD$150,Data!$Z$3:$Z$150,J$21,Data!$Y$3:$Y$150,"2021",Data!$K$3:$K$150,'Reporting 2021'!$B20)</f>
        <v>0</v>
      </c>
      <c r="K51" s="9">
        <f>SUMIFS(Data!$AD$3:$AD$150,Data!$Z$3:$Z$150,K$21,Data!$Y$3:$Y$150,"2021",Data!$K$3:$K$150,'Reporting 2021'!$B20)</f>
        <v>0</v>
      </c>
      <c r="L51" s="9">
        <f>SUMIFS(Data!$AD$3:$AD$150,Data!$Z$3:$Z$150,L$21,Data!$Y$3:$Y$150,"2021",Data!$K$3:$K$150,'Reporting 2021'!$B20)</f>
        <v>0</v>
      </c>
      <c r="M51" s="9">
        <f>SUMIFS(Data!$AD$3:$AD$150,Data!$Z$3:$Z$150,M$21,Data!$Y$3:$Y$150,"2021",Data!$K$3:$K$150,'Reporting 2021'!$B20)</f>
        <v>0</v>
      </c>
      <c r="N51" s="9">
        <f>SUMIFS(Data!$AD$3:$AD$150,Data!$Z$3:$Z$150,N$21,Data!$Y$3:$Y$150,"2021",Data!$K$3:$K$150,'Reporting 2021'!$B20)</f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ht="15" customHeight="1" x14ac:dyDescent="0.3">
      <c r="A52" s="3"/>
      <c r="B52" s="121" t="s">
        <v>476</v>
      </c>
      <c r="C52" s="9">
        <f>SUMIFS(Data!$AD$3:$AD$150,Data!$Z$3:$Z$150,C$21,Data!$Y$3:$Y$150,"2021",Data!$K$3:$K$150,'Reporting 2021'!$B21)</f>
        <v>0</v>
      </c>
      <c r="D52" s="9">
        <f>SUMIFS(Data!$AD$3:$AD$150,Data!$Z$3:$Z$150,D$21,Data!$Y$3:$Y$150,"2021",Data!$K$3:$K$150,'Reporting 2021'!$B21)</f>
        <v>0</v>
      </c>
      <c r="E52" s="9">
        <f>SUMIFS(Data!$AD$3:$AD$150,Data!$Z$3:$Z$150,E$21,Data!$Y$3:$Y$150,"2021",Data!$K$3:$K$150,'Reporting 2021'!$B21)</f>
        <v>0</v>
      </c>
      <c r="F52" s="9">
        <f>SUMIFS(Data!$AD$3:$AD$150,Data!$Z$3:$Z$150,F$21,Data!$Y$3:$Y$150,"2021",Data!$K$3:$K$150,'Reporting 2021'!$B21)</f>
        <v>0</v>
      </c>
      <c r="G52" s="9">
        <f>SUMIFS(Data!$AD$3:$AD$150,Data!$Z$3:$Z$150,G$21,Data!$Y$3:$Y$150,"2021",Data!$K$3:$K$150,'Reporting 2021'!$B21)</f>
        <v>0</v>
      </c>
      <c r="H52" s="9">
        <f>SUMIFS(Data!$AD$3:$AD$150,Data!$Z$3:$Z$150,H$21,Data!$Y$3:$Y$150,"2021",Data!$K$3:$K$150,'Reporting 2021'!$B21)</f>
        <v>0</v>
      </c>
      <c r="I52" s="9">
        <f>SUMIFS(Data!$AD$3:$AD$150,Data!$Z$3:$Z$150,I$21,Data!$Y$3:$Y$150,"2021",Data!$K$3:$K$150,'Reporting 2021'!$B21)</f>
        <v>0</v>
      </c>
      <c r="J52" s="9">
        <f>SUMIFS(Data!$AD$3:$AD$150,Data!$Z$3:$Z$150,J$21,Data!$Y$3:$Y$150,"2021",Data!$K$3:$K$150,'Reporting 2021'!$B21)</f>
        <v>0</v>
      </c>
      <c r="K52" s="9">
        <f>SUMIFS(Data!$AD$3:$AD$150,Data!$Z$3:$Z$150,K$21,Data!$Y$3:$Y$150,"2021",Data!$K$3:$K$150,'Reporting 2021'!$B21)</f>
        <v>0</v>
      </c>
      <c r="L52" s="9">
        <f>SUMIFS(Data!$AD$3:$AD$150,Data!$Z$3:$Z$150,L$21,Data!$Y$3:$Y$150,"2021",Data!$K$3:$K$150,'Reporting 2021'!$B21)</f>
        <v>0</v>
      </c>
      <c r="M52" s="9">
        <f>SUMIFS(Data!$AD$3:$AD$150,Data!$Z$3:$Z$150,M$21,Data!$Y$3:$Y$150,"2021",Data!$K$3:$K$150,'Reporting 2021'!$B21)</f>
        <v>0</v>
      </c>
      <c r="N52" s="9">
        <f>SUMIFS(Data!$AD$3:$AD$150,Data!$Z$3:$Z$150,N$21,Data!$Y$3:$Y$150,"2021",Data!$K$3:$K$150,'Reporting 2021'!$B21)</f>
        <v>0</v>
      </c>
      <c r="O52" s="3"/>
      <c r="P52" s="3"/>
      <c r="Q52" s="42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ht="19.5" customHeight="1" x14ac:dyDescent="0.3">
      <c r="A53" s="3"/>
      <c r="B53" s="121" t="s">
        <v>477</v>
      </c>
      <c r="C53" s="9">
        <f>SUMIFS(Data!$AD$3:$AD$150,Data!$Z$3:$Z$150,C$21,Data!$Y$3:$Y$150,"2021",Data!$K$3:$K$150,'Reporting 2021'!$B22)</f>
        <v>0</v>
      </c>
      <c r="D53" s="9">
        <f>SUMIFS(Data!$AD$3:$AD$150,Data!$Z$3:$Z$150,D$21,Data!$Y$3:$Y$150,"2021",Data!$K$3:$K$150,'Reporting 2021'!$B22)</f>
        <v>0</v>
      </c>
      <c r="E53" s="9">
        <f>SUMIFS(Data!$AD$3:$AD$150,Data!$Z$3:$Z$150,E$21,Data!$Y$3:$Y$150,"2021",Data!$K$3:$K$150,'Reporting 2021'!$B22)</f>
        <v>0</v>
      </c>
      <c r="F53" s="9">
        <f>SUMIFS(Data!$AD$3:$AD$150,Data!$Z$3:$Z$150,F$21,Data!$Y$3:$Y$150,"2021",Data!$K$3:$K$150,'Reporting 2021'!$B22)</f>
        <v>0</v>
      </c>
      <c r="G53" s="9">
        <f>SUMIFS(Data!$AD$3:$AD$150,Data!$Z$3:$Z$150,G$21,Data!$Y$3:$Y$150,"2021",Data!$K$3:$K$150,'Reporting 2021'!$B22)</f>
        <v>0</v>
      </c>
      <c r="H53" s="9">
        <f>SUMIFS(Data!$AD$3:$AD$150,Data!$Z$3:$Z$150,H$21,Data!$Y$3:$Y$150,"2021",Data!$K$3:$K$150,'Reporting 2021'!$B22)</f>
        <v>0</v>
      </c>
      <c r="I53" s="9">
        <f>SUMIFS(Data!$AD$3:$AD$150,Data!$Z$3:$Z$150,I$21,Data!$Y$3:$Y$150,"2021",Data!$K$3:$K$150,'Reporting 2021'!$B22)</f>
        <v>0</v>
      </c>
      <c r="J53" s="9">
        <f>SUMIFS(Data!$AD$3:$AD$150,Data!$Z$3:$Z$150,J$21,Data!$Y$3:$Y$150,"2021",Data!$K$3:$K$150,'Reporting 2021'!$B22)</f>
        <v>0</v>
      </c>
      <c r="K53" s="9">
        <f>SUMIFS(Data!$AD$3:$AD$150,Data!$Z$3:$Z$150,K$21,Data!$Y$3:$Y$150,"2021",Data!$K$3:$K$150,'Reporting 2021'!$B22)</f>
        <v>0</v>
      </c>
      <c r="L53" s="9">
        <f>SUMIFS(Data!$AD$3:$AD$150,Data!$Z$3:$Z$150,L$21,Data!$Y$3:$Y$150,"2021",Data!$K$3:$K$150,'Reporting 2021'!$B22)</f>
        <v>0</v>
      </c>
      <c r="M53" s="9">
        <f>SUMIFS(Data!$AD$3:$AD$150,Data!$Z$3:$Z$150,M$21,Data!$Y$3:$Y$150,"2021",Data!$K$3:$K$150,'Reporting 2021'!$B22)</f>
        <v>0</v>
      </c>
      <c r="N53" s="9">
        <f>SUMIFS(Data!$AD$3:$AD$150,Data!$Z$3:$Z$150,N$21,Data!$Y$3:$Y$150,"2021",Data!$K$3:$K$150,'Reporting 2021'!$B22)</f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ht="19.5" customHeight="1" x14ac:dyDescent="0.3">
      <c r="A54" s="3"/>
      <c r="B54" s="121" t="s">
        <v>478</v>
      </c>
      <c r="C54" s="9">
        <f>SUMIFS(Data!$AD$3:$AD$150,Data!$Z$3:$Z$150,C$21,Data!$Y$3:$Y$150,"2021",Data!$K$3:$K$150,'Reporting 2021'!$B23)</f>
        <v>0</v>
      </c>
      <c r="D54" s="9">
        <f>SUMIFS(Data!$AD$3:$AD$150,Data!$Z$3:$Z$150,D$21,Data!$Y$3:$Y$150,"2021",Data!$K$3:$K$150,'Reporting 2021'!$B23)</f>
        <v>0</v>
      </c>
      <c r="E54" s="9">
        <f>SUMIFS(Data!$AD$3:$AD$150,Data!$Z$3:$Z$150,E$21,Data!$Y$3:$Y$150,"2021",Data!$K$3:$K$150,'Reporting 2021'!$B23)</f>
        <v>0</v>
      </c>
      <c r="F54" s="9">
        <f>SUMIFS(Data!$AD$3:$AD$150,Data!$Z$3:$Z$150,F$21,Data!$Y$3:$Y$150,"2021",Data!$K$3:$K$150,'Reporting 2021'!$B23)</f>
        <v>0</v>
      </c>
      <c r="G54" s="9">
        <f>SUMIFS(Data!$AD$3:$AD$150,Data!$Z$3:$Z$150,G$21,Data!$Y$3:$Y$150,"2021",Data!$K$3:$K$150,'Reporting 2021'!$B23)</f>
        <v>0</v>
      </c>
      <c r="H54" s="9">
        <f>SUMIFS(Data!$AD$3:$AD$150,Data!$Z$3:$Z$150,H$21,Data!$Y$3:$Y$150,"2021",Data!$K$3:$K$150,'Reporting 2021'!$B23)</f>
        <v>0</v>
      </c>
      <c r="I54" s="9">
        <f>SUMIFS(Data!$AD$3:$AD$150,Data!$Z$3:$Z$150,I$21,Data!$Y$3:$Y$150,"2021",Data!$K$3:$K$150,'Reporting 2021'!$B23)</f>
        <v>0</v>
      </c>
      <c r="J54" s="9">
        <f>SUMIFS(Data!$AD$3:$AD$150,Data!$Z$3:$Z$150,J$21,Data!$Y$3:$Y$150,"2021",Data!$K$3:$K$150,'Reporting 2021'!$B23)</f>
        <v>0</v>
      </c>
      <c r="K54" s="9">
        <f>SUMIFS(Data!$AD$3:$AD$150,Data!$Z$3:$Z$150,K$21,Data!$Y$3:$Y$150,"2021",Data!$K$3:$K$150,'Reporting 2021'!$B23)</f>
        <v>0</v>
      </c>
      <c r="L54" s="9">
        <f>SUMIFS(Data!$AD$3:$AD$150,Data!$Z$3:$Z$150,L$21,Data!$Y$3:$Y$150,"2021",Data!$K$3:$K$150,'Reporting 2021'!$B23)</f>
        <v>0</v>
      </c>
      <c r="M54" s="9">
        <f>SUMIFS(Data!$AD$3:$AD$150,Data!$Z$3:$Z$150,M$21,Data!$Y$3:$Y$150,"2021",Data!$K$3:$K$150,'Reporting 2021'!$B23)</f>
        <v>0</v>
      </c>
      <c r="N54" s="9">
        <f>SUMIFS(Data!$AD$3:$AD$150,Data!$Z$3:$Z$150,N$21,Data!$Y$3:$Y$150,"2021",Data!$K$3:$K$150,'Reporting 2021'!$B23)</f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ht="15" customHeight="1" x14ac:dyDescent="0.3">
      <c r="A55" s="3"/>
      <c r="B55" s="424" t="s">
        <v>479</v>
      </c>
      <c r="C55" s="425">
        <f>SUMIFS(Data!$AD$3:$AD$150,Data!$Z$3:$Z$150,C$21,Data!$Y$3:$Y$150,"2021",Data!$K$3:$K$150,'Reporting 2021'!$B24)</f>
        <v>0</v>
      </c>
      <c r="D55" s="425">
        <f>SUMIFS(Data!$AD$3:$AD$150,Data!$Z$3:$Z$150,D$21,Data!$Y$3:$Y$150,"2021",Data!$K$3:$K$150,'Reporting 2021'!$B24)</f>
        <v>0</v>
      </c>
      <c r="E55" s="425">
        <f>SUMIFS(Data!$AD$3:$AD$150,Data!$Z$3:$Z$150,E$21,Data!$Y$3:$Y$150,"2021",Data!$K$3:$K$150,'Reporting 2021'!$B24)</f>
        <v>0</v>
      </c>
      <c r="F55" s="425">
        <f>SUMIFS(Data!$AD$3:$AD$150,Data!$Z$3:$Z$150,F$21,Data!$Y$3:$Y$150,"2021",Data!$K$3:$K$150,'Reporting 2021'!$B24)</f>
        <v>0</v>
      </c>
      <c r="G55" s="425">
        <f>SUMIFS(Data!$AD$3:$AD$150,Data!$Z$3:$Z$150,G$21,Data!$Y$3:$Y$150,"2021",Data!$K$3:$K$150,'Reporting 2021'!$B24)</f>
        <v>0</v>
      </c>
      <c r="H55" s="425">
        <f>SUMIFS(Data!$AD$3:$AD$150,Data!$Z$3:$Z$150,H$21,Data!$Y$3:$Y$150,"2021",Data!$K$3:$K$150,'Reporting 2021'!$B24)</f>
        <v>0</v>
      </c>
      <c r="I55" s="425">
        <f>SUMIFS(Data!$AD$3:$AD$150,Data!$Z$3:$Z$150,I$21,Data!$Y$3:$Y$150,"2021",Data!$K$3:$K$150,'Reporting 2021'!$B24)</f>
        <v>0</v>
      </c>
      <c r="J55" s="425">
        <f>SUMIFS(Data!$AD$3:$AD$150,Data!$Z$3:$Z$150,J$21,Data!$Y$3:$Y$150,"2021",Data!$K$3:$K$150,'Reporting 2021'!$B24)</f>
        <v>0</v>
      </c>
      <c r="K55" s="425">
        <f>SUMIFS(Data!$AD$3:$AD$150,Data!$Z$3:$Z$150,K$21,Data!$Y$3:$Y$150,"2021",Data!$K$3:$K$150,'Reporting 2021'!$B24)</f>
        <v>0</v>
      </c>
      <c r="L55" s="425">
        <f>SUMIFS(Data!$AD$3:$AD$150,Data!$Z$3:$Z$150,L$21,Data!$Y$3:$Y$150,"2021",Data!$K$3:$K$150,'Reporting 2021'!$B24)</f>
        <v>0</v>
      </c>
      <c r="M55" s="425">
        <f>SUMIFS(Data!$AD$3:$AD$150,Data!$Z$3:$Z$150,M$21,Data!$Y$3:$Y$150,"2021",Data!$K$3:$K$150,'Reporting 2021'!$B24)</f>
        <v>0</v>
      </c>
      <c r="N55" s="425">
        <f>SUMIFS(Data!$AD$3:$AD$150,Data!$Z$3:$Z$150,N$21,Data!$Y$3:$Y$150,"2021",Data!$K$3:$K$150,'Reporting 2021'!$B24)</f>
        <v>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ht="15" customHeight="1" x14ac:dyDescent="0.3">
      <c r="A56" s="3"/>
      <c r="B56" s="121" t="s">
        <v>480</v>
      </c>
      <c r="C56" s="426">
        <f t="shared" ref="C56:C65" si="27">+C46</f>
        <v>0</v>
      </c>
      <c r="D56" s="426">
        <f t="shared" ref="D56:N56" si="28">C56+D46</f>
        <v>0</v>
      </c>
      <c r="E56" s="426">
        <f t="shared" si="28"/>
        <v>0</v>
      </c>
      <c r="F56" s="426">
        <f t="shared" si="28"/>
        <v>0</v>
      </c>
      <c r="G56" s="426">
        <f t="shared" si="28"/>
        <v>0</v>
      </c>
      <c r="H56" s="426">
        <f t="shared" si="28"/>
        <v>0</v>
      </c>
      <c r="I56" s="426">
        <f t="shared" si="28"/>
        <v>0</v>
      </c>
      <c r="J56" s="426">
        <f t="shared" si="28"/>
        <v>0</v>
      </c>
      <c r="K56" s="426">
        <f t="shared" si="28"/>
        <v>0</v>
      </c>
      <c r="L56" s="426">
        <f t="shared" si="28"/>
        <v>0</v>
      </c>
      <c r="M56" s="426">
        <f t="shared" si="28"/>
        <v>0</v>
      </c>
      <c r="N56" s="426">
        <f t="shared" si="28"/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ht="19.5" customHeight="1" x14ac:dyDescent="0.3">
      <c r="A57" s="3"/>
      <c r="B57" s="121" t="s">
        <v>481</v>
      </c>
      <c r="C57" s="426">
        <f t="shared" si="27"/>
        <v>0</v>
      </c>
      <c r="D57" s="427">
        <f t="shared" ref="D57:N57" si="29">C57+D47</f>
        <v>0</v>
      </c>
      <c r="E57" s="427">
        <f t="shared" si="29"/>
        <v>0</v>
      </c>
      <c r="F57" s="427">
        <f t="shared" si="29"/>
        <v>0</v>
      </c>
      <c r="G57" s="427">
        <f t="shared" si="29"/>
        <v>0</v>
      </c>
      <c r="H57" s="427">
        <f t="shared" si="29"/>
        <v>0</v>
      </c>
      <c r="I57" s="427">
        <f t="shared" si="29"/>
        <v>0</v>
      </c>
      <c r="J57" s="427">
        <f t="shared" si="29"/>
        <v>0</v>
      </c>
      <c r="K57" s="427">
        <f t="shared" si="29"/>
        <v>0</v>
      </c>
      <c r="L57" s="427">
        <f t="shared" si="29"/>
        <v>0</v>
      </c>
      <c r="M57" s="427">
        <f t="shared" si="29"/>
        <v>0</v>
      </c>
      <c r="N57" s="427">
        <f t="shared" si="29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ht="19.5" customHeight="1" x14ac:dyDescent="0.3">
      <c r="A58" s="3"/>
      <c r="B58" s="121" t="s">
        <v>482</v>
      </c>
      <c r="C58" s="426">
        <f t="shared" si="27"/>
        <v>0</v>
      </c>
      <c r="D58" s="427">
        <f t="shared" ref="D58:N58" si="30">C58+D48</f>
        <v>0</v>
      </c>
      <c r="E58" s="427">
        <f t="shared" si="30"/>
        <v>0</v>
      </c>
      <c r="F58" s="427">
        <f t="shared" si="30"/>
        <v>0</v>
      </c>
      <c r="G58" s="427">
        <f t="shared" si="30"/>
        <v>0</v>
      </c>
      <c r="H58" s="427">
        <f t="shared" si="30"/>
        <v>0</v>
      </c>
      <c r="I58" s="427">
        <f t="shared" si="30"/>
        <v>0</v>
      </c>
      <c r="J58" s="427">
        <f t="shared" si="30"/>
        <v>0</v>
      </c>
      <c r="K58" s="427">
        <f t="shared" si="30"/>
        <v>0</v>
      </c>
      <c r="L58" s="427">
        <f t="shared" si="30"/>
        <v>0</v>
      </c>
      <c r="M58" s="427">
        <f t="shared" si="30"/>
        <v>0</v>
      </c>
      <c r="N58" s="427">
        <f t="shared" si="30"/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ht="19.5" customHeight="1" x14ac:dyDescent="0.3">
      <c r="A59" s="3"/>
      <c r="B59" s="121" t="s">
        <v>483</v>
      </c>
      <c r="C59" s="426">
        <f t="shared" si="27"/>
        <v>0</v>
      </c>
      <c r="D59" s="427">
        <f t="shared" ref="D59:N59" si="31">C59+D49</f>
        <v>0</v>
      </c>
      <c r="E59" s="427">
        <f t="shared" si="31"/>
        <v>0</v>
      </c>
      <c r="F59" s="427">
        <f t="shared" si="31"/>
        <v>0</v>
      </c>
      <c r="G59" s="427">
        <f t="shared" si="31"/>
        <v>0</v>
      </c>
      <c r="H59" s="427">
        <f t="shared" si="31"/>
        <v>0</v>
      </c>
      <c r="I59" s="427">
        <f t="shared" si="31"/>
        <v>0</v>
      </c>
      <c r="J59" s="427">
        <f t="shared" si="31"/>
        <v>0</v>
      </c>
      <c r="K59" s="427">
        <f t="shared" si="31"/>
        <v>0</v>
      </c>
      <c r="L59" s="427">
        <f t="shared" si="31"/>
        <v>0</v>
      </c>
      <c r="M59" s="427">
        <f t="shared" si="31"/>
        <v>0</v>
      </c>
      <c r="N59" s="427">
        <f t="shared" si="31"/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ht="19.5" customHeight="1" x14ac:dyDescent="0.3">
      <c r="A60" s="3"/>
      <c r="B60" s="121" t="s">
        <v>484</v>
      </c>
      <c r="C60" s="426">
        <f t="shared" si="27"/>
        <v>0</v>
      </c>
      <c r="D60" s="427">
        <f t="shared" ref="D60:N60" si="32">C60+D50</f>
        <v>0</v>
      </c>
      <c r="E60" s="427">
        <f t="shared" si="32"/>
        <v>0</v>
      </c>
      <c r="F60" s="427">
        <f t="shared" si="32"/>
        <v>0</v>
      </c>
      <c r="G60" s="427">
        <f t="shared" si="32"/>
        <v>0</v>
      </c>
      <c r="H60" s="427">
        <f t="shared" si="32"/>
        <v>0</v>
      </c>
      <c r="I60" s="427">
        <f t="shared" si="32"/>
        <v>0</v>
      </c>
      <c r="J60" s="427">
        <f t="shared" si="32"/>
        <v>0</v>
      </c>
      <c r="K60" s="427">
        <f t="shared" si="32"/>
        <v>0</v>
      </c>
      <c r="L60" s="427">
        <f t="shared" si="32"/>
        <v>0</v>
      </c>
      <c r="M60" s="427">
        <f t="shared" si="32"/>
        <v>0</v>
      </c>
      <c r="N60" s="427">
        <f t="shared" si="32"/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ht="19.5" customHeight="1" x14ac:dyDescent="0.3">
      <c r="A61" s="3"/>
      <c r="B61" s="121" t="s">
        <v>485</v>
      </c>
      <c r="C61" s="426">
        <f t="shared" si="27"/>
        <v>0</v>
      </c>
      <c r="D61" s="427">
        <f t="shared" ref="D61:N61" si="33">C61+D51</f>
        <v>0</v>
      </c>
      <c r="E61" s="427">
        <f t="shared" si="33"/>
        <v>0</v>
      </c>
      <c r="F61" s="427">
        <f t="shared" si="33"/>
        <v>0</v>
      </c>
      <c r="G61" s="427">
        <f t="shared" si="33"/>
        <v>0</v>
      </c>
      <c r="H61" s="427">
        <f t="shared" si="33"/>
        <v>0</v>
      </c>
      <c r="I61" s="427">
        <f t="shared" si="33"/>
        <v>0</v>
      </c>
      <c r="J61" s="427">
        <f t="shared" si="33"/>
        <v>0</v>
      </c>
      <c r="K61" s="427">
        <f t="shared" si="33"/>
        <v>0</v>
      </c>
      <c r="L61" s="427">
        <f t="shared" si="33"/>
        <v>0</v>
      </c>
      <c r="M61" s="427">
        <f t="shared" si="33"/>
        <v>0</v>
      </c>
      <c r="N61" s="427">
        <f t="shared" si="33"/>
        <v>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ht="19.5" customHeight="1" x14ac:dyDescent="0.3">
      <c r="A62" s="3"/>
      <c r="B62" s="121" t="s">
        <v>486</v>
      </c>
      <c r="C62" s="426">
        <f t="shared" si="27"/>
        <v>0</v>
      </c>
      <c r="D62" s="427">
        <f t="shared" ref="D62:N62" si="34">C62+D52</f>
        <v>0</v>
      </c>
      <c r="E62" s="427">
        <f t="shared" si="34"/>
        <v>0</v>
      </c>
      <c r="F62" s="427">
        <f t="shared" si="34"/>
        <v>0</v>
      </c>
      <c r="G62" s="427">
        <f t="shared" si="34"/>
        <v>0</v>
      </c>
      <c r="H62" s="427">
        <f t="shared" si="34"/>
        <v>0</v>
      </c>
      <c r="I62" s="427">
        <f t="shared" si="34"/>
        <v>0</v>
      </c>
      <c r="J62" s="427">
        <f t="shared" si="34"/>
        <v>0</v>
      </c>
      <c r="K62" s="427">
        <f t="shared" si="34"/>
        <v>0</v>
      </c>
      <c r="L62" s="427">
        <f t="shared" si="34"/>
        <v>0</v>
      </c>
      <c r="M62" s="427">
        <f t="shared" si="34"/>
        <v>0</v>
      </c>
      <c r="N62" s="427">
        <f t="shared" si="34"/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ht="19.5" customHeight="1" x14ac:dyDescent="0.3">
      <c r="A63" s="3"/>
      <c r="B63" s="121" t="s">
        <v>487</v>
      </c>
      <c r="C63" s="426">
        <f t="shared" si="27"/>
        <v>0</v>
      </c>
      <c r="D63" s="427">
        <f t="shared" ref="D63:N63" si="35">C63+D53</f>
        <v>0</v>
      </c>
      <c r="E63" s="427">
        <f t="shared" si="35"/>
        <v>0</v>
      </c>
      <c r="F63" s="427">
        <f t="shared" si="35"/>
        <v>0</v>
      </c>
      <c r="G63" s="427">
        <f t="shared" si="35"/>
        <v>0</v>
      </c>
      <c r="H63" s="427">
        <f t="shared" si="35"/>
        <v>0</v>
      </c>
      <c r="I63" s="427">
        <f t="shared" si="35"/>
        <v>0</v>
      </c>
      <c r="J63" s="427">
        <f t="shared" si="35"/>
        <v>0</v>
      </c>
      <c r="K63" s="427">
        <f t="shared" si="35"/>
        <v>0</v>
      </c>
      <c r="L63" s="427">
        <f t="shared" si="35"/>
        <v>0</v>
      </c>
      <c r="M63" s="427">
        <f t="shared" si="35"/>
        <v>0</v>
      </c>
      <c r="N63" s="427">
        <f t="shared" si="35"/>
        <v>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ht="19.5" customHeight="1" x14ac:dyDescent="0.3">
      <c r="A64" s="3"/>
      <c r="B64" s="121" t="s">
        <v>488</v>
      </c>
      <c r="C64" s="426">
        <f t="shared" si="27"/>
        <v>0</v>
      </c>
      <c r="D64" s="427">
        <f t="shared" ref="D64:N64" si="36">C64+D54</f>
        <v>0</v>
      </c>
      <c r="E64" s="427">
        <f t="shared" si="36"/>
        <v>0</v>
      </c>
      <c r="F64" s="427">
        <f t="shared" si="36"/>
        <v>0</v>
      </c>
      <c r="G64" s="427">
        <f t="shared" si="36"/>
        <v>0</v>
      </c>
      <c r="H64" s="427">
        <f t="shared" si="36"/>
        <v>0</v>
      </c>
      <c r="I64" s="427">
        <f t="shared" si="36"/>
        <v>0</v>
      </c>
      <c r="J64" s="427">
        <f t="shared" si="36"/>
        <v>0</v>
      </c>
      <c r="K64" s="427">
        <f t="shared" si="36"/>
        <v>0</v>
      </c>
      <c r="L64" s="427">
        <f t="shared" si="36"/>
        <v>0</v>
      </c>
      <c r="M64" s="427">
        <f t="shared" si="36"/>
        <v>0</v>
      </c>
      <c r="N64" s="427">
        <f t="shared" si="36"/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ht="19.5" customHeight="1" x14ac:dyDescent="0.3">
      <c r="A65" s="3"/>
      <c r="B65" s="121" t="s">
        <v>489</v>
      </c>
      <c r="C65" s="426">
        <f t="shared" si="27"/>
        <v>0</v>
      </c>
      <c r="D65" s="427">
        <f t="shared" ref="D65:N65" si="37">C65+D55</f>
        <v>0</v>
      </c>
      <c r="E65" s="427">
        <f t="shared" si="37"/>
        <v>0</v>
      </c>
      <c r="F65" s="427">
        <f t="shared" si="37"/>
        <v>0</v>
      </c>
      <c r="G65" s="427">
        <f t="shared" si="37"/>
        <v>0</v>
      </c>
      <c r="H65" s="427">
        <f t="shared" si="37"/>
        <v>0</v>
      </c>
      <c r="I65" s="427">
        <f t="shared" si="37"/>
        <v>0</v>
      </c>
      <c r="J65" s="427">
        <f t="shared" si="37"/>
        <v>0</v>
      </c>
      <c r="K65" s="427">
        <f t="shared" si="37"/>
        <v>0</v>
      </c>
      <c r="L65" s="427">
        <f t="shared" si="37"/>
        <v>0</v>
      </c>
      <c r="M65" s="427">
        <f t="shared" si="37"/>
        <v>0</v>
      </c>
      <c r="N65" s="427">
        <f t="shared" si="37"/>
        <v>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ht="19.5" customHeight="1" x14ac:dyDescent="0.3">
      <c r="A66" s="3"/>
      <c r="B66" s="428"/>
      <c r="C66" s="429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ht="19.5" customHeight="1" x14ac:dyDescent="0.3">
      <c r="A67" s="3"/>
      <c r="B67" s="428"/>
      <c r="C67" s="42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ht="19.5" customHeight="1" x14ac:dyDescent="0.3">
      <c r="A68" s="3"/>
      <c r="B68" s="428"/>
      <c r="C68" s="429"/>
      <c r="D68" s="8"/>
      <c r="E68" s="8"/>
      <c r="F68" s="8">
        <f>SUMIFS(Data!$S$2,Data!$P$2,F$21,Data!$K$2,'Reporting 2021'!B18,Data!$O$2,"2021")</f>
        <v>0</v>
      </c>
      <c r="G68" s="8"/>
      <c r="H68" s="8"/>
      <c r="I68" s="8"/>
      <c r="J68" s="8"/>
      <c r="K68" s="8"/>
      <c r="L68" s="8"/>
      <c r="M68" s="8"/>
      <c r="N68" s="8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ht="19.5" customHeight="1" x14ac:dyDescent="0.3">
      <c r="A69" s="3"/>
      <c r="B69" s="121" t="s">
        <v>490</v>
      </c>
      <c r="C69" s="427">
        <f>SUMIFS(Data!$S$3:$S$150,Data!$P$3:$P$150,C$21,Data!$K$3:$K$150,'Reporting 2021'!$B15,Data!$O$3:$O$150,"2021")</f>
        <v>0</v>
      </c>
      <c r="D69" s="427">
        <f>SUMIFS(Data!$S$3:$S$150,Data!$P$3:$P$150,D$21,Data!$K$3:$K$150,'Reporting 2021'!$B15,Data!$O$3:$O$150,"2021")</f>
        <v>0</v>
      </c>
      <c r="E69" s="427">
        <f>SUMIFS(Data!$S$3:$S$150,Data!$P$3:$P$150,E$21,Data!$K$3:$K$150,'Reporting 2021'!$B15,Data!$O$3:$O$150,"2021")</f>
        <v>0</v>
      </c>
      <c r="F69" s="427">
        <f>SUMIFS(Data!$S$3:$S$150,Data!$P$3:$P$150,F$21,Data!$K$3:$K$150,'Reporting 2021'!$B15,Data!$O$3:$O$150,"2021")</f>
        <v>0</v>
      </c>
      <c r="G69" s="427">
        <f>SUMIFS(Data!$S$3:$S$150,Data!$P$3:$P$150,G$21,Data!$K$3:$K$150,'Reporting 2021'!$B15,Data!$O$3:$O$150,"2021")</f>
        <v>0</v>
      </c>
      <c r="H69" s="427">
        <f>SUMIFS(Data!$S$3:$S$150,Data!$P$3:$P$150,H$21,Data!$K$3:$K$150,'Reporting 2021'!$B15,Data!$O$3:$O$150,"2021")</f>
        <v>0</v>
      </c>
      <c r="I69" s="427">
        <f>SUMIFS(Data!$S$3:$S$150,Data!$P$3:$P$150,I$21,Data!$K$3:$K$150,'Reporting 2021'!$B15,Data!$O$3:$O$150,"2021")</f>
        <v>0</v>
      </c>
      <c r="J69" s="427">
        <f>SUMIFS(Data!$S$3:$S$150,Data!$P$3:$P$150,J$21,Data!$K$3:$K$150,'Reporting 2021'!$B15,Data!$O$3:$O$150,"2021")</f>
        <v>0</v>
      </c>
      <c r="K69" s="427">
        <f>SUMIFS(Data!$S$3:$S$150,Data!$P$3:$P$150,K$21,Data!$K$3:$K$150,'Reporting 2021'!$B15,Data!$O$3:$O$150,"2021")</f>
        <v>0</v>
      </c>
      <c r="L69" s="427">
        <f>SUMIFS(Data!$S$3:$S$150,Data!$P$3:$P$150,L$21,Data!$K$3:$K$150,'Reporting 2021'!$B15,Data!$O$3:$O$150,"2021")</f>
        <v>0</v>
      </c>
      <c r="M69" s="427">
        <f>SUMIFS(Data!$S$3:$S$150,Data!$P$3:$P$150,M$21,Data!$K$3:$K$150,'Reporting 2021'!$B15,Data!$O$3:$O$150,"2021")</f>
        <v>0</v>
      </c>
      <c r="N69" s="427">
        <f>SUMIFS(Data!$S$3:$S$150,Data!$P$3:$P$150,N$21,Data!$K$3:$K$150,'Reporting 2021'!$B15,Data!$O$3:$O$150,"2021")</f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ht="19.5" customHeight="1" x14ac:dyDescent="0.3">
      <c r="A70" s="3"/>
      <c r="B70" s="121" t="s">
        <v>491</v>
      </c>
      <c r="C70" s="427">
        <f>SUMIFS(Data!$S$3:$S$150,Data!$P$3:$P$150,C$21,Data!$K$3:$K$150,'Reporting 2021'!$B16,Data!$O$3:$O$150,"2021")</f>
        <v>0</v>
      </c>
      <c r="D70" s="427">
        <f>SUMIFS(Data!$S$3:$S$150,Data!$P$3:$P$150,D$21,Data!$K$3:$K$150,'Reporting 2021'!$B16,Data!$O$3:$O$150,"2021")</f>
        <v>0</v>
      </c>
      <c r="E70" s="427">
        <f>SUMIFS(Data!$S$3:$S$150,Data!$P$3:$P$150,E$21,Data!$K$3:$K$150,'Reporting 2021'!$B16,Data!$O$3:$O$150,"2021")</f>
        <v>0</v>
      </c>
      <c r="F70" s="427">
        <f>SUMIFS(Data!$S$3:$S$150,Data!$P$3:$P$150,F$21,Data!$K$3:$K$150,'Reporting 2021'!$B16,Data!$O$3:$O$150,"2021")</f>
        <v>0</v>
      </c>
      <c r="G70" s="427">
        <f>SUMIFS(Data!$S$3:$S$150,Data!$P$3:$P$150,G$21,Data!$K$3:$K$150,'Reporting 2021'!$B16,Data!$O$3:$O$150,"2021")</f>
        <v>0</v>
      </c>
      <c r="H70" s="427">
        <f>SUMIFS(Data!$S$3:$S$150,Data!$P$3:$P$150,H$21,Data!$K$3:$K$150,'Reporting 2021'!$B16,Data!$O$3:$O$150,"2021")</f>
        <v>0</v>
      </c>
      <c r="I70" s="427">
        <f>SUMIFS(Data!$S$3:$S$150,Data!$P$3:$P$150,I$21,Data!$K$3:$K$150,'Reporting 2021'!$B16,Data!$O$3:$O$150,"2021")</f>
        <v>0</v>
      </c>
      <c r="J70" s="427">
        <f>SUMIFS(Data!$S$3:$S$150,Data!$P$3:$P$150,J$21,Data!$K$3:$K$150,'Reporting 2021'!$B16,Data!$O$3:$O$150,"2021")</f>
        <v>0</v>
      </c>
      <c r="K70" s="427">
        <f>SUMIFS(Data!$S$3:$S$150,Data!$P$3:$P$150,K$21,Data!$K$3:$K$150,'Reporting 2021'!$B16,Data!$O$3:$O$150,"2021")</f>
        <v>0</v>
      </c>
      <c r="L70" s="427">
        <f>SUMIFS(Data!$S$3:$S$150,Data!$P$3:$P$150,L$21,Data!$K$3:$K$150,'Reporting 2021'!$B16,Data!$O$3:$O$150,"2021")</f>
        <v>0</v>
      </c>
      <c r="M70" s="427">
        <f>SUMIFS(Data!$S$3:$S$150,Data!$P$3:$P$150,M$21,Data!$K$3:$K$150,'Reporting 2021'!$B16,Data!$O$3:$O$150,"2021")</f>
        <v>0</v>
      </c>
      <c r="N70" s="427">
        <f>SUMIFS(Data!$S$3:$S$150,Data!$P$3:$P$150,N$21,Data!$K$3:$K$150,'Reporting 2021'!$B16,Data!$O$3:$O$150,"2021")</f>
        <v>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ht="19.5" customHeight="1" x14ac:dyDescent="0.3">
      <c r="A71" s="3"/>
      <c r="B71" s="121" t="s">
        <v>492</v>
      </c>
      <c r="C71" s="427">
        <f>SUMIFS(Data!$S$3:$S$150,Data!$P$3:$P$150,C$21,Data!$K$3:$K$150,'Reporting 2021'!$B17,Data!$O$3:$O$150,"2021")</f>
        <v>0</v>
      </c>
      <c r="D71" s="427">
        <f>SUMIFS(Data!$S$3:$S$150,Data!$P$3:$P$150,D$21,Data!$K$3:$K$150,'Reporting 2021'!$B17,Data!$O$3:$O$150,"2021")</f>
        <v>0</v>
      </c>
      <c r="E71" s="427">
        <f>SUMIFS(Data!$S$3:$S$150,Data!$P$3:$P$150,E$21,Data!$K$3:$K$150,'Reporting 2021'!$B17,Data!$O$3:$O$150,"2021")</f>
        <v>0</v>
      </c>
      <c r="F71" s="427">
        <f>SUMIFS(Data!$S$3:$S$150,Data!$P$3:$P$150,F$21,Data!$K$3:$K$150,'Reporting 2021'!$B17,Data!$O$3:$O$150,"2021")</f>
        <v>0</v>
      </c>
      <c r="G71" s="427">
        <f>SUMIFS(Data!$S$3:$S$150,Data!$P$3:$P$150,G$21,Data!$K$3:$K$150,'Reporting 2021'!$B17,Data!$O$3:$O$150,"2021")</f>
        <v>0</v>
      </c>
      <c r="H71" s="427">
        <f>SUMIFS(Data!$S$3:$S$150,Data!$P$3:$P$150,H$21,Data!$K$3:$K$150,'Reporting 2021'!$B17,Data!$O$3:$O$150,"2021")</f>
        <v>0</v>
      </c>
      <c r="I71" s="427">
        <f>SUMIFS(Data!$S$3:$S$150,Data!$P$3:$P$150,I$21,Data!$K$3:$K$150,'Reporting 2021'!$B17,Data!$O$3:$O$150,"2021")</f>
        <v>0</v>
      </c>
      <c r="J71" s="427">
        <f>SUMIFS(Data!$S$3:$S$150,Data!$P$3:$P$150,J$21,Data!$K$3:$K$150,'Reporting 2021'!$B17,Data!$O$3:$O$150,"2021")</f>
        <v>0</v>
      </c>
      <c r="K71" s="427">
        <f>SUMIFS(Data!$S$3:$S$150,Data!$P$3:$P$150,K$21,Data!$K$3:$K$150,'Reporting 2021'!$B17,Data!$O$3:$O$150,"2021")</f>
        <v>0</v>
      </c>
      <c r="L71" s="427">
        <f>SUMIFS(Data!$S$3:$S$150,Data!$P$3:$P$150,L$21,Data!$K$3:$K$150,'Reporting 2021'!$B17,Data!$O$3:$O$150,"2021")</f>
        <v>0</v>
      </c>
      <c r="M71" s="427">
        <f>SUMIFS(Data!$S$3:$S$150,Data!$P$3:$P$150,M$21,Data!$K$3:$K$150,'Reporting 2021'!$B17,Data!$O$3:$O$150,"2021")</f>
        <v>0</v>
      </c>
      <c r="N71" s="427">
        <f>SUMIFS(Data!$S$3:$S$150,Data!$P$3:$P$150,N$21,Data!$K$3:$K$150,'Reporting 2021'!$B17,Data!$O$3:$O$150,"2021")</f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 ht="19.5" customHeight="1" x14ac:dyDescent="0.3">
      <c r="A72" s="3"/>
      <c r="B72" s="121" t="s">
        <v>493</v>
      </c>
      <c r="C72" s="427">
        <f>SUMIFS(Data!$S$3:$S$150,Data!$P$3:$P$150,C$21,Data!$K$3:$K$150,'Reporting 2021'!$B18,Data!$O$3:$O$150,"2021")</f>
        <v>0</v>
      </c>
      <c r="D72" s="427">
        <f>SUMIFS(Data!$S$3:$S$150,Data!$P$3:$P$150,D$21,Data!$K$3:$K$150,'Reporting 2021'!$B18,Data!$O$3:$O$150,"2021")</f>
        <v>0</v>
      </c>
      <c r="E72" s="427">
        <f>SUMIFS(Data!$S$3:$S$150,Data!$P$3:$P$150,E$21,Data!$K$3:$K$150,'Reporting 2021'!$B18,Data!$O$3:$O$150,"2021")</f>
        <v>0</v>
      </c>
      <c r="F72" s="427">
        <f>SUMIFS(Data!$S$3:$S$150,Data!$P$3:$P$150,F$21,Data!$K$3:$K$150,'Reporting 2021'!$B18,Data!$O$3:$O$150,"2021")</f>
        <v>0</v>
      </c>
      <c r="G72" s="427">
        <f>SUMIFS(Data!$S$3:$S$150,Data!$P$3:$P$150,G$21,Data!$K$3:$K$150,'Reporting 2021'!$B18,Data!$O$3:$O$150,"2021")</f>
        <v>0</v>
      </c>
      <c r="H72" s="427">
        <f>SUMIFS(Data!$S$3:$S$150,Data!$P$3:$P$150,H$21,Data!$K$3:$K$150,'Reporting 2021'!$B18,Data!$O$3:$O$150,"2021")</f>
        <v>0</v>
      </c>
      <c r="I72" s="427">
        <f>SUMIFS(Data!$S$3:$S$150,Data!$P$3:$P$150,I$21,Data!$K$3:$K$150,'Reporting 2021'!$B18,Data!$O$3:$O$150,"2021")</f>
        <v>0</v>
      </c>
      <c r="J72" s="427">
        <f>SUMIFS(Data!$S$3:$S$150,Data!$P$3:$P$150,J$21,Data!$K$3:$K$150,'Reporting 2021'!$B18,Data!$O$3:$O$150,"2021")</f>
        <v>0</v>
      </c>
      <c r="K72" s="427">
        <f>SUMIFS(Data!$S$3:$S$150,Data!$P$3:$P$150,K$21,Data!$K$3:$K$150,'Reporting 2021'!$B18,Data!$O$3:$O$150,"2021")</f>
        <v>0</v>
      </c>
      <c r="L72" s="427">
        <f>SUMIFS(Data!$S$3:$S$150,Data!$P$3:$P$150,L$21,Data!$K$3:$K$150,'Reporting 2021'!$B18,Data!$O$3:$O$150,"2021")</f>
        <v>0</v>
      </c>
      <c r="M72" s="427">
        <f>SUMIFS(Data!$S$3:$S$150,Data!$P$3:$P$150,M$21,Data!$K$3:$K$150,'Reporting 2021'!$B18,Data!$O$3:$O$150,"2021")</f>
        <v>0</v>
      </c>
      <c r="N72" s="427">
        <f>SUMIFS(Data!$S$3:$S$150,Data!$P$3:$P$150,N$21,Data!$K$3:$K$150,'Reporting 2021'!$B18,Data!$O$3:$O$150,"2021")</f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 ht="19.5" customHeight="1" x14ac:dyDescent="0.3">
      <c r="A73" s="3"/>
      <c r="B73" s="121" t="s">
        <v>494</v>
      </c>
      <c r="C73" s="427">
        <f>SUMIFS(Data!$S$3:$S$150,Data!$P$3:$P$150,C$21,Data!$K$3:$K$150,'Reporting 2021'!$B19,Data!$O$3:$O$150,"2021")</f>
        <v>0</v>
      </c>
      <c r="D73" s="427">
        <f>SUMIFS(Data!$S$3:$S$150,Data!$P$3:$P$150,D$21,Data!$K$3:$K$150,'Reporting 2021'!$B19,Data!$O$3:$O$150,"2021")</f>
        <v>0</v>
      </c>
      <c r="E73" s="427">
        <f>SUMIFS(Data!$S$3:$S$150,Data!$P$3:$P$150,E$21,Data!$K$3:$K$150,'Reporting 2021'!$B19,Data!$O$3:$O$150,"2021")</f>
        <v>0</v>
      </c>
      <c r="F73" s="427">
        <f>SUMIFS(Data!$S$3:$S$150,Data!$P$3:$P$150,F$21,Data!$K$3:$K$150,'Reporting 2021'!$B19,Data!$O$3:$O$150,"2021")</f>
        <v>0</v>
      </c>
      <c r="G73" s="427">
        <f>SUMIFS(Data!$S$3:$S$150,Data!$P$3:$P$150,G$21,Data!$K$3:$K$150,'Reporting 2021'!$B19,Data!$O$3:$O$150,"2021")</f>
        <v>0</v>
      </c>
      <c r="H73" s="427">
        <f>SUMIFS(Data!$S$3:$S$150,Data!$P$3:$P$150,H$21,Data!$K$3:$K$150,'Reporting 2021'!$B19,Data!$O$3:$O$150,"2021")</f>
        <v>0</v>
      </c>
      <c r="I73" s="427">
        <f>SUMIFS(Data!$S$3:$S$150,Data!$P$3:$P$150,I$21,Data!$K$3:$K$150,'Reporting 2021'!$B19,Data!$O$3:$O$150,"2021")</f>
        <v>0</v>
      </c>
      <c r="J73" s="427">
        <f>SUMIFS(Data!$S$3:$S$150,Data!$P$3:$P$150,J$21,Data!$K$3:$K$150,'Reporting 2021'!$B19,Data!$O$3:$O$150,"2021")</f>
        <v>0</v>
      </c>
      <c r="K73" s="427">
        <f>SUMIFS(Data!$S$3:$S$150,Data!$P$3:$P$150,K$21,Data!$K$3:$K$150,'Reporting 2021'!$B19,Data!$O$3:$O$150,"2021")</f>
        <v>0</v>
      </c>
      <c r="L73" s="427">
        <f>SUMIFS(Data!$S$3:$S$150,Data!$P$3:$P$150,L$21,Data!$K$3:$K$150,'Reporting 2021'!$B19,Data!$O$3:$O$150,"2021")</f>
        <v>0</v>
      </c>
      <c r="M73" s="427">
        <f>SUMIFS(Data!$S$3:$S$150,Data!$P$3:$P$150,M$21,Data!$K$3:$K$150,'Reporting 2021'!$B19,Data!$O$3:$O$150,"2021")</f>
        <v>0</v>
      </c>
      <c r="N73" s="427">
        <f>SUMIFS(Data!$S$3:$S$150,Data!$P$3:$P$150,N$21,Data!$K$3:$K$150,'Reporting 2021'!$B19,Data!$O$3:$O$150,"2021")</f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 ht="19.5" customHeight="1" x14ac:dyDescent="0.3">
      <c r="A74" s="3"/>
      <c r="B74" s="121" t="s">
        <v>495</v>
      </c>
      <c r="C74" s="427">
        <f>SUMIFS(Data!$S$3:$S$150,Data!$P$3:$P$150,C$21,Data!$K$3:$K$150,'Reporting 2021'!$B20,Data!$O$3:$O$150,"2021")</f>
        <v>0</v>
      </c>
      <c r="D74" s="427">
        <f>SUMIFS(Data!$S$3:$S$150,Data!$P$3:$P$150,D$21,Data!$K$3:$K$150,'Reporting 2021'!$B20,Data!$O$3:$O$150,"2021")</f>
        <v>0</v>
      </c>
      <c r="E74" s="427">
        <f>SUMIFS(Data!$S$3:$S$150,Data!$P$3:$P$150,E$21,Data!$K$3:$K$150,'Reporting 2021'!$B20,Data!$O$3:$O$150,"2021")</f>
        <v>0</v>
      </c>
      <c r="F74" s="427">
        <f>SUMIFS(Data!$S$3:$S$150,Data!$P$3:$P$150,F$21,Data!$K$3:$K$150,'Reporting 2021'!$B20,Data!$O$3:$O$150,"2021")</f>
        <v>0</v>
      </c>
      <c r="G74" s="427">
        <f>SUMIFS(Data!$S$3:$S$150,Data!$P$3:$P$150,G$21,Data!$K$3:$K$150,'Reporting 2021'!$B20,Data!$O$3:$O$150,"2021")</f>
        <v>0</v>
      </c>
      <c r="H74" s="427">
        <f>SUMIFS(Data!$S$3:$S$150,Data!$P$3:$P$150,H$21,Data!$K$3:$K$150,'Reporting 2021'!$B20,Data!$O$3:$O$150,"2021")</f>
        <v>0</v>
      </c>
      <c r="I74" s="427">
        <f>SUMIFS(Data!$S$3:$S$150,Data!$P$3:$P$150,I$21,Data!$K$3:$K$150,'Reporting 2021'!$B20,Data!$O$3:$O$150,"2021")</f>
        <v>0</v>
      </c>
      <c r="J74" s="427">
        <f>SUMIFS(Data!$S$3:$S$150,Data!$P$3:$P$150,J$21,Data!$K$3:$K$150,'Reporting 2021'!$B20,Data!$O$3:$O$150,"2021")</f>
        <v>0</v>
      </c>
      <c r="K74" s="427">
        <f>SUMIFS(Data!$S$3:$S$150,Data!$P$3:$P$150,K$21,Data!$K$3:$K$150,'Reporting 2021'!$B20,Data!$O$3:$O$150,"2021")</f>
        <v>0</v>
      </c>
      <c r="L74" s="427">
        <f>SUMIFS(Data!$S$3:$S$150,Data!$P$3:$P$150,L$21,Data!$K$3:$K$150,'Reporting 2021'!$B20,Data!$O$3:$O$150,"2021")</f>
        <v>0</v>
      </c>
      <c r="M74" s="427">
        <f>SUMIFS(Data!$S$3:$S$150,Data!$P$3:$P$150,M$21,Data!$K$3:$K$150,'Reporting 2021'!$B20,Data!$O$3:$O$150,"2021")</f>
        <v>0</v>
      </c>
      <c r="N74" s="427">
        <f>SUMIFS(Data!$S$3:$S$150,Data!$P$3:$P$150,N$21,Data!$K$3:$K$150,'Reporting 2021'!$B20,Data!$O$3:$O$150,"2021")</f>
        <v>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ht="19.5" customHeight="1" x14ac:dyDescent="0.3">
      <c r="A75" s="3"/>
      <c r="B75" s="121" t="s">
        <v>496</v>
      </c>
      <c r="C75" s="427">
        <f>SUMIFS(Data!$S$3:$S$150,Data!$P$3:$P$150,C$21,Data!$K$3:$K$150,'Reporting 2021'!$B21,Data!$O$3:$O$150,"2021")</f>
        <v>0</v>
      </c>
      <c r="D75" s="427">
        <f>SUMIFS(Data!$S$3:$S$150,Data!$P$3:$P$150,D$21,Data!$K$3:$K$150,'Reporting 2021'!$B21,Data!$O$3:$O$150,"2021")</f>
        <v>0</v>
      </c>
      <c r="E75" s="427">
        <f>SUMIFS(Data!$S$3:$S$150,Data!$P$3:$P$150,E$21,Data!$K$3:$K$150,'Reporting 2021'!$B21,Data!$O$3:$O$150,"2021")</f>
        <v>0</v>
      </c>
      <c r="F75" s="427">
        <f>SUMIFS(Data!$S$3:$S$150,Data!$P$3:$P$150,F$21,Data!$K$3:$K$150,'Reporting 2021'!$B21,Data!$O$3:$O$150,"2021")</f>
        <v>0</v>
      </c>
      <c r="G75" s="427">
        <f>SUMIFS(Data!$S$3:$S$150,Data!$P$3:$P$150,G$21,Data!$K$3:$K$150,'Reporting 2021'!$B21,Data!$O$3:$O$150,"2021")</f>
        <v>0</v>
      </c>
      <c r="H75" s="427">
        <f>SUMIFS(Data!$S$3:$S$150,Data!$P$3:$P$150,H$21,Data!$K$3:$K$150,'Reporting 2021'!$B21,Data!$O$3:$O$150,"2021")</f>
        <v>0</v>
      </c>
      <c r="I75" s="427">
        <f>SUMIFS(Data!$S$3:$S$150,Data!$P$3:$P$150,I$21,Data!$K$3:$K$150,'Reporting 2021'!$B21,Data!$O$3:$O$150,"2021")</f>
        <v>0</v>
      </c>
      <c r="J75" s="427">
        <f>SUMIFS(Data!$S$3:$S$150,Data!$P$3:$P$150,J$21,Data!$K$3:$K$150,'Reporting 2021'!$B21,Data!$O$3:$O$150,"2021")</f>
        <v>0</v>
      </c>
      <c r="K75" s="427">
        <f>SUMIFS(Data!$S$3:$S$150,Data!$P$3:$P$150,K$21,Data!$K$3:$K$150,'Reporting 2021'!$B21,Data!$O$3:$O$150,"2021")</f>
        <v>0</v>
      </c>
      <c r="L75" s="427">
        <f>SUMIFS(Data!$S$3:$S$150,Data!$P$3:$P$150,L$21,Data!$K$3:$K$150,'Reporting 2021'!$B21,Data!$O$3:$O$150,"2021")</f>
        <v>0</v>
      </c>
      <c r="M75" s="427">
        <f>SUMIFS(Data!$S$3:$S$150,Data!$P$3:$P$150,M$21,Data!$K$3:$K$150,'Reporting 2021'!$B21,Data!$O$3:$O$150,"2021")</f>
        <v>0</v>
      </c>
      <c r="N75" s="427">
        <f>SUMIFS(Data!$S$3:$S$150,Data!$P$3:$P$150,N$21,Data!$K$3:$K$150,'Reporting 2021'!$B21,Data!$O$3:$O$150,"2021")</f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ht="19.5" customHeight="1" x14ac:dyDescent="0.3">
      <c r="A76" s="3"/>
      <c r="B76" s="121" t="s">
        <v>497</v>
      </c>
      <c r="C76" s="427">
        <f>SUMIFS(Data!$S$3:$S$150,Data!$P$3:$P$150,C$21,Data!$K$3:$K$150,'Reporting 2021'!$B22,Data!$O$3:$O$150,"2021")</f>
        <v>0</v>
      </c>
      <c r="D76" s="427">
        <f>SUMIFS(Data!$S$3:$S$150,Data!$P$3:$P$150,D$21,Data!$K$3:$K$150,'Reporting 2021'!$B22,Data!$O$3:$O$150,"2021")</f>
        <v>0</v>
      </c>
      <c r="E76" s="427">
        <f>SUMIFS(Data!$S$3:$S$150,Data!$P$3:$P$150,E$21,Data!$K$3:$K$150,'Reporting 2021'!$B22,Data!$O$3:$O$150,"2021")</f>
        <v>0</v>
      </c>
      <c r="F76" s="427">
        <f>SUMIFS(Data!$S$3:$S$150,Data!$P$3:$P$150,F$21,Data!$K$3:$K$150,'Reporting 2021'!$B22,Data!$O$3:$O$150,"2021")</f>
        <v>0</v>
      </c>
      <c r="G76" s="427">
        <f>SUMIFS(Data!$S$3:$S$150,Data!$P$3:$P$150,G$21,Data!$K$3:$K$150,'Reporting 2021'!$B22,Data!$O$3:$O$150,"2021")</f>
        <v>0</v>
      </c>
      <c r="H76" s="427">
        <f>SUMIFS(Data!$S$3:$S$150,Data!$P$3:$P$150,H$21,Data!$K$3:$K$150,'Reporting 2021'!$B22,Data!$O$3:$O$150,"2021")</f>
        <v>0</v>
      </c>
      <c r="I76" s="427">
        <f>SUMIFS(Data!$S$3:$S$150,Data!$P$3:$P$150,I$21,Data!$K$3:$K$150,'Reporting 2021'!$B22,Data!$O$3:$O$150,"2021")</f>
        <v>0</v>
      </c>
      <c r="J76" s="427">
        <f>SUMIFS(Data!$S$3:$S$150,Data!$P$3:$P$150,J$21,Data!$K$3:$K$150,'Reporting 2021'!$B22,Data!$O$3:$O$150,"2021")</f>
        <v>0</v>
      </c>
      <c r="K76" s="427">
        <f>SUMIFS(Data!$S$3:$S$150,Data!$P$3:$P$150,K$21,Data!$K$3:$K$150,'Reporting 2021'!$B22,Data!$O$3:$O$150,"2021")</f>
        <v>0</v>
      </c>
      <c r="L76" s="427">
        <f>SUMIFS(Data!$S$3:$S$150,Data!$P$3:$P$150,L$21,Data!$K$3:$K$150,'Reporting 2021'!$B22,Data!$O$3:$O$150,"2021")</f>
        <v>0</v>
      </c>
      <c r="M76" s="427">
        <f>SUMIFS(Data!$S$3:$S$150,Data!$P$3:$P$150,M$21,Data!$K$3:$K$150,'Reporting 2021'!$B22,Data!$O$3:$O$150,"2021")</f>
        <v>0</v>
      </c>
      <c r="N76" s="427">
        <f>SUMIFS(Data!$S$3:$S$150,Data!$P$3:$P$150,N$21,Data!$K$3:$K$150,'Reporting 2021'!$B22,Data!$O$3:$O$150,"2021")</f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 ht="19.5" customHeight="1" x14ac:dyDescent="0.3">
      <c r="A77" s="3"/>
      <c r="B77" s="121" t="s">
        <v>498</v>
      </c>
      <c r="C77" s="427">
        <f>SUMIFS(Data!$S$3:$S$150,Data!$P$3:$P$150,C$21,Data!$K$3:$K$150,'Reporting 2021'!$B23,Data!$O$3:$O$150,"2021")</f>
        <v>0</v>
      </c>
      <c r="D77" s="427">
        <f>SUMIFS(Data!$S$3:$S$150,Data!$P$3:$P$150,D$21,Data!$K$3:$K$150,'Reporting 2021'!$B23,Data!$O$3:$O$150,"2021")</f>
        <v>0</v>
      </c>
      <c r="E77" s="427">
        <f>SUMIFS(Data!$S$3:$S$150,Data!$P$3:$P$150,E$21,Data!$K$3:$K$150,'Reporting 2021'!$B23,Data!$O$3:$O$150,"2021")</f>
        <v>0</v>
      </c>
      <c r="F77" s="427">
        <f>SUMIFS(Data!$S$3:$S$150,Data!$P$3:$P$150,F$21,Data!$K$3:$K$150,'Reporting 2021'!$B23,Data!$O$3:$O$150,"2021")</f>
        <v>0</v>
      </c>
      <c r="G77" s="427">
        <f>SUMIFS(Data!$S$3:$S$150,Data!$P$3:$P$150,G$21,Data!$K$3:$K$150,'Reporting 2021'!$B23,Data!$O$3:$O$150,"2021")</f>
        <v>0</v>
      </c>
      <c r="H77" s="427">
        <f>SUMIFS(Data!$S$3:$S$150,Data!$P$3:$P$150,H$21,Data!$K$3:$K$150,'Reporting 2021'!$B23,Data!$O$3:$O$150,"2021")</f>
        <v>0</v>
      </c>
      <c r="I77" s="427">
        <f>SUMIFS(Data!$S$3:$S$150,Data!$P$3:$P$150,I$21,Data!$K$3:$K$150,'Reporting 2021'!$B23,Data!$O$3:$O$150,"2021")</f>
        <v>0</v>
      </c>
      <c r="J77" s="427">
        <f>SUMIFS(Data!$S$3:$S$150,Data!$P$3:$P$150,J$21,Data!$K$3:$K$150,'Reporting 2021'!$B23,Data!$O$3:$O$150,"2021")</f>
        <v>0</v>
      </c>
      <c r="K77" s="427">
        <f>SUMIFS(Data!$S$3:$S$150,Data!$P$3:$P$150,K$21,Data!$K$3:$K$150,'Reporting 2021'!$B23,Data!$O$3:$O$150,"2021")</f>
        <v>0</v>
      </c>
      <c r="L77" s="427">
        <f>SUMIFS(Data!$S$3:$S$150,Data!$P$3:$P$150,L$21,Data!$K$3:$K$150,'Reporting 2021'!$B23,Data!$O$3:$O$150,"2021")</f>
        <v>0</v>
      </c>
      <c r="M77" s="427">
        <f>SUMIFS(Data!$S$3:$S$150,Data!$P$3:$P$150,M$21,Data!$K$3:$K$150,'Reporting 2021'!$B23,Data!$O$3:$O$150,"2021")</f>
        <v>0</v>
      </c>
      <c r="N77" s="427">
        <f>SUMIFS(Data!$S$3:$S$150,Data!$P$3:$P$150,N$21,Data!$K$3:$K$150,'Reporting 2021'!$B23,Data!$O$3:$O$150,"2021")</f>
        <v>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ht="15" customHeight="1" x14ac:dyDescent="0.3">
      <c r="A78" s="3"/>
      <c r="B78" s="424" t="s">
        <v>499</v>
      </c>
      <c r="C78" s="430">
        <f>SUMIFS(Data!$S$3:$S$150,Data!$P$3:$P$150,C$21,Data!$K$3:$K$150,'Reporting 2021'!$B24,Data!$O$3:$O$150,"2021")</f>
        <v>0</v>
      </c>
      <c r="D78" s="430">
        <f>SUMIFS(Data!$S$3:$S$150,Data!$P$3:$P$150,D$21,Data!$K$3:$K$150,'Reporting 2021'!$B24,Data!$O$3:$O$150,"2021")</f>
        <v>0</v>
      </c>
      <c r="E78" s="430">
        <f>SUMIFS(Data!$S$3:$S$150,Data!$P$3:$P$150,E$21,Data!$K$3:$K$150,'Reporting 2021'!$B24,Data!$O$3:$O$150,"2021")</f>
        <v>0</v>
      </c>
      <c r="F78" s="430">
        <f>SUMIFS(Data!$S$3:$S$150,Data!$P$3:$P$150,F$21,Data!$K$3:$K$150,'Reporting 2021'!$B24,Data!$O$3:$O$150,"2021")</f>
        <v>0</v>
      </c>
      <c r="G78" s="430">
        <f>SUMIFS(Data!$S$3:$S$150,Data!$P$3:$P$150,G$21,Data!$K$3:$K$150,'Reporting 2021'!$B24,Data!$O$3:$O$150,"2021")</f>
        <v>0</v>
      </c>
      <c r="H78" s="430">
        <f>SUMIFS(Data!$S$3:$S$150,Data!$P$3:$P$150,H$21,Data!$K$3:$K$150,'Reporting 2021'!$B24,Data!$O$3:$O$150,"2021")</f>
        <v>0</v>
      </c>
      <c r="I78" s="430">
        <f>SUMIFS(Data!$S$3:$S$150,Data!$P$3:$P$150,I$21,Data!$K$3:$K$150,'Reporting 2021'!$B24,Data!$O$3:$O$150,"2021")</f>
        <v>0</v>
      </c>
      <c r="J78" s="430">
        <f>SUMIFS(Data!$S$3:$S$150,Data!$P$3:$P$150,J$21,Data!$K$3:$K$150,'Reporting 2021'!$B24,Data!$O$3:$O$150,"2021")</f>
        <v>0</v>
      </c>
      <c r="K78" s="430">
        <f>SUMIFS(Data!$S$3:$S$150,Data!$P$3:$P$150,K$21,Data!$K$3:$K$150,'Reporting 2021'!$B24,Data!$O$3:$O$150,"2021")</f>
        <v>0</v>
      </c>
      <c r="L78" s="430">
        <f>SUMIFS(Data!$S$3:$S$150,Data!$P$3:$P$150,L$21,Data!$K$3:$K$150,'Reporting 2021'!$B24,Data!$O$3:$O$150,"2021")</f>
        <v>0</v>
      </c>
      <c r="M78" s="430">
        <f>SUMIFS(Data!$S$3:$S$150,Data!$P$3:$P$150,M$21,Data!$K$3:$K$150,'Reporting 2021'!$B24,Data!$O$3:$O$150,"2021")</f>
        <v>0</v>
      </c>
      <c r="N78" s="430">
        <f>SUMIFS(Data!$S$3:$S$150,Data!$P$3:$P$150,N$21,Data!$K$3:$K$150,'Reporting 2021'!$B24,Data!$O$3:$O$150,"2021")</f>
        <v>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ht="15" customHeight="1" x14ac:dyDescent="0.3">
      <c r="A79" s="3"/>
      <c r="B79" s="121" t="s">
        <v>500</v>
      </c>
      <c r="C79" s="431">
        <f t="shared" ref="C79:C88" si="38">C69</f>
        <v>0</v>
      </c>
      <c r="D79" s="9">
        <f t="shared" ref="D79:N79" si="39">C79+D69</f>
        <v>0</v>
      </c>
      <c r="E79" s="9">
        <f t="shared" si="39"/>
        <v>0</v>
      </c>
      <c r="F79" s="9">
        <f t="shared" si="39"/>
        <v>0</v>
      </c>
      <c r="G79" s="9">
        <f t="shared" si="39"/>
        <v>0</v>
      </c>
      <c r="H79" s="9">
        <f t="shared" si="39"/>
        <v>0</v>
      </c>
      <c r="I79" s="9">
        <f t="shared" si="39"/>
        <v>0</v>
      </c>
      <c r="J79" s="9">
        <f t="shared" si="39"/>
        <v>0</v>
      </c>
      <c r="K79" s="9">
        <f t="shared" si="39"/>
        <v>0</v>
      </c>
      <c r="L79" s="9">
        <f t="shared" si="39"/>
        <v>0</v>
      </c>
      <c r="M79" s="9">
        <f t="shared" si="39"/>
        <v>0</v>
      </c>
      <c r="N79" s="9">
        <f t="shared" si="39"/>
        <v>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 ht="19.5" customHeight="1" x14ac:dyDescent="0.3">
      <c r="A80" s="3"/>
      <c r="B80" s="121" t="s">
        <v>501</v>
      </c>
      <c r="C80" s="431">
        <f t="shared" si="38"/>
        <v>0</v>
      </c>
      <c r="D80" s="9">
        <f t="shared" ref="D80:N80" si="40">C80+D70</f>
        <v>0</v>
      </c>
      <c r="E80" s="9">
        <f t="shared" si="40"/>
        <v>0</v>
      </c>
      <c r="F80" s="9">
        <f t="shared" si="40"/>
        <v>0</v>
      </c>
      <c r="G80" s="9">
        <f t="shared" si="40"/>
        <v>0</v>
      </c>
      <c r="H80" s="9">
        <f t="shared" si="40"/>
        <v>0</v>
      </c>
      <c r="I80" s="9">
        <f t="shared" si="40"/>
        <v>0</v>
      </c>
      <c r="J80" s="9">
        <f t="shared" si="40"/>
        <v>0</v>
      </c>
      <c r="K80" s="9">
        <f t="shared" si="40"/>
        <v>0</v>
      </c>
      <c r="L80" s="9">
        <f t="shared" si="40"/>
        <v>0</v>
      </c>
      <c r="M80" s="9">
        <f t="shared" si="40"/>
        <v>0</v>
      </c>
      <c r="N80" s="9">
        <f t="shared" si="40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 ht="19.5" customHeight="1" x14ac:dyDescent="0.3">
      <c r="A81" s="3"/>
      <c r="B81" s="121" t="s">
        <v>502</v>
      </c>
      <c r="C81" s="431">
        <f t="shared" si="38"/>
        <v>0</v>
      </c>
      <c r="D81" s="9">
        <f t="shared" ref="D81:N81" si="41">C81+D71</f>
        <v>0</v>
      </c>
      <c r="E81" s="9">
        <f t="shared" si="41"/>
        <v>0</v>
      </c>
      <c r="F81" s="9">
        <f t="shared" si="41"/>
        <v>0</v>
      </c>
      <c r="G81" s="9">
        <f t="shared" si="41"/>
        <v>0</v>
      </c>
      <c r="H81" s="9">
        <f t="shared" si="41"/>
        <v>0</v>
      </c>
      <c r="I81" s="9">
        <f t="shared" si="41"/>
        <v>0</v>
      </c>
      <c r="J81" s="9">
        <f t="shared" si="41"/>
        <v>0</v>
      </c>
      <c r="K81" s="9">
        <f t="shared" si="41"/>
        <v>0</v>
      </c>
      <c r="L81" s="9">
        <f t="shared" si="41"/>
        <v>0</v>
      </c>
      <c r="M81" s="9">
        <f t="shared" si="41"/>
        <v>0</v>
      </c>
      <c r="N81" s="9">
        <f t="shared" si="41"/>
        <v>0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 ht="19.5" customHeight="1" x14ac:dyDescent="0.3">
      <c r="A82" s="3"/>
      <c r="B82" s="121" t="s">
        <v>503</v>
      </c>
      <c r="C82" s="431">
        <f t="shared" si="38"/>
        <v>0</v>
      </c>
      <c r="D82" s="9">
        <f t="shared" ref="D82:N82" si="42">C82+D72</f>
        <v>0</v>
      </c>
      <c r="E82" s="9">
        <f t="shared" si="42"/>
        <v>0</v>
      </c>
      <c r="F82" s="9">
        <f t="shared" si="42"/>
        <v>0</v>
      </c>
      <c r="G82" s="9">
        <f t="shared" si="42"/>
        <v>0</v>
      </c>
      <c r="H82" s="9">
        <f t="shared" si="42"/>
        <v>0</v>
      </c>
      <c r="I82" s="9">
        <f t="shared" si="42"/>
        <v>0</v>
      </c>
      <c r="J82" s="9">
        <f t="shared" si="42"/>
        <v>0</v>
      </c>
      <c r="K82" s="9">
        <f t="shared" si="42"/>
        <v>0</v>
      </c>
      <c r="L82" s="9">
        <f t="shared" si="42"/>
        <v>0</v>
      </c>
      <c r="M82" s="9">
        <f t="shared" si="42"/>
        <v>0</v>
      </c>
      <c r="N82" s="9">
        <f t="shared" si="42"/>
        <v>0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 ht="19.5" customHeight="1" x14ac:dyDescent="0.3">
      <c r="A83" s="3"/>
      <c r="B83" s="121" t="s">
        <v>504</v>
      </c>
      <c r="C83" s="431">
        <f t="shared" si="38"/>
        <v>0</v>
      </c>
      <c r="D83" s="9">
        <f t="shared" ref="D83:N83" si="43">C83+D73</f>
        <v>0</v>
      </c>
      <c r="E83" s="9">
        <f t="shared" si="43"/>
        <v>0</v>
      </c>
      <c r="F83" s="9">
        <f t="shared" si="43"/>
        <v>0</v>
      </c>
      <c r="G83" s="9">
        <f t="shared" si="43"/>
        <v>0</v>
      </c>
      <c r="H83" s="9">
        <f t="shared" si="43"/>
        <v>0</v>
      </c>
      <c r="I83" s="9">
        <f t="shared" si="43"/>
        <v>0</v>
      </c>
      <c r="J83" s="9">
        <f t="shared" si="43"/>
        <v>0</v>
      </c>
      <c r="K83" s="9">
        <f t="shared" si="43"/>
        <v>0</v>
      </c>
      <c r="L83" s="9">
        <f t="shared" si="43"/>
        <v>0</v>
      </c>
      <c r="M83" s="9">
        <f t="shared" si="43"/>
        <v>0</v>
      </c>
      <c r="N83" s="9">
        <f t="shared" si="43"/>
        <v>0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 ht="19.5" customHeight="1" x14ac:dyDescent="0.3">
      <c r="A84" s="3"/>
      <c r="B84" s="121" t="s">
        <v>505</v>
      </c>
      <c r="C84" s="431">
        <f t="shared" si="38"/>
        <v>0</v>
      </c>
      <c r="D84" s="9">
        <f t="shared" ref="D84:N84" si="44">C84+D74</f>
        <v>0</v>
      </c>
      <c r="E84" s="9">
        <f t="shared" si="44"/>
        <v>0</v>
      </c>
      <c r="F84" s="9">
        <f t="shared" si="44"/>
        <v>0</v>
      </c>
      <c r="G84" s="9">
        <f t="shared" si="44"/>
        <v>0</v>
      </c>
      <c r="H84" s="9">
        <f t="shared" si="44"/>
        <v>0</v>
      </c>
      <c r="I84" s="9">
        <f t="shared" si="44"/>
        <v>0</v>
      </c>
      <c r="J84" s="9">
        <f t="shared" si="44"/>
        <v>0</v>
      </c>
      <c r="K84" s="9">
        <f t="shared" si="44"/>
        <v>0</v>
      </c>
      <c r="L84" s="9">
        <f t="shared" si="44"/>
        <v>0</v>
      </c>
      <c r="M84" s="9">
        <f t="shared" si="44"/>
        <v>0</v>
      </c>
      <c r="N84" s="9">
        <f t="shared" si="44"/>
        <v>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 ht="19.5" customHeight="1" x14ac:dyDescent="0.3">
      <c r="A85" s="3"/>
      <c r="B85" s="121" t="s">
        <v>506</v>
      </c>
      <c r="C85" s="431">
        <f t="shared" si="38"/>
        <v>0</v>
      </c>
      <c r="D85" s="9">
        <f t="shared" ref="D85:N85" si="45">C85+D75</f>
        <v>0</v>
      </c>
      <c r="E85" s="9">
        <f t="shared" si="45"/>
        <v>0</v>
      </c>
      <c r="F85" s="9">
        <f t="shared" si="45"/>
        <v>0</v>
      </c>
      <c r="G85" s="9">
        <f t="shared" si="45"/>
        <v>0</v>
      </c>
      <c r="H85" s="9">
        <f t="shared" si="45"/>
        <v>0</v>
      </c>
      <c r="I85" s="9">
        <f t="shared" si="45"/>
        <v>0</v>
      </c>
      <c r="J85" s="9">
        <f t="shared" si="45"/>
        <v>0</v>
      </c>
      <c r="K85" s="9">
        <f t="shared" si="45"/>
        <v>0</v>
      </c>
      <c r="L85" s="9">
        <f t="shared" si="45"/>
        <v>0</v>
      </c>
      <c r="M85" s="9">
        <f t="shared" si="45"/>
        <v>0</v>
      </c>
      <c r="N85" s="9">
        <f t="shared" si="45"/>
        <v>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 ht="19.5" customHeight="1" x14ac:dyDescent="0.3">
      <c r="A86" s="3"/>
      <c r="B86" s="121" t="s">
        <v>507</v>
      </c>
      <c r="C86" s="431">
        <f t="shared" si="38"/>
        <v>0</v>
      </c>
      <c r="D86" s="9">
        <f t="shared" ref="D86:N86" si="46">C86+D76</f>
        <v>0</v>
      </c>
      <c r="E86" s="9">
        <f t="shared" si="46"/>
        <v>0</v>
      </c>
      <c r="F86" s="9">
        <f t="shared" si="46"/>
        <v>0</v>
      </c>
      <c r="G86" s="9">
        <f t="shared" si="46"/>
        <v>0</v>
      </c>
      <c r="H86" s="9">
        <f t="shared" si="46"/>
        <v>0</v>
      </c>
      <c r="I86" s="9">
        <f t="shared" si="46"/>
        <v>0</v>
      </c>
      <c r="J86" s="9">
        <f t="shared" si="46"/>
        <v>0</v>
      </c>
      <c r="K86" s="9">
        <f t="shared" si="46"/>
        <v>0</v>
      </c>
      <c r="L86" s="9">
        <f t="shared" si="46"/>
        <v>0</v>
      </c>
      <c r="M86" s="9">
        <f t="shared" si="46"/>
        <v>0</v>
      </c>
      <c r="N86" s="9">
        <f t="shared" si="46"/>
        <v>0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 ht="19.5" customHeight="1" x14ac:dyDescent="0.3">
      <c r="A87" s="3"/>
      <c r="B87" s="121" t="s">
        <v>508</v>
      </c>
      <c r="C87" s="431">
        <f t="shared" si="38"/>
        <v>0</v>
      </c>
      <c r="D87" s="9">
        <f t="shared" ref="D87:N87" si="47">C87+D77</f>
        <v>0</v>
      </c>
      <c r="E87" s="9">
        <f t="shared" si="47"/>
        <v>0</v>
      </c>
      <c r="F87" s="9">
        <f t="shared" si="47"/>
        <v>0</v>
      </c>
      <c r="G87" s="9">
        <f t="shared" si="47"/>
        <v>0</v>
      </c>
      <c r="H87" s="9">
        <f t="shared" si="47"/>
        <v>0</v>
      </c>
      <c r="I87" s="9">
        <f t="shared" si="47"/>
        <v>0</v>
      </c>
      <c r="J87" s="9">
        <f t="shared" si="47"/>
        <v>0</v>
      </c>
      <c r="K87" s="9">
        <f t="shared" si="47"/>
        <v>0</v>
      </c>
      <c r="L87" s="9">
        <f t="shared" si="47"/>
        <v>0</v>
      </c>
      <c r="M87" s="9">
        <f t="shared" si="47"/>
        <v>0</v>
      </c>
      <c r="N87" s="9">
        <f t="shared" si="47"/>
        <v>0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 ht="19.5" customHeight="1" x14ac:dyDescent="0.3">
      <c r="A88" s="3"/>
      <c r="B88" s="121" t="s">
        <v>509</v>
      </c>
      <c r="C88" s="431">
        <f t="shared" si="38"/>
        <v>0</v>
      </c>
      <c r="D88" s="9">
        <f t="shared" ref="D88:N88" si="48">C88+D78</f>
        <v>0</v>
      </c>
      <c r="E88" s="9">
        <f t="shared" si="48"/>
        <v>0</v>
      </c>
      <c r="F88" s="9">
        <f t="shared" si="48"/>
        <v>0</v>
      </c>
      <c r="G88" s="9">
        <f t="shared" si="48"/>
        <v>0</v>
      </c>
      <c r="H88" s="9">
        <f t="shared" si="48"/>
        <v>0</v>
      </c>
      <c r="I88" s="9">
        <f t="shared" si="48"/>
        <v>0</v>
      </c>
      <c r="J88" s="9">
        <f t="shared" si="48"/>
        <v>0</v>
      </c>
      <c r="K88" s="9">
        <f t="shared" si="48"/>
        <v>0</v>
      </c>
      <c r="L88" s="9">
        <f t="shared" si="48"/>
        <v>0</v>
      </c>
      <c r="M88" s="9">
        <f t="shared" si="48"/>
        <v>0</v>
      </c>
      <c r="N88" s="9">
        <f t="shared" si="48"/>
        <v>0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S81"/>
  <sheetViews>
    <sheetView workbookViewId="0"/>
  </sheetViews>
  <sheetFormatPr baseColWidth="10" defaultColWidth="8.88671875" defaultRowHeight="14.4" x14ac:dyDescent="0.3"/>
  <cols>
    <col min="1" max="1" width="51" style="18" bestFit="1" customWidth="1"/>
    <col min="2" max="2" width="12.88671875" style="396" bestFit="1" customWidth="1"/>
    <col min="3" max="4" width="14.44140625" style="18" bestFit="1" customWidth="1"/>
    <col min="5" max="6" width="16" style="18" bestFit="1" customWidth="1"/>
    <col min="7" max="11" width="16.88671875" style="18" bestFit="1" customWidth="1"/>
    <col min="12" max="12" width="16" style="18" bestFit="1" customWidth="1"/>
    <col min="13" max="14" width="16.88671875" style="18" bestFit="1" customWidth="1"/>
    <col min="15" max="15" width="14.44140625" style="18" bestFit="1" customWidth="1"/>
    <col min="16" max="16" width="26.109375" style="17" bestFit="1" customWidth="1"/>
    <col min="17" max="17" width="12.88671875" style="17" bestFit="1" customWidth="1"/>
    <col min="18" max="19" width="14.109375" style="17" bestFit="1" customWidth="1"/>
  </cols>
  <sheetData>
    <row r="1" spans="1:19" ht="19.5" customHeight="1" x14ac:dyDescent="0.3">
      <c r="A1" s="198">
        <v>2021</v>
      </c>
      <c r="B1" s="251" t="s">
        <v>354</v>
      </c>
      <c r="C1" s="252">
        <v>25569.042178206018</v>
      </c>
      <c r="D1" s="253">
        <v>25569.042178564814</v>
      </c>
      <c r="E1" s="253">
        <v>25569.042178888889</v>
      </c>
      <c r="F1" s="253">
        <v>25569.042179247685</v>
      </c>
      <c r="G1" s="253">
        <v>25569.042179594908</v>
      </c>
      <c r="H1" s="254">
        <v>25569.042179953703</v>
      </c>
      <c r="I1" s="252">
        <v>25569.042180300927</v>
      </c>
      <c r="J1" s="253">
        <v>25569.042180659722</v>
      </c>
      <c r="K1" s="253">
        <v>25569.042181018518</v>
      </c>
      <c r="L1" s="253">
        <v>25569.042181365741</v>
      </c>
      <c r="M1" s="253">
        <v>25569.042181724537</v>
      </c>
      <c r="N1" s="255">
        <v>25569.04218207176</v>
      </c>
      <c r="O1" s="256" t="s">
        <v>51</v>
      </c>
      <c r="P1" s="33" t="s">
        <v>355</v>
      </c>
      <c r="Q1" s="3"/>
      <c r="R1" s="3"/>
      <c r="S1" s="3"/>
    </row>
    <row r="2" spans="1:19" ht="18" customHeight="1" x14ac:dyDescent="0.35">
      <c r="A2" s="257" t="s">
        <v>356</v>
      </c>
      <c r="B2" s="258"/>
      <c r="C2" s="259"/>
      <c r="D2" s="260"/>
      <c r="E2" s="260"/>
      <c r="F2" s="260"/>
      <c r="G2" s="260"/>
      <c r="H2" s="261"/>
      <c r="I2" s="262"/>
      <c r="J2" s="260"/>
      <c r="K2" s="260"/>
      <c r="L2" s="260"/>
      <c r="M2" s="260"/>
      <c r="N2" s="260"/>
      <c r="O2" s="263"/>
      <c r="P2" s="33"/>
      <c r="Q2" s="3"/>
      <c r="R2" s="3"/>
      <c r="S2" s="3"/>
    </row>
    <row r="3" spans="1:19" ht="19.5" customHeight="1" x14ac:dyDescent="0.3">
      <c r="A3" s="264" t="s">
        <v>357</v>
      </c>
      <c r="B3" s="265">
        <v>0.2</v>
      </c>
      <c r="C3" s="266">
        <f>'Monthly Data'!C49</f>
        <v>0</v>
      </c>
      <c r="D3" s="266">
        <f>'Monthly Data'!D49</f>
        <v>0</v>
      </c>
      <c r="E3" s="266">
        <f>'Monthly Data'!E49</f>
        <v>0</v>
      </c>
      <c r="F3" s="266">
        <f>'Monthly Data'!F49</f>
        <v>0</v>
      </c>
      <c r="G3" s="266">
        <f>'Monthly Data'!G49</f>
        <v>0</v>
      </c>
      <c r="H3" s="266">
        <f>'Monthly Data'!H49</f>
        <v>0</v>
      </c>
      <c r="I3" s="266">
        <f>'Monthly Data'!I49</f>
        <v>0</v>
      </c>
      <c r="J3" s="266">
        <f>'Monthly Data'!J49</f>
        <v>0</v>
      </c>
      <c r="K3" s="266">
        <f>'Monthly Data'!K49</f>
        <v>0</v>
      </c>
      <c r="L3" s="266">
        <f>'Monthly Data'!L49</f>
        <v>0</v>
      </c>
      <c r="M3" s="266">
        <f>'Monthly Data'!M49</f>
        <v>0</v>
      </c>
      <c r="N3" s="266">
        <f>'Monthly Data'!N49</f>
        <v>0</v>
      </c>
      <c r="O3" s="228">
        <f t="shared" ref="O3:O10" si="0">SUM(C3:N3)</f>
        <v>0</v>
      </c>
      <c r="P3" s="3"/>
      <c r="Q3" s="3"/>
      <c r="R3" s="3"/>
      <c r="S3" s="3"/>
    </row>
    <row r="4" spans="1:19" ht="19.5" customHeight="1" x14ac:dyDescent="0.3">
      <c r="A4" s="264" t="s">
        <v>358</v>
      </c>
      <c r="B4" s="265">
        <v>0.35</v>
      </c>
      <c r="C4" s="267">
        <f>'Monthly Data'!C52+'Monthly Data'!C53</f>
        <v>0</v>
      </c>
      <c r="D4" s="267">
        <f>'Monthly Data'!D52+'Monthly Data'!D53</f>
        <v>0</v>
      </c>
      <c r="E4" s="267">
        <f>'Monthly Data'!E52+'Monthly Data'!E53</f>
        <v>0</v>
      </c>
      <c r="F4" s="267">
        <f>'Monthly Data'!F52+'Monthly Data'!F53</f>
        <v>0</v>
      </c>
      <c r="G4" s="267">
        <f>'Monthly Data'!G52+'Monthly Data'!G53</f>
        <v>0</v>
      </c>
      <c r="H4" s="267">
        <f>'Monthly Data'!H52+'Monthly Data'!H53</f>
        <v>0</v>
      </c>
      <c r="I4" s="267">
        <f>'Monthly Data'!I52+'Monthly Data'!I53</f>
        <v>0</v>
      </c>
      <c r="J4" s="267">
        <f>'Monthly Data'!J52+'Monthly Data'!J53</f>
        <v>0</v>
      </c>
      <c r="K4" s="267">
        <f>'Monthly Data'!K52+'Monthly Data'!K53</f>
        <v>0</v>
      </c>
      <c r="L4" s="267">
        <f>'Monthly Data'!L52+'Monthly Data'!L53</f>
        <v>0</v>
      </c>
      <c r="M4" s="267">
        <f>'Monthly Data'!M52+'Monthly Data'!M53</f>
        <v>0</v>
      </c>
      <c r="N4" s="267">
        <f>'Monthly Data'!N52+'Monthly Data'!N53</f>
        <v>0</v>
      </c>
      <c r="O4" s="228">
        <f t="shared" si="0"/>
        <v>0</v>
      </c>
      <c r="P4" s="3"/>
      <c r="Q4" s="3"/>
      <c r="R4" s="3"/>
      <c r="S4" s="3"/>
    </row>
    <row r="5" spans="1:19" ht="19.5" customHeight="1" x14ac:dyDescent="0.3">
      <c r="A5" s="264" t="s">
        <v>359</v>
      </c>
      <c r="B5" s="265">
        <v>0.35</v>
      </c>
      <c r="C5" s="267">
        <f>'Monthly Data'!C54</f>
        <v>0</v>
      </c>
      <c r="D5" s="267">
        <f>'Monthly Data'!D54</f>
        <v>0</v>
      </c>
      <c r="E5" s="267">
        <f>'Monthly Data'!E54</f>
        <v>0</v>
      </c>
      <c r="F5" s="267">
        <f>'Monthly Data'!F54</f>
        <v>0</v>
      </c>
      <c r="G5" s="267">
        <f>'Monthly Data'!G54</f>
        <v>0</v>
      </c>
      <c r="H5" s="267">
        <f>'Monthly Data'!H54</f>
        <v>0</v>
      </c>
      <c r="I5" s="267">
        <f>'Monthly Data'!I54</f>
        <v>0</v>
      </c>
      <c r="J5" s="267">
        <f>'Monthly Data'!J54</f>
        <v>0</v>
      </c>
      <c r="K5" s="267">
        <f>'Monthly Data'!K54</f>
        <v>0</v>
      </c>
      <c r="L5" s="267">
        <f>'Monthly Data'!L54</f>
        <v>0</v>
      </c>
      <c r="M5" s="267">
        <f>'Monthly Data'!M54</f>
        <v>0</v>
      </c>
      <c r="N5" s="267">
        <f>'Monthly Data'!N54</f>
        <v>0</v>
      </c>
      <c r="O5" s="228">
        <f t="shared" si="0"/>
        <v>0</v>
      </c>
      <c r="P5" s="3"/>
      <c r="Q5" s="3"/>
      <c r="R5" s="3"/>
      <c r="S5" s="3"/>
    </row>
    <row r="6" spans="1:19" ht="19.5" customHeight="1" x14ac:dyDescent="0.3">
      <c r="A6" s="268" t="s">
        <v>360</v>
      </c>
      <c r="B6" s="269">
        <v>0</v>
      </c>
      <c r="C6" s="270">
        <v>2859</v>
      </c>
      <c r="D6" s="271">
        <v>10034</v>
      </c>
      <c r="E6" s="271">
        <v>-21729.5</v>
      </c>
      <c r="F6" s="271">
        <v>952</v>
      </c>
      <c r="G6" s="271"/>
      <c r="H6" s="272"/>
      <c r="I6" s="271"/>
      <c r="J6" s="271"/>
      <c r="K6" s="271"/>
      <c r="L6" s="271"/>
      <c r="M6" s="271"/>
      <c r="N6" s="272"/>
      <c r="O6" s="273">
        <f t="shared" si="0"/>
        <v>-7884.5</v>
      </c>
      <c r="P6" s="33"/>
      <c r="Q6" s="3"/>
      <c r="R6" s="3"/>
      <c r="S6" s="3"/>
    </row>
    <row r="7" spans="1:19" ht="19.5" customHeight="1" x14ac:dyDescent="0.3">
      <c r="A7" s="264" t="s">
        <v>361</v>
      </c>
      <c r="B7" s="274">
        <v>0.05</v>
      </c>
      <c r="C7" s="275">
        <v>2564</v>
      </c>
      <c r="D7" s="266">
        <v>5896</v>
      </c>
      <c r="E7" s="266">
        <v>4683</v>
      </c>
      <c r="F7" s="266"/>
      <c r="G7" s="266"/>
      <c r="H7" s="276"/>
      <c r="I7" s="266"/>
      <c r="J7" s="266"/>
      <c r="K7" s="266"/>
      <c r="L7" s="266"/>
      <c r="M7" s="266"/>
      <c r="N7" s="276"/>
      <c r="O7" s="277">
        <f t="shared" si="0"/>
        <v>13143</v>
      </c>
      <c r="P7" s="202">
        <f>SUM(O9:O9)</f>
        <v>0</v>
      </c>
      <c r="Q7" s="3"/>
      <c r="R7" s="3"/>
      <c r="S7" s="3"/>
    </row>
    <row r="8" spans="1:19" ht="19.5" customHeight="1" x14ac:dyDescent="0.3">
      <c r="A8" s="264" t="s">
        <v>360</v>
      </c>
      <c r="B8" s="274">
        <v>7.4999999999999997E-2</v>
      </c>
      <c r="C8" s="275">
        <v>382037</v>
      </c>
      <c r="D8" s="266">
        <v>280445.80999999988</v>
      </c>
      <c r="E8" s="266">
        <v>193426</v>
      </c>
      <c r="F8" s="266">
        <v>14771.6</v>
      </c>
      <c r="G8" s="266"/>
      <c r="H8" s="276"/>
      <c r="I8" s="266"/>
      <c r="J8" s="266"/>
      <c r="K8" s="266"/>
      <c r="L8" s="266"/>
      <c r="M8" s="266"/>
      <c r="N8" s="276"/>
      <c r="O8" s="278">
        <f t="shared" si="0"/>
        <v>870680.4099999998</v>
      </c>
      <c r="P8" s="3"/>
      <c r="Q8" s="3"/>
      <c r="R8" s="3"/>
      <c r="S8" s="3"/>
    </row>
    <row r="9" spans="1:19" ht="19.5" customHeight="1" x14ac:dyDescent="0.3">
      <c r="A9" s="279" t="s">
        <v>362</v>
      </c>
      <c r="B9" s="280">
        <v>0.15</v>
      </c>
      <c r="C9" s="281"/>
      <c r="D9" s="282"/>
      <c r="E9" s="282"/>
      <c r="F9" s="282"/>
      <c r="G9" s="282"/>
      <c r="H9" s="283"/>
      <c r="I9" s="282"/>
      <c r="J9" s="282"/>
      <c r="K9" s="282"/>
      <c r="L9" s="282"/>
      <c r="M9" s="282"/>
      <c r="N9" s="283"/>
      <c r="O9" s="284">
        <f t="shared" si="0"/>
        <v>0</v>
      </c>
      <c r="P9" s="3"/>
      <c r="Q9" s="3"/>
      <c r="R9" s="3"/>
      <c r="S9" s="3"/>
    </row>
    <row r="10" spans="1:19" ht="19.5" customHeight="1" x14ac:dyDescent="0.3">
      <c r="A10" s="285" t="s">
        <v>363</v>
      </c>
      <c r="B10" s="286">
        <v>1</v>
      </c>
      <c r="C10" s="275">
        <f t="shared" ref="C10:N10" si="1">C9*$B$9+(C8*$B$8)+(C6*$B$6)+(C7*$B$7)</f>
        <v>28780.974999999999</v>
      </c>
      <c r="D10" s="266">
        <f t="shared" si="1"/>
        <v>21328.235749999989</v>
      </c>
      <c r="E10" s="266">
        <f t="shared" si="1"/>
        <v>14741.099999999999</v>
      </c>
      <c r="F10" s="266">
        <f t="shared" si="1"/>
        <v>1107.8699999999999</v>
      </c>
      <c r="G10" s="266">
        <f t="shared" si="1"/>
        <v>0</v>
      </c>
      <c r="H10" s="276">
        <f t="shared" si="1"/>
        <v>0</v>
      </c>
      <c r="I10" s="266">
        <f t="shared" si="1"/>
        <v>0</v>
      </c>
      <c r="J10" s="266">
        <f t="shared" si="1"/>
        <v>0</v>
      </c>
      <c r="K10" s="266">
        <f t="shared" si="1"/>
        <v>0</v>
      </c>
      <c r="L10" s="266">
        <f t="shared" si="1"/>
        <v>0</v>
      </c>
      <c r="M10" s="266">
        <f t="shared" si="1"/>
        <v>0</v>
      </c>
      <c r="N10" s="276">
        <f t="shared" si="1"/>
        <v>0</v>
      </c>
      <c r="O10" s="224">
        <f t="shared" si="0"/>
        <v>65958.180749999985</v>
      </c>
      <c r="P10" s="3"/>
      <c r="Q10" s="3"/>
      <c r="R10" s="3"/>
      <c r="S10" s="3"/>
    </row>
    <row r="11" spans="1:19" ht="19.5" customHeight="1" x14ac:dyDescent="0.3">
      <c r="A11" s="264" t="s">
        <v>364</v>
      </c>
      <c r="B11" s="286">
        <v>0.1</v>
      </c>
      <c r="C11" s="287"/>
      <c r="D11" s="267"/>
      <c r="E11" s="267"/>
      <c r="F11" s="267"/>
      <c r="G11" s="266"/>
      <c r="H11" s="276"/>
      <c r="I11" s="266"/>
      <c r="J11" s="266"/>
      <c r="K11" s="264"/>
      <c r="L11" s="266"/>
      <c r="M11" s="266"/>
      <c r="N11" s="266"/>
      <c r="O11" s="228"/>
      <c r="P11" s="3"/>
      <c r="Q11" s="3"/>
      <c r="R11" s="3"/>
      <c r="S11" s="3"/>
    </row>
    <row r="12" spans="1:19" ht="19.5" customHeight="1" x14ac:dyDescent="0.3">
      <c r="A12" s="279" t="s">
        <v>365</v>
      </c>
      <c r="B12" s="288">
        <v>0.15</v>
      </c>
      <c r="C12" s="289">
        <f>AIA!C6+AIA!C7</f>
        <v>46405</v>
      </c>
      <c r="D12" s="290">
        <f>AIA!D6</f>
        <v>46405</v>
      </c>
      <c r="E12" s="290">
        <f>AIA!E7+AIA!E6</f>
        <v>46405</v>
      </c>
      <c r="F12" s="290">
        <f>AIA!F6+AIA!F7</f>
        <v>46405</v>
      </c>
      <c r="G12" s="290">
        <f>AIA!G6+AIA!G7</f>
        <v>46405</v>
      </c>
      <c r="H12" s="290">
        <f>AIA!H6+AIA!H7</f>
        <v>46405</v>
      </c>
      <c r="I12" s="289">
        <f>AIA!I6+AIA!I7</f>
        <v>46405</v>
      </c>
      <c r="J12" s="290">
        <f>AIA!J6+AIA!J7</f>
        <v>46405</v>
      </c>
      <c r="K12" s="290">
        <f>AIA!K6+AIA!K7</f>
        <v>92810</v>
      </c>
      <c r="L12" s="290">
        <f>AIA!L6+AIA!L7</f>
        <v>46405</v>
      </c>
      <c r="M12" s="290">
        <f>AIA!M6+AIA!M7</f>
        <v>46405</v>
      </c>
      <c r="N12" s="283">
        <f>AIA!N6+AIA!N7</f>
        <v>46405</v>
      </c>
      <c r="O12" s="230">
        <f>SUM(C12:N12)</f>
        <v>603265</v>
      </c>
      <c r="P12" s="3"/>
      <c r="Q12" s="3"/>
      <c r="R12" s="3"/>
      <c r="S12" s="3"/>
    </row>
    <row r="13" spans="1:19" ht="19.5" customHeight="1" x14ac:dyDescent="0.3">
      <c r="A13" s="264" t="s">
        <v>366</v>
      </c>
      <c r="B13" s="291"/>
      <c r="C13" s="267">
        <f t="shared" ref="C13:N13" si="2">C3+C4+C5+C10+C11+C12</f>
        <v>75185.975000000006</v>
      </c>
      <c r="D13" s="267">
        <f t="shared" si="2"/>
        <v>67733.235749999993</v>
      </c>
      <c r="E13" s="267">
        <f t="shared" si="2"/>
        <v>61146.1</v>
      </c>
      <c r="F13" s="267">
        <f t="shared" si="2"/>
        <v>47512.87</v>
      </c>
      <c r="G13" s="267">
        <f t="shared" si="2"/>
        <v>46405</v>
      </c>
      <c r="H13" s="292">
        <f t="shared" si="2"/>
        <v>46405</v>
      </c>
      <c r="I13" s="267">
        <f t="shared" si="2"/>
        <v>46405</v>
      </c>
      <c r="J13" s="267">
        <f t="shared" si="2"/>
        <v>46405</v>
      </c>
      <c r="K13" s="267">
        <f t="shared" si="2"/>
        <v>92810</v>
      </c>
      <c r="L13" s="267">
        <f t="shared" si="2"/>
        <v>46405</v>
      </c>
      <c r="M13" s="267">
        <f t="shared" si="2"/>
        <v>46405</v>
      </c>
      <c r="N13" s="292">
        <f t="shared" si="2"/>
        <v>46405</v>
      </c>
      <c r="O13" s="9">
        <f>SUM(C13:N13)</f>
        <v>669223.18075000006</v>
      </c>
      <c r="P13" s="3"/>
      <c r="Q13" s="3"/>
      <c r="R13" s="3"/>
      <c r="S13" s="3"/>
    </row>
    <row r="14" spans="1:19" ht="19.5" customHeight="1" x14ac:dyDescent="0.3">
      <c r="A14" s="155" t="s">
        <v>367</v>
      </c>
      <c r="B14" s="293">
        <f>O14/O13</f>
        <v>0.13521610219566502</v>
      </c>
      <c r="C14" s="155">
        <f t="shared" ref="C14:N14" si="3">C3*$B$3+C4*$B$4+C5*$B$5+C12*$B$12</f>
        <v>6960.75</v>
      </c>
      <c r="D14" s="155">
        <f t="shared" si="3"/>
        <v>6960.75</v>
      </c>
      <c r="E14" s="155">
        <f t="shared" si="3"/>
        <v>6960.75</v>
      </c>
      <c r="F14" s="155">
        <f t="shared" si="3"/>
        <v>6960.75</v>
      </c>
      <c r="G14" s="155">
        <f t="shared" si="3"/>
        <v>6960.75</v>
      </c>
      <c r="H14" s="155">
        <f t="shared" si="3"/>
        <v>6960.75</v>
      </c>
      <c r="I14" s="155">
        <f t="shared" si="3"/>
        <v>6960.75</v>
      </c>
      <c r="J14" s="155">
        <f t="shared" si="3"/>
        <v>6960.75</v>
      </c>
      <c r="K14" s="155">
        <f t="shared" si="3"/>
        <v>13921.5</v>
      </c>
      <c r="L14" s="155">
        <f t="shared" si="3"/>
        <v>6960.75</v>
      </c>
      <c r="M14" s="155">
        <f t="shared" si="3"/>
        <v>6960.75</v>
      </c>
      <c r="N14" s="155">
        <f t="shared" si="3"/>
        <v>6960.75</v>
      </c>
      <c r="O14" s="294">
        <f>SUM(C14:N14)</f>
        <v>90489.75</v>
      </c>
      <c r="P14" s="9"/>
      <c r="Q14" s="9">
        <f>O13-O14</f>
        <v>578733.43075000006</v>
      </c>
      <c r="R14" s="3"/>
      <c r="S14" s="295"/>
    </row>
    <row r="15" spans="1:19" ht="19.5" customHeight="1" x14ac:dyDescent="0.3">
      <c r="A15" s="296" t="s">
        <v>368</v>
      </c>
      <c r="B15" s="297">
        <f>C15/C48</f>
        <v>0.47537755545499005</v>
      </c>
      <c r="C15" s="298">
        <f>C3*B3+C4*B4+C5*$B$5+C10*$B$10+C11*$B$11+C12*$B$12</f>
        <v>35741.724999999999</v>
      </c>
      <c r="D15" s="296">
        <f t="shared" ref="D15:N15" si="4">D14+C15</f>
        <v>42702.474999999999</v>
      </c>
      <c r="E15" s="296">
        <f t="shared" si="4"/>
        <v>49663.224999999999</v>
      </c>
      <c r="F15" s="296">
        <f t="shared" si="4"/>
        <v>56623.974999999999</v>
      </c>
      <c r="G15" s="296">
        <f t="shared" si="4"/>
        <v>63584.724999999999</v>
      </c>
      <c r="H15" s="299">
        <f t="shared" si="4"/>
        <v>70545.475000000006</v>
      </c>
      <c r="I15" s="296">
        <f t="shared" si="4"/>
        <v>77506.225000000006</v>
      </c>
      <c r="J15" s="296">
        <f t="shared" si="4"/>
        <v>84466.975000000006</v>
      </c>
      <c r="K15" s="296">
        <f t="shared" si="4"/>
        <v>98388.475000000006</v>
      </c>
      <c r="L15" s="296">
        <f t="shared" si="4"/>
        <v>105349.22500000001</v>
      </c>
      <c r="M15" s="296">
        <f t="shared" si="4"/>
        <v>112309.97500000001</v>
      </c>
      <c r="N15" s="299">
        <f t="shared" si="4"/>
        <v>119270.72500000001</v>
      </c>
      <c r="O15" s="294"/>
      <c r="P15" s="9"/>
      <c r="Q15" s="3"/>
      <c r="R15" s="3"/>
      <c r="S15" s="3"/>
    </row>
    <row r="16" spans="1:19" ht="19.5" customHeight="1" x14ac:dyDescent="0.3">
      <c r="A16" s="300" t="s">
        <v>369</v>
      </c>
      <c r="B16" s="301">
        <f>O16/O13</f>
        <v>1.5151895946933693</v>
      </c>
      <c r="C16" s="302">
        <v>82000</v>
      </c>
      <c r="D16" s="303">
        <v>82000</v>
      </c>
      <c r="E16" s="303">
        <v>82000</v>
      </c>
      <c r="F16" s="303">
        <v>82000</v>
      </c>
      <c r="G16" s="303">
        <v>82000</v>
      </c>
      <c r="H16" s="304">
        <v>82000</v>
      </c>
      <c r="I16" s="305">
        <v>87000</v>
      </c>
      <c r="J16" s="302">
        <v>87000</v>
      </c>
      <c r="K16" s="302">
        <v>87000</v>
      </c>
      <c r="L16" s="302">
        <v>87000</v>
      </c>
      <c r="M16" s="302">
        <v>87000</v>
      </c>
      <c r="N16" s="306">
        <v>87000</v>
      </c>
      <c r="O16" s="9">
        <f>SUM(C16:N16)</f>
        <v>1014000</v>
      </c>
      <c r="P16" s="307">
        <f>800000+200000+50000</f>
        <v>1050000</v>
      </c>
      <c r="Q16" s="3"/>
      <c r="R16" s="3"/>
      <c r="S16" s="3"/>
    </row>
    <row r="17" spans="1:19" ht="19.5" customHeight="1" x14ac:dyDescent="0.3">
      <c r="A17" s="308" t="s">
        <v>370</v>
      </c>
      <c r="B17" s="309"/>
      <c r="C17" s="310">
        <v>4000</v>
      </c>
      <c r="D17" s="310">
        <v>4000</v>
      </c>
      <c r="E17" s="310">
        <v>4000</v>
      </c>
      <c r="F17" s="310">
        <v>4000</v>
      </c>
      <c r="G17" s="310">
        <v>4000</v>
      </c>
      <c r="H17" s="310">
        <v>4000</v>
      </c>
      <c r="I17" s="310">
        <v>4000</v>
      </c>
      <c r="J17" s="310">
        <v>4000</v>
      </c>
      <c r="K17" s="310">
        <v>4000</v>
      </c>
      <c r="L17" s="310">
        <v>4000</v>
      </c>
      <c r="M17" s="310">
        <v>4000</v>
      </c>
      <c r="N17" s="310">
        <v>4000</v>
      </c>
      <c r="O17" s="155">
        <f>SUM(C17:N17)</f>
        <v>48000</v>
      </c>
      <c r="P17" s="9"/>
      <c r="Q17" s="3"/>
      <c r="R17" s="3"/>
      <c r="S17" s="3"/>
    </row>
    <row r="18" spans="1:19" ht="19.5" customHeight="1" x14ac:dyDescent="0.3">
      <c r="A18" s="300" t="s">
        <v>371</v>
      </c>
      <c r="B18" s="301"/>
      <c r="C18" s="305">
        <f t="shared" ref="C18:N18" si="5">SUM(C16:C17)</f>
        <v>86000</v>
      </c>
      <c r="D18" s="305">
        <f t="shared" si="5"/>
        <v>86000</v>
      </c>
      <c r="E18" s="305">
        <f t="shared" si="5"/>
        <v>86000</v>
      </c>
      <c r="F18" s="305">
        <f t="shared" si="5"/>
        <v>86000</v>
      </c>
      <c r="G18" s="305">
        <f t="shared" si="5"/>
        <v>86000</v>
      </c>
      <c r="H18" s="304">
        <f t="shared" si="5"/>
        <v>86000</v>
      </c>
      <c r="I18" s="305">
        <f t="shared" si="5"/>
        <v>91000</v>
      </c>
      <c r="J18" s="305">
        <f t="shared" si="5"/>
        <v>91000</v>
      </c>
      <c r="K18" s="305">
        <f t="shared" si="5"/>
        <v>91000</v>
      </c>
      <c r="L18" s="305">
        <f t="shared" si="5"/>
        <v>91000</v>
      </c>
      <c r="M18" s="305">
        <f t="shared" si="5"/>
        <v>91000</v>
      </c>
      <c r="N18" s="304">
        <f t="shared" si="5"/>
        <v>91000</v>
      </c>
      <c r="O18" s="9"/>
      <c r="P18" s="9"/>
      <c r="Q18" s="3"/>
      <c r="R18" s="3"/>
      <c r="S18" s="3"/>
    </row>
    <row r="19" spans="1:19" ht="19.5" customHeight="1" x14ac:dyDescent="0.3">
      <c r="A19" s="311" t="s">
        <v>372</v>
      </c>
      <c r="B19" s="301"/>
      <c r="C19" s="305">
        <f>C18</f>
        <v>86000</v>
      </c>
      <c r="D19" s="305">
        <f t="shared" ref="D19:N19" si="6">C19+D18</f>
        <v>172000</v>
      </c>
      <c r="E19" s="305">
        <f t="shared" si="6"/>
        <v>258000</v>
      </c>
      <c r="F19" s="305">
        <f t="shared" si="6"/>
        <v>344000</v>
      </c>
      <c r="G19" s="305">
        <f t="shared" si="6"/>
        <v>430000</v>
      </c>
      <c r="H19" s="304">
        <f t="shared" si="6"/>
        <v>516000</v>
      </c>
      <c r="I19" s="305">
        <f t="shared" si="6"/>
        <v>607000</v>
      </c>
      <c r="J19" s="305">
        <f t="shared" si="6"/>
        <v>698000</v>
      </c>
      <c r="K19" s="305">
        <f t="shared" si="6"/>
        <v>789000</v>
      </c>
      <c r="L19" s="305">
        <f t="shared" si="6"/>
        <v>880000</v>
      </c>
      <c r="M19" s="305">
        <f t="shared" si="6"/>
        <v>971000</v>
      </c>
      <c r="N19" s="304">
        <f t="shared" si="6"/>
        <v>1062000</v>
      </c>
      <c r="O19" s="9"/>
      <c r="P19" s="9"/>
      <c r="Q19" s="3"/>
      <c r="R19" s="3"/>
      <c r="S19" s="3"/>
    </row>
    <row r="20" spans="1:19" ht="19.5" hidden="1" customHeight="1" x14ac:dyDescent="0.3">
      <c r="A20" s="312" t="s">
        <v>373</v>
      </c>
      <c r="B20" s="313"/>
      <c r="C20" s="235">
        <f t="shared" ref="C20:N20" si="7">C14-C18</f>
        <v>-79039.25</v>
      </c>
      <c r="D20" s="235">
        <f t="shared" si="7"/>
        <v>-79039.25</v>
      </c>
      <c r="E20" s="235">
        <f t="shared" si="7"/>
        <v>-79039.25</v>
      </c>
      <c r="F20" s="235">
        <f t="shared" si="7"/>
        <v>-79039.25</v>
      </c>
      <c r="G20" s="235">
        <f t="shared" si="7"/>
        <v>-79039.25</v>
      </c>
      <c r="H20" s="236">
        <f t="shared" si="7"/>
        <v>-79039.25</v>
      </c>
      <c r="I20" s="235">
        <f t="shared" si="7"/>
        <v>-84039.25</v>
      </c>
      <c r="J20" s="235">
        <f t="shared" si="7"/>
        <v>-84039.25</v>
      </c>
      <c r="K20" s="235">
        <f t="shared" si="7"/>
        <v>-77078.5</v>
      </c>
      <c r="L20" s="235">
        <f t="shared" si="7"/>
        <v>-84039.25</v>
      </c>
      <c r="M20" s="235">
        <f t="shared" si="7"/>
        <v>-84039.25</v>
      </c>
      <c r="N20" s="236">
        <f t="shared" si="7"/>
        <v>-84039.25</v>
      </c>
      <c r="O20" s="9">
        <f>SUM(C20:N20)</f>
        <v>-971510.25</v>
      </c>
      <c r="P20" s="9"/>
      <c r="Q20" s="3"/>
      <c r="R20" s="3"/>
      <c r="S20" s="3"/>
    </row>
    <row r="21" spans="1:19" ht="19.5" hidden="1" customHeight="1" x14ac:dyDescent="0.3">
      <c r="A21" s="314" t="s">
        <v>374</v>
      </c>
      <c r="B21" s="315"/>
      <c r="C21" s="316"/>
      <c r="D21" s="317"/>
      <c r="E21" s="317"/>
      <c r="F21" s="317"/>
      <c r="G21" s="317"/>
      <c r="H21" s="318"/>
      <c r="I21" s="317"/>
      <c r="J21" s="317"/>
      <c r="K21" s="317"/>
      <c r="L21" s="317"/>
      <c r="M21" s="317"/>
      <c r="N21" s="318"/>
      <c r="O21" s="155">
        <f>SUM(C21:N21)</f>
        <v>0</v>
      </c>
      <c r="P21" s="9"/>
      <c r="Q21" s="3"/>
      <c r="R21" s="3"/>
      <c r="S21" s="3"/>
    </row>
    <row r="22" spans="1:19" ht="19.5" hidden="1" customHeight="1" x14ac:dyDescent="0.3">
      <c r="A22" s="319" t="s">
        <v>375</v>
      </c>
      <c r="B22" s="320"/>
      <c r="C22" s="9">
        <f>C20</f>
        <v>-79039.25</v>
      </c>
      <c r="D22" s="9">
        <f t="shared" ref="D22:N22" si="8">D20+C22</f>
        <v>-158078.5</v>
      </c>
      <c r="E22" s="9">
        <f t="shared" si="8"/>
        <v>-237117.75</v>
      </c>
      <c r="F22" s="9">
        <f t="shared" si="8"/>
        <v>-316157</v>
      </c>
      <c r="G22" s="9">
        <f t="shared" si="8"/>
        <v>-395196.25</v>
      </c>
      <c r="H22" s="236">
        <f t="shared" si="8"/>
        <v>-474235.5</v>
      </c>
      <c r="I22" s="9">
        <f t="shared" si="8"/>
        <v>-558274.75</v>
      </c>
      <c r="J22" s="9">
        <f t="shared" si="8"/>
        <v>-642314</v>
      </c>
      <c r="K22" s="9">
        <f t="shared" si="8"/>
        <v>-719392.5</v>
      </c>
      <c r="L22" s="9">
        <f t="shared" si="8"/>
        <v>-803431.75</v>
      </c>
      <c r="M22" s="9">
        <f t="shared" si="8"/>
        <v>-887471</v>
      </c>
      <c r="N22" s="321">
        <f t="shared" si="8"/>
        <v>-971510.25</v>
      </c>
      <c r="O22" s="322"/>
      <c r="P22" s="322"/>
      <c r="Q22" s="3"/>
      <c r="R22" s="3"/>
      <c r="S22" s="3"/>
    </row>
    <row r="23" spans="1:19" ht="19.5" customHeight="1" x14ac:dyDescent="0.3">
      <c r="A23" s="319" t="s">
        <v>376</v>
      </c>
      <c r="B23" s="320"/>
      <c r="C23" s="323">
        <v>138</v>
      </c>
      <c r="D23" s="323">
        <v>3838</v>
      </c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2"/>
      <c r="P23" s="322"/>
      <c r="Q23" s="3"/>
      <c r="R23" s="3"/>
      <c r="S23" s="3"/>
    </row>
    <row r="24" spans="1:19" ht="15" customHeight="1" x14ac:dyDescent="0.3">
      <c r="A24" s="324" t="s">
        <v>377</v>
      </c>
      <c r="B24" s="325"/>
      <c r="C24" s="326">
        <v>138</v>
      </c>
      <c r="D24" s="326">
        <f t="shared" ref="D24:N24" si="9">C24+D23</f>
        <v>3976</v>
      </c>
      <c r="E24" s="326">
        <f t="shared" si="9"/>
        <v>3976</v>
      </c>
      <c r="F24" s="326">
        <f t="shared" si="9"/>
        <v>3976</v>
      </c>
      <c r="G24" s="326">
        <f t="shared" si="9"/>
        <v>3976</v>
      </c>
      <c r="H24" s="326">
        <f t="shared" si="9"/>
        <v>3976</v>
      </c>
      <c r="I24" s="326">
        <f t="shared" si="9"/>
        <v>3976</v>
      </c>
      <c r="J24" s="326">
        <f t="shared" si="9"/>
        <v>3976</v>
      </c>
      <c r="K24" s="326">
        <f t="shared" si="9"/>
        <v>3976</v>
      </c>
      <c r="L24" s="326">
        <f t="shared" si="9"/>
        <v>3976</v>
      </c>
      <c r="M24" s="326">
        <f t="shared" si="9"/>
        <v>3976</v>
      </c>
      <c r="N24" s="326">
        <f t="shared" si="9"/>
        <v>3976</v>
      </c>
      <c r="O24" s="322"/>
      <c r="P24" s="322"/>
      <c r="Q24" s="3"/>
      <c r="R24" s="3"/>
      <c r="S24" s="3"/>
    </row>
    <row r="25" spans="1:19" ht="19.5" hidden="1" customHeight="1" x14ac:dyDescent="0.3">
      <c r="A25" s="319" t="s">
        <v>378</v>
      </c>
      <c r="B25" s="320"/>
      <c r="C25" s="327">
        <f>$O$25/12</f>
        <v>-11416.666666666666</v>
      </c>
      <c r="D25" s="327">
        <f t="shared" ref="D25:N25" si="10">C25+$O$25/12</f>
        <v>-22833.333333333332</v>
      </c>
      <c r="E25" s="327">
        <f t="shared" si="10"/>
        <v>-34250</v>
      </c>
      <c r="F25" s="327">
        <f t="shared" si="10"/>
        <v>-45666.666666666664</v>
      </c>
      <c r="G25" s="327">
        <f t="shared" si="10"/>
        <v>-57083.333333333328</v>
      </c>
      <c r="H25" s="327">
        <f t="shared" si="10"/>
        <v>-68500</v>
      </c>
      <c r="I25" s="327">
        <f t="shared" si="10"/>
        <v>-79916.666666666672</v>
      </c>
      <c r="J25" s="327">
        <f t="shared" si="10"/>
        <v>-91333.333333333343</v>
      </c>
      <c r="K25" s="327">
        <f t="shared" si="10"/>
        <v>-102750.00000000001</v>
      </c>
      <c r="L25" s="327">
        <f t="shared" si="10"/>
        <v>-114166.66666666669</v>
      </c>
      <c r="M25" s="327">
        <f t="shared" si="10"/>
        <v>-125583.33333333336</v>
      </c>
      <c r="N25" s="327">
        <f t="shared" si="10"/>
        <v>-137000.00000000003</v>
      </c>
      <c r="O25" s="322">
        <v>-137000</v>
      </c>
      <c r="P25" s="322"/>
      <c r="Q25" s="3"/>
      <c r="R25" s="3"/>
      <c r="S25" s="3"/>
    </row>
    <row r="26" spans="1:19" ht="19.5" hidden="1" customHeight="1" x14ac:dyDescent="0.3">
      <c r="A26" s="319" t="s">
        <v>379</v>
      </c>
      <c r="B26" s="328"/>
      <c r="C26" s="9">
        <f>C25</f>
        <v>-11416.666666666666</v>
      </c>
      <c r="D26" s="9">
        <f t="shared" ref="D26:N26" si="11">C26+D25</f>
        <v>-34250</v>
      </c>
      <c r="E26" s="9">
        <f t="shared" si="11"/>
        <v>-68500</v>
      </c>
      <c r="F26" s="9">
        <f t="shared" si="11"/>
        <v>-114166.66666666666</v>
      </c>
      <c r="G26" s="9">
        <f t="shared" si="11"/>
        <v>-171250</v>
      </c>
      <c r="H26" s="321">
        <f t="shared" si="11"/>
        <v>-239750</v>
      </c>
      <c r="I26" s="9">
        <f t="shared" si="11"/>
        <v>-319666.66666666669</v>
      </c>
      <c r="J26" s="9">
        <f t="shared" si="11"/>
        <v>-411000</v>
      </c>
      <c r="K26" s="9">
        <f t="shared" si="11"/>
        <v>-513750</v>
      </c>
      <c r="L26" s="9">
        <f t="shared" si="11"/>
        <v>-627916.66666666674</v>
      </c>
      <c r="M26" s="9">
        <f t="shared" si="11"/>
        <v>-753500.00000000012</v>
      </c>
      <c r="N26" s="321">
        <f t="shared" si="11"/>
        <v>-890500.00000000012</v>
      </c>
      <c r="O26" s="329"/>
      <c r="P26" s="330"/>
      <c r="Q26" s="3"/>
      <c r="R26" s="3"/>
      <c r="S26" s="3"/>
    </row>
    <row r="27" spans="1:19" ht="19.5" hidden="1" customHeight="1" x14ac:dyDescent="0.3">
      <c r="A27" s="8" t="s">
        <v>380</v>
      </c>
      <c r="B27" s="328"/>
      <c r="C27" s="331">
        <f t="shared" ref="C27:N27" si="12">C24-C25</f>
        <v>11554.666666666666</v>
      </c>
      <c r="D27" s="331">
        <f t="shared" si="12"/>
        <v>26809.333333333332</v>
      </c>
      <c r="E27" s="331">
        <f t="shared" si="12"/>
        <v>38226</v>
      </c>
      <c r="F27" s="331">
        <f t="shared" si="12"/>
        <v>49642.666666666664</v>
      </c>
      <c r="G27" s="331">
        <f t="shared" si="12"/>
        <v>61059.333333333328</v>
      </c>
      <c r="H27" s="332">
        <f t="shared" si="12"/>
        <v>72476</v>
      </c>
      <c r="I27" s="331">
        <f t="shared" si="12"/>
        <v>83892.666666666672</v>
      </c>
      <c r="J27" s="331">
        <f t="shared" si="12"/>
        <v>95309.333333333343</v>
      </c>
      <c r="K27" s="331">
        <f t="shared" si="12"/>
        <v>106726.00000000001</v>
      </c>
      <c r="L27" s="331">
        <f t="shared" si="12"/>
        <v>118142.66666666669</v>
      </c>
      <c r="M27" s="331">
        <f t="shared" si="12"/>
        <v>129559.33333333336</v>
      </c>
      <c r="N27" s="332">
        <f t="shared" si="12"/>
        <v>140976.00000000003</v>
      </c>
      <c r="O27" s="8"/>
      <c r="P27" s="3"/>
      <c r="Q27" s="3"/>
      <c r="R27" s="3"/>
      <c r="S27" s="3"/>
    </row>
    <row r="28" spans="1:19" ht="18" customHeight="1" x14ac:dyDescent="0.35">
      <c r="A28" s="257" t="s">
        <v>366</v>
      </c>
      <c r="B28" s="333"/>
      <c r="C28" s="224"/>
      <c r="D28" s="224"/>
      <c r="E28" s="224"/>
      <c r="F28" s="224"/>
      <c r="G28" s="224"/>
      <c r="H28" s="334"/>
      <c r="I28" s="224"/>
      <c r="J28" s="224"/>
      <c r="K28" s="224"/>
      <c r="L28" s="224"/>
      <c r="M28" s="224"/>
      <c r="N28" s="335"/>
      <c r="O28" s="8"/>
      <c r="P28" s="3"/>
      <c r="Q28" s="3"/>
      <c r="R28" s="3"/>
      <c r="S28" s="3"/>
    </row>
    <row r="29" spans="1:19" ht="19.5" customHeight="1" x14ac:dyDescent="0.3">
      <c r="A29" s="336" t="s">
        <v>381</v>
      </c>
      <c r="B29" s="337"/>
      <c r="C29" s="338">
        <f>O29/12</f>
        <v>0</v>
      </c>
      <c r="D29" s="338">
        <f t="shared" ref="D29:N29" si="13">C29+($O$29/12)</f>
        <v>0</v>
      </c>
      <c r="E29" s="338">
        <f t="shared" si="13"/>
        <v>0</v>
      </c>
      <c r="F29" s="338">
        <f t="shared" si="13"/>
        <v>0</v>
      </c>
      <c r="G29" s="338">
        <f t="shared" si="13"/>
        <v>0</v>
      </c>
      <c r="H29" s="338">
        <f t="shared" si="13"/>
        <v>0</v>
      </c>
      <c r="I29" s="338">
        <f t="shared" si="13"/>
        <v>0</v>
      </c>
      <c r="J29" s="338">
        <f t="shared" si="13"/>
        <v>0</v>
      </c>
      <c r="K29" s="338">
        <f t="shared" si="13"/>
        <v>0</v>
      </c>
      <c r="L29" s="338">
        <f t="shared" si="13"/>
        <v>0</v>
      </c>
      <c r="M29" s="338">
        <f t="shared" si="13"/>
        <v>0</v>
      </c>
      <c r="N29" s="338">
        <f t="shared" si="13"/>
        <v>0</v>
      </c>
      <c r="O29" s="9">
        <v>0</v>
      </c>
      <c r="P29" s="3"/>
      <c r="Q29" s="3"/>
      <c r="R29" s="3"/>
      <c r="S29" s="3"/>
    </row>
    <row r="30" spans="1:19" ht="19.5" customHeight="1" x14ac:dyDescent="0.3">
      <c r="A30" s="336" t="s">
        <v>382</v>
      </c>
      <c r="B30" s="337"/>
      <c r="C30" s="338">
        <f>'Monthly Data'!C51</f>
        <v>0</v>
      </c>
      <c r="D30" s="338">
        <f>'Monthly Data'!D51</f>
        <v>0</v>
      </c>
      <c r="E30" s="338">
        <f>'Monthly Data'!E51</f>
        <v>0</v>
      </c>
      <c r="F30" s="338">
        <f>'Monthly Data'!F51</f>
        <v>0</v>
      </c>
      <c r="G30" s="338">
        <f>'Monthly Data'!G51</f>
        <v>0</v>
      </c>
      <c r="H30" s="339">
        <f>'Monthly Data'!H51</f>
        <v>0</v>
      </c>
      <c r="I30" s="338">
        <f>'Monthly Data'!I51</f>
        <v>0</v>
      </c>
      <c r="J30" s="338">
        <f>'Monthly Data'!J51</f>
        <v>0</v>
      </c>
      <c r="K30" s="338">
        <f>'Monthly Data'!K51</f>
        <v>0</v>
      </c>
      <c r="L30" s="338">
        <f>'Monthly Data'!L51</f>
        <v>0</v>
      </c>
      <c r="M30" s="338">
        <f>'Monthly Data'!M51</f>
        <v>0</v>
      </c>
      <c r="N30" s="339">
        <f>'Monthly Data'!N51</f>
        <v>0</v>
      </c>
      <c r="O30" s="9"/>
      <c r="P30" s="3"/>
      <c r="Q30" s="3"/>
      <c r="R30" s="3"/>
      <c r="S30" s="3"/>
    </row>
    <row r="31" spans="1:19" ht="19.5" customHeight="1" x14ac:dyDescent="0.3">
      <c r="A31" s="340" t="s">
        <v>383</v>
      </c>
      <c r="B31" s="341"/>
      <c r="C31" s="338">
        <v>1588.5</v>
      </c>
      <c r="D31" s="338">
        <v>6223.5</v>
      </c>
      <c r="E31" s="338">
        <v>6823.5</v>
      </c>
      <c r="F31" s="338">
        <v>8687.5</v>
      </c>
      <c r="G31" s="338">
        <v>33667.5</v>
      </c>
      <c r="H31" s="339">
        <v>47392.5</v>
      </c>
      <c r="I31" s="338">
        <v>84622.5</v>
      </c>
      <c r="J31" s="338">
        <v>85647.5</v>
      </c>
      <c r="K31" s="338">
        <v>85647.5</v>
      </c>
      <c r="L31" s="338">
        <v>86437.5</v>
      </c>
      <c r="M31" s="338">
        <v>96622.5</v>
      </c>
      <c r="N31" s="339">
        <v>97412.5</v>
      </c>
      <c r="O31" s="8"/>
      <c r="P31" s="3"/>
      <c r="Q31" s="3"/>
      <c r="R31" s="3"/>
      <c r="S31" s="3"/>
    </row>
    <row r="32" spans="1:19" ht="19.5" customHeight="1" x14ac:dyDescent="0.3">
      <c r="A32" s="336" t="s">
        <v>384</v>
      </c>
      <c r="B32" s="337"/>
      <c r="C32" s="338">
        <f>O32/12</f>
        <v>41666.666666666664</v>
      </c>
      <c r="D32" s="338">
        <f t="shared" ref="D32:N32" si="14">C32+($O$32/12)</f>
        <v>83333.333333333328</v>
      </c>
      <c r="E32" s="338">
        <f t="shared" si="14"/>
        <v>125000</v>
      </c>
      <c r="F32" s="338">
        <f t="shared" si="14"/>
        <v>166666.66666666666</v>
      </c>
      <c r="G32" s="338">
        <f t="shared" si="14"/>
        <v>208333.33333333331</v>
      </c>
      <c r="H32" s="338">
        <f t="shared" si="14"/>
        <v>249999.99999999997</v>
      </c>
      <c r="I32" s="338">
        <f t="shared" si="14"/>
        <v>291666.66666666663</v>
      </c>
      <c r="J32" s="338">
        <f t="shared" si="14"/>
        <v>333333.33333333331</v>
      </c>
      <c r="K32" s="338">
        <f t="shared" si="14"/>
        <v>375000</v>
      </c>
      <c r="L32" s="338">
        <f t="shared" si="14"/>
        <v>416666.66666666669</v>
      </c>
      <c r="M32" s="338">
        <f t="shared" si="14"/>
        <v>458333.33333333337</v>
      </c>
      <c r="N32" s="338">
        <f t="shared" si="14"/>
        <v>500000.00000000006</v>
      </c>
      <c r="O32" s="9">
        <v>500000</v>
      </c>
      <c r="P32" s="3"/>
      <c r="Q32" s="3"/>
      <c r="R32" s="3"/>
      <c r="S32" s="3"/>
    </row>
    <row r="33" spans="1:19" ht="19.5" customHeight="1" x14ac:dyDescent="0.3">
      <c r="A33" s="336" t="s">
        <v>385</v>
      </c>
      <c r="B33" s="337"/>
      <c r="C33" s="338">
        <f>'Monthly Data'!C52</f>
        <v>0</v>
      </c>
      <c r="D33" s="338">
        <f>'Monthly Data'!D52</f>
        <v>0</v>
      </c>
      <c r="E33" s="338">
        <f>'Monthly Data'!E52</f>
        <v>0</v>
      </c>
      <c r="F33" s="338">
        <f>'Monthly Data'!F52</f>
        <v>0</v>
      </c>
      <c r="G33" s="338">
        <f>'Monthly Data'!G52</f>
        <v>0</v>
      </c>
      <c r="H33" s="339">
        <f>'Monthly Data'!H52</f>
        <v>0</v>
      </c>
      <c r="I33" s="338">
        <f>'Monthly Data'!I52</f>
        <v>0</v>
      </c>
      <c r="J33" s="338">
        <f>'Monthly Data'!J52</f>
        <v>0</v>
      </c>
      <c r="K33" s="338">
        <f>'Monthly Data'!K52</f>
        <v>0</v>
      </c>
      <c r="L33" s="338">
        <f>'Monthly Data'!L52</f>
        <v>0</v>
      </c>
      <c r="M33" s="338">
        <f>'Monthly Data'!M52</f>
        <v>0</v>
      </c>
      <c r="N33" s="339">
        <f>'Monthly Data'!N52</f>
        <v>0</v>
      </c>
      <c r="O33" s="9"/>
      <c r="P33" s="3"/>
      <c r="Q33" s="3"/>
      <c r="R33" s="3"/>
      <c r="S33" s="3"/>
    </row>
    <row r="34" spans="1:19" ht="19.5" customHeight="1" x14ac:dyDescent="0.3">
      <c r="A34" s="340" t="s">
        <v>386</v>
      </c>
      <c r="B34" s="337"/>
      <c r="C34" s="338">
        <v>15514.5</v>
      </c>
      <c r="D34" s="338">
        <v>22932.5</v>
      </c>
      <c r="E34" s="338">
        <v>41579.5</v>
      </c>
      <c r="F34" s="338">
        <v>49547.65</v>
      </c>
      <c r="G34" s="338">
        <v>58708.65</v>
      </c>
      <c r="H34" s="339">
        <v>99658</v>
      </c>
      <c r="I34" s="338">
        <v>110984</v>
      </c>
      <c r="J34" s="338">
        <v>136405</v>
      </c>
      <c r="K34" s="338">
        <v>144601</v>
      </c>
      <c r="L34" s="338">
        <v>150010.5</v>
      </c>
      <c r="M34" s="338">
        <v>153341</v>
      </c>
      <c r="N34" s="339">
        <v>218118.39999999999</v>
      </c>
      <c r="O34" s="9"/>
      <c r="P34" s="3"/>
      <c r="Q34" s="3"/>
      <c r="R34" s="3"/>
      <c r="S34" s="3"/>
    </row>
    <row r="35" spans="1:19" ht="19.5" customHeight="1" x14ac:dyDescent="0.3">
      <c r="A35" s="336" t="s">
        <v>387</v>
      </c>
      <c r="B35" s="337"/>
      <c r="C35" s="338">
        <f>O35/12</f>
        <v>0</v>
      </c>
      <c r="D35" s="338">
        <f t="shared" ref="D35:N35" si="15">C35+($O$35/12)</f>
        <v>0</v>
      </c>
      <c r="E35" s="338">
        <f t="shared" si="15"/>
        <v>0</v>
      </c>
      <c r="F35" s="338">
        <f t="shared" si="15"/>
        <v>0</v>
      </c>
      <c r="G35" s="338">
        <f t="shared" si="15"/>
        <v>0</v>
      </c>
      <c r="H35" s="338">
        <f t="shared" si="15"/>
        <v>0</v>
      </c>
      <c r="I35" s="338">
        <f t="shared" si="15"/>
        <v>0</v>
      </c>
      <c r="J35" s="338">
        <f t="shared" si="15"/>
        <v>0</v>
      </c>
      <c r="K35" s="338">
        <f t="shared" si="15"/>
        <v>0</v>
      </c>
      <c r="L35" s="338">
        <f t="shared" si="15"/>
        <v>0</v>
      </c>
      <c r="M35" s="338">
        <f t="shared" si="15"/>
        <v>0</v>
      </c>
      <c r="N35" s="338">
        <f t="shared" si="15"/>
        <v>0</v>
      </c>
      <c r="O35" s="9">
        <v>0</v>
      </c>
      <c r="P35" s="3"/>
      <c r="Q35" s="3"/>
      <c r="R35" s="3"/>
      <c r="S35" s="3"/>
    </row>
    <row r="36" spans="1:19" ht="19.5" customHeight="1" x14ac:dyDescent="0.3">
      <c r="A36" s="336" t="s">
        <v>388</v>
      </c>
      <c r="B36" s="337"/>
      <c r="C36" s="338">
        <f>'Monthly Data'!C53</f>
        <v>0</v>
      </c>
      <c r="D36" s="338">
        <f>'Monthly Data'!D53</f>
        <v>0</v>
      </c>
      <c r="E36" s="338">
        <f>'Monthly Data'!E53</f>
        <v>0</v>
      </c>
      <c r="F36" s="338">
        <f>'Monthly Data'!F53</f>
        <v>0</v>
      </c>
      <c r="G36" s="338">
        <f>'Monthly Data'!G53</f>
        <v>0</v>
      </c>
      <c r="H36" s="339">
        <f>'Monthly Data'!H53</f>
        <v>0</v>
      </c>
      <c r="I36" s="338">
        <f>'Monthly Data'!I53</f>
        <v>0</v>
      </c>
      <c r="J36" s="338">
        <f>'Monthly Data'!J53</f>
        <v>0</v>
      </c>
      <c r="K36" s="338">
        <f>'Monthly Data'!K53</f>
        <v>0</v>
      </c>
      <c r="L36" s="338">
        <f>'Monthly Data'!L53</f>
        <v>0</v>
      </c>
      <c r="M36" s="338">
        <f>'Monthly Data'!M53</f>
        <v>0</v>
      </c>
      <c r="N36" s="339">
        <f>'Monthly Data'!N53</f>
        <v>0</v>
      </c>
      <c r="O36" s="9"/>
      <c r="P36" s="3"/>
      <c r="Q36" s="3"/>
      <c r="R36" s="3"/>
      <c r="S36" s="3"/>
    </row>
    <row r="37" spans="1:19" ht="19.5" customHeight="1" x14ac:dyDescent="0.3">
      <c r="A37" s="342" t="s">
        <v>389</v>
      </c>
      <c r="B37" s="343"/>
      <c r="C37" s="338">
        <v>0</v>
      </c>
      <c r="D37" s="338">
        <v>0</v>
      </c>
      <c r="E37" s="338">
        <v>0</v>
      </c>
      <c r="F37" s="338">
        <v>0</v>
      </c>
      <c r="G37" s="338">
        <v>0</v>
      </c>
      <c r="H37" s="339">
        <v>6900</v>
      </c>
      <c r="I37" s="338">
        <v>8904</v>
      </c>
      <c r="J37" s="338">
        <v>8904</v>
      </c>
      <c r="K37" s="338">
        <v>8904</v>
      </c>
      <c r="L37" s="338">
        <v>8904</v>
      </c>
      <c r="M37" s="338">
        <v>8904</v>
      </c>
      <c r="N37" s="339">
        <v>8904</v>
      </c>
      <c r="O37" s="9"/>
      <c r="P37" s="3"/>
      <c r="Q37" s="3"/>
      <c r="R37" s="3"/>
      <c r="S37" s="3"/>
    </row>
    <row r="38" spans="1:19" ht="19.5" customHeight="1" x14ac:dyDescent="0.3">
      <c r="A38" s="336" t="s">
        <v>390</v>
      </c>
      <c r="B38" s="337"/>
      <c r="C38" s="338">
        <f>O38/12</f>
        <v>41666.666666666664</v>
      </c>
      <c r="D38" s="338">
        <f t="shared" ref="D38:N38" si="16">C38+($O$38/12)</f>
        <v>83333.333333333328</v>
      </c>
      <c r="E38" s="338">
        <f t="shared" si="16"/>
        <v>125000</v>
      </c>
      <c r="F38" s="338">
        <f t="shared" si="16"/>
        <v>166666.66666666666</v>
      </c>
      <c r="G38" s="338">
        <f t="shared" si="16"/>
        <v>208333.33333333331</v>
      </c>
      <c r="H38" s="339">
        <f t="shared" si="16"/>
        <v>249999.99999999997</v>
      </c>
      <c r="I38" s="338">
        <f t="shared" si="16"/>
        <v>291666.66666666663</v>
      </c>
      <c r="J38" s="338">
        <f t="shared" si="16"/>
        <v>333333.33333333331</v>
      </c>
      <c r="K38" s="338">
        <f t="shared" si="16"/>
        <v>375000</v>
      </c>
      <c r="L38" s="338">
        <f t="shared" si="16"/>
        <v>416666.66666666669</v>
      </c>
      <c r="M38" s="338">
        <f t="shared" si="16"/>
        <v>458333.33333333337</v>
      </c>
      <c r="N38" s="339">
        <f t="shared" si="16"/>
        <v>500000.00000000006</v>
      </c>
      <c r="O38" s="9">
        <f>O29+O32</f>
        <v>500000</v>
      </c>
      <c r="P38" s="3"/>
      <c r="Q38" s="3"/>
      <c r="R38" s="3"/>
      <c r="S38" s="3"/>
    </row>
    <row r="39" spans="1:19" ht="19.5" customHeight="1" x14ac:dyDescent="0.3">
      <c r="A39" s="344" t="s">
        <v>391</v>
      </c>
      <c r="B39" s="337"/>
      <c r="C39" s="345">
        <f t="shared" ref="C39:N39" si="17">SUM(C30+C33)</f>
        <v>0</v>
      </c>
      <c r="D39" s="345">
        <f t="shared" si="17"/>
        <v>0</v>
      </c>
      <c r="E39" s="345">
        <f t="shared" si="17"/>
        <v>0</v>
      </c>
      <c r="F39" s="345">
        <f t="shared" si="17"/>
        <v>0</v>
      </c>
      <c r="G39" s="345">
        <f t="shared" si="17"/>
        <v>0</v>
      </c>
      <c r="H39" s="345">
        <f t="shared" si="17"/>
        <v>0</v>
      </c>
      <c r="I39" s="345">
        <f t="shared" si="17"/>
        <v>0</v>
      </c>
      <c r="J39" s="345">
        <f t="shared" si="17"/>
        <v>0</v>
      </c>
      <c r="K39" s="345">
        <f t="shared" si="17"/>
        <v>0</v>
      </c>
      <c r="L39" s="345">
        <f t="shared" si="17"/>
        <v>0</v>
      </c>
      <c r="M39" s="345">
        <f t="shared" si="17"/>
        <v>0</v>
      </c>
      <c r="N39" s="345">
        <f t="shared" si="17"/>
        <v>0</v>
      </c>
      <c r="O39" s="9"/>
      <c r="P39" s="3"/>
      <c r="Q39" s="3"/>
      <c r="R39" s="3"/>
      <c r="S39" s="3"/>
    </row>
    <row r="40" spans="1:19" ht="19.5" customHeight="1" x14ac:dyDescent="0.3">
      <c r="A40" s="342" t="s">
        <v>392</v>
      </c>
      <c r="B40" s="346"/>
      <c r="C40" s="347">
        <f t="shared" ref="C40:N40" si="18">SUM(C31+C34)</f>
        <v>17103</v>
      </c>
      <c r="D40" s="347">
        <f t="shared" si="18"/>
        <v>29156</v>
      </c>
      <c r="E40" s="347">
        <f t="shared" si="18"/>
        <v>48403</v>
      </c>
      <c r="F40" s="347">
        <f t="shared" si="18"/>
        <v>58235.15</v>
      </c>
      <c r="G40" s="347">
        <f t="shared" si="18"/>
        <v>92376.15</v>
      </c>
      <c r="H40" s="347">
        <f t="shared" si="18"/>
        <v>147050.5</v>
      </c>
      <c r="I40" s="347">
        <f t="shared" si="18"/>
        <v>195606.5</v>
      </c>
      <c r="J40" s="347">
        <f t="shared" si="18"/>
        <v>222052.5</v>
      </c>
      <c r="K40" s="347">
        <f t="shared" si="18"/>
        <v>230248.5</v>
      </c>
      <c r="L40" s="347">
        <f t="shared" si="18"/>
        <v>236448</v>
      </c>
      <c r="M40" s="347">
        <f t="shared" si="18"/>
        <v>249963.5</v>
      </c>
      <c r="N40" s="347">
        <f t="shared" si="18"/>
        <v>315530.90000000002</v>
      </c>
      <c r="O40" s="9"/>
      <c r="P40" s="3"/>
      <c r="Q40" s="3"/>
      <c r="R40" s="3"/>
      <c r="S40" s="3"/>
    </row>
    <row r="41" spans="1:19" ht="19.5" customHeight="1" x14ac:dyDescent="0.3">
      <c r="A41" s="336" t="s">
        <v>393</v>
      </c>
      <c r="B41" s="337"/>
      <c r="C41" s="338">
        <f>O41/12</f>
        <v>30833.333333333332</v>
      </c>
      <c r="D41" s="338">
        <f t="shared" ref="D41:N41" si="19">C41+($O$41/12)</f>
        <v>61666.666666666664</v>
      </c>
      <c r="E41" s="338">
        <f t="shared" si="19"/>
        <v>92500</v>
      </c>
      <c r="F41" s="338">
        <f t="shared" si="19"/>
        <v>123333.33333333333</v>
      </c>
      <c r="G41" s="338">
        <f t="shared" si="19"/>
        <v>154166.66666666666</v>
      </c>
      <c r="H41" s="339">
        <f t="shared" si="19"/>
        <v>185000</v>
      </c>
      <c r="I41" s="338">
        <f t="shared" si="19"/>
        <v>215833.33333333334</v>
      </c>
      <c r="J41" s="338">
        <f t="shared" si="19"/>
        <v>246666.66666666669</v>
      </c>
      <c r="K41" s="338">
        <f t="shared" si="19"/>
        <v>277500</v>
      </c>
      <c r="L41" s="338">
        <f t="shared" si="19"/>
        <v>308333.33333333331</v>
      </c>
      <c r="M41" s="338">
        <f t="shared" si="19"/>
        <v>339166.66666666663</v>
      </c>
      <c r="N41" s="339">
        <f t="shared" si="19"/>
        <v>369999.99999999994</v>
      </c>
      <c r="O41" s="348">
        <v>370000</v>
      </c>
      <c r="P41" s="3"/>
      <c r="Q41" s="3"/>
      <c r="R41" s="3"/>
      <c r="S41" s="3"/>
    </row>
    <row r="42" spans="1:19" ht="19.5" customHeight="1" x14ac:dyDescent="0.3">
      <c r="A42" s="336" t="s">
        <v>394</v>
      </c>
      <c r="B42" s="337"/>
      <c r="C42" s="338">
        <f>C12</f>
        <v>46405</v>
      </c>
      <c r="D42" s="338">
        <f t="shared" ref="D42:N42" si="20">C42+D12</f>
        <v>92810</v>
      </c>
      <c r="E42" s="338">
        <f t="shared" si="20"/>
        <v>139215</v>
      </c>
      <c r="F42" s="338">
        <f t="shared" si="20"/>
        <v>185620</v>
      </c>
      <c r="G42" s="338">
        <f t="shared" si="20"/>
        <v>232025</v>
      </c>
      <c r="H42" s="339">
        <f t="shared" si="20"/>
        <v>278430</v>
      </c>
      <c r="I42" s="338">
        <f t="shared" si="20"/>
        <v>324835</v>
      </c>
      <c r="J42" s="338">
        <f t="shared" si="20"/>
        <v>371240</v>
      </c>
      <c r="K42" s="338">
        <f t="shared" si="20"/>
        <v>464050</v>
      </c>
      <c r="L42" s="338">
        <f t="shared" si="20"/>
        <v>510455</v>
      </c>
      <c r="M42" s="338">
        <f t="shared" si="20"/>
        <v>556860</v>
      </c>
      <c r="N42" s="339">
        <f t="shared" si="20"/>
        <v>603265</v>
      </c>
      <c r="O42" s="9"/>
      <c r="P42" s="3"/>
      <c r="Q42" s="3"/>
      <c r="R42" s="3"/>
      <c r="S42" s="3"/>
    </row>
    <row r="43" spans="1:19" ht="19.5" customHeight="1" x14ac:dyDescent="0.3">
      <c r="A43" s="342" t="s">
        <v>395</v>
      </c>
      <c r="B43" s="343"/>
      <c r="C43" s="347">
        <v>0</v>
      </c>
      <c r="D43" s="347">
        <v>160980</v>
      </c>
      <c r="E43" s="347">
        <v>999980</v>
      </c>
      <c r="F43" s="347">
        <v>999980</v>
      </c>
      <c r="G43" s="347">
        <v>999980</v>
      </c>
      <c r="H43" s="347">
        <v>999980</v>
      </c>
      <c r="I43" s="347">
        <v>999980</v>
      </c>
      <c r="J43" s="347">
        <v>999980</v>
      </c>
      <c r="K43" s="347">
        <v>1000820</v>
      </c>
      <c r="L43" s="347">
        <v>1000820</v>
      </c>
      <c r="M43" s="347">
        <v>1000820</v>
      </c>
      <c r="N43" s="347">
        <v>1282145</v>
      </c>
      <c r="O43" s="9"/>
      <c r="P43" s="3"/>
      <c r="Q43" s="3"/>
      <c r="R43" s="3"/>
      <c r="S43" s="3"/>
    </row>
    <row r="44" spans="1:19" ht="19.5" customHeight="1" x14ac:dyDescent="0.3">
      <c r="A44" s="336" t="s">
        <v>396</v>
      </c>
      <c r="B44" s="337"/>
      <c r="C44" s="338">
        <f>O44/12</f>
        <v>39754.333333333336</v>
      </c>
      <c r="D44" s="338">
        <f t="shared" ref="D44:N44" si="21">C44+($O$44/12)</f>
        <v>79508.666666666672</v>
      </c>
      <c r="E44" s="338">
        <f t="shared" si="21"/>
        <v>119263</v>
      </c>
      <c r="F44" s="338">
        <f t="shared" si="21"/>
        <v>159017.33333333334</v>
      </c>
      <c r="G44" s="338">
        <f t="shared" si="21"/>
        <v>198771.66666666669</v>
      </c>
      <c r="H44" s="339">
        <f t="shared" si="21"/>
        <v>238526.00000000003</v>
      </c>
      <c r="I44" s="338">
        <f t="shared" si="21"/>
        <v>278280.33333333337</v>
      </c>
      <c r="J44" s="338">
        <f t="shared" si="21"/>
        <v>318034.66666666669</v>
      </c>
      <c r="K44" s="338">
        <f t="shared" si="21"/>
        <v>357789</v>
      </c>
      <c r="L44" s="338">
        <f t="shared" si="21"/>
        <v>397543.33333333331</v>
      </c>
      <c r="M44" s="338">
        <f t="shared" si="21"/>
        <v>437297.66666666663</v>
      </c>
      <c r="N44" s="339">
        <f t="shared" si="21"/>
        <v>477051.99999999994</v>
      </c>
      <c r="O44" s="9">
        <v>477052</v>
      </c>
      <c r="P44" s="3"/>
      <c r="Q44" s="3"/>
      <c r="R44" s="3"/>
      <c r="S44" s="3"/>
    </row>
    <row r="45" spans="1:19" ht="19.5" customHeight="1" x14ac:dyDescent="0.3">
      <c r="A45" s="336" t="s">
        <v>397</v>
      </c>
      <c r="B45" s="337"/>
      <c r="C45" s="338">
        <f>C10</f>
        <v>28780.974999999999</v>
      </c>
      <c r="D45" s="338">
        <f t="shared" ref="D45:N45" si="22">C45+D10</f>
        <v>50109.210749999984</v>
      </c>
      <c r="E45" s="338">
        <f t="shared" si="22"/>
        <v>64850.310749999982</v>
      </c>
      <c r="F45" s="338">
        <f t="shared" si="22"/>
        <v>65958.180749999985</v>
      </c>
      <c r="G45" s="338">
        <f t="shared" si="22"/>
        <v>65958.180749999985</v>
      </c>
      <c r="H45" s="339">
        <f t="shared" si="22"/>
        <v>65958.180749999985</v>
      </c>
      <c r="I45" s="338">
        <f t="shared" si="22"/>
        <v>65958.180749999985</v>
      </c>
      <c r="J45" s="338">
        <f t="shared" si="22"/>
        <v>65958.180749999985</v>
      </c>
      <c r="K45" s="338">
        <f t="shared" si="22"/>
        <v>65958.180749999985</v>
      </c>
      <c r="L45" s="338">
        <f t="shared" si="22"/>
        <v>65958.180749999985</v>
      </c>
      <c r="M45" s="338">
        <f t="shared" si="22"/>
        <v>65958.180749999985</v>
      </c>
      <c r="N45" s="339">
        <f t="shared" si="22"/>
        <v>65958.180749999985</v>
      </c>
      <c r="O45" s="9"/>
      <c r="P45" s="3"/>
      <c r="Q45" s="3"/>
      <c r="R45" s="3"/>
      <c r="S45" s="3"/>
    </row>
    <row r="46" spans="1:19" ht="19.5" customHeight="1" x14ac:dyDescent="0.3">
      <c r="A46" s="342" t="s">
        <v>398</v>
      </c>
      <c r="B46" s="343"/>
      <c r="C46" s="347">
        <v>9543.1749999999993</v>
      </c>
      <c r="D46" s="347">
        <v>23321.875</v>
      </c>
      <c r="E46" s="347">
        <v>83044.574999999997</v>
      </c>
      <c r="F46" s="347">
        <v>86956.617499999993</v>
      </c>
      <c r="G46" s="347">
        <v>95859.19249999999</v>
      </c>
      <c r="H46" s="349">
        <v>86809.517499999987</v>
      </c>
      <c r="I46" s="347">
        <v>107719.0425</v>
      </c>
      <c r="J46" s="347">
        <v>114407.2925</v>
      </c>
      <c r="K46" s="347">
        <v>123005.8925</v>
      </c>
      <c r="L46" s="347">
        <v>128691.38125000001</v>
      </c>
      <c r="M46" s="347">
        <v>147760.08124999999</v>
      </c>
      <c r="N46" s="349">
        <v>178662.90625</v>
      </c>
      <c r="O46" s="9"/>
      <c r="P46" s="3"/>
      <c r="Q46" s="3"/>
      <c r="R46" s="3"/>
      <c r="S46" s="3"/>
    </row>
    <row r="47" spans="1:19" ht="19.5" customHeight="1" x14ac:dyDescent="0.3">
      <c r="A47" s="336" t="s">
        <v>399</v>
      </c>
      <c r="B47" s="337"/>
      <c r="C47" s="338">
        <f>O47/12</f>
        <v>112254.33333333333</v>
      </c>
      <c r="D47" s="338">
        <f t="shared" ref="D47:N47" si="23">C47+($O$47/12)</f>
        <v>224508.66666666666</v>
      </c>
      <c r="E47" s="338">
        <f t="shared" si="23"/>
        <v>336763</v>
      </c>
      <c r="F47" s="338">
        <f t="shared" si="23"/>
        <v>449017.33333333331</v>
      </c>
      <c r="G47" s="338">
        <f t="shared" si="23"/>
        <v>561271.66666666663</v>
      </c>
      <c r="H47" s="339">
        <f t="shared" si="23"/>
        <v>673526</v>
      </c>
      <c r="I47" s="338">
        <f t="shared" si="23"/>
        <v>785780.33333333337</v>
      </c>
      <c r="J47" s="338">
        <f t="shared" si="23"/>
        <v>898034.66666666674</v>
      </c>
      <c r="K47" s="338">
        <f t="shared" si="23"/>
        <v>1010289.0000000001</v>
      </c>
      <c r="L47" s="338">
        <f t="shared" si="23"/>
        <v>1122543.3333333335</v>
      </c>
      <c r="M47" s="338">
        <f t="shared" si="23"/>
        <v>1234797.6666666667</v>
      </c>
      <c r="N47" s="339">
        <f t="shared" si="23"/>
        <v>1347052</v>
      </c>
      <c r="O47" s="9">
        <f>O29+O32+O35+O41+O44</f>
        <v>1347052</v>
      </c>
      <c r="P47" s="3"/>
      <c r="Q47" s="3"/>
      <c r="R47" s="3"/>
      <c r="S47" s="3"/>
    </row>
    <row r="48" spans="1:19" ht="19.5" customHeight="1" x14ac:dyDescent="0.3">
      <c r="A48" s="350" t="s">
        <v>400</v>
      </c>
      <c r="B48" s="351"/>
      <c r="C48" s="345">
        <f>C13</f>
        <v>75185.975000000006</v>
      </c>
      <c r="D48" s="345">
        <f t="shared" ref="D48:N48" si="24">C48+D13</f>
        <v>142919.21075</v>
      </c>
      <c r="E48" s="345">
        <f t="shared" si="24"/>
        <v>204065.31075</v>
      </c>
      <c r="F48" s="345">
        <f t="shared" si="24"/>
        <v>251578.18075</v>
      </c>
      <c r="G48" s="345">
        <f t="shared" si="24"/>
        <v>297983.18075</v>
      </c>
      <c r="H48" s="352">
        <f t="shared" si="24"/>
        <v>344388.18075</v>
      </c>
      <c r="I48" s="345">
        <f t="shared" si="24"/>
        <v>390793.18075</v>
      </c>
      <c r="J48" s="345">
        <f t="shared" si="24"/>
        <v>437198.18075</v>
      </c>
      <c r="K48" s="345">
        <f t="shared" si="24"/>
        <v>530008.18075000006</v>
      </c>
      <c r="L48" s="345">
        <f t="shared" si="24"/>
        <v>576413.18075000006</v>
      </c>
      <c r="M48" s="345">
        <f t="shared" si="24"/>
        <v>622818.18075000006</v>
      </c>
      <c r="N48" s="352">
        <f t="shared" si="24"/>
        <v>669223.18075000006</v>
      </c>
      <c r="O48" s="8"/>
      <c r="P48" s="3"/>
      <c r="Q48" s="3"/>
      <c r="R48" s="3"/>
      <c r="S48" s="3"/>
    </row>
    <row r="49" spans="1:19" ht="15" customHeight="1" x14ac:dyDescent="0.3">
      <c r="A49" s="353" t="s">
        <v>401</v>
      </c>
      <c r="B49" s="354"/>
      <c r="C49" s="355">
        <f t="shared" ref="C49:N49" si="25">SUM(C37+C40+C46)</f>
        <v>26646.174999999999</v>
      </c>
      <c r="D49" s="355">
        <f t="shared" si="25"/>
        <v>52477.875</v>
      </c>
      <c r="E49" s="355">
        <f t="shared" si="25"/>
        <v>131447.57500000001</v>
      </c>
      <c r="F49" s="355">
        <f t="shared" si="25"/>
        <v>145191.76749999999</v>
      </c>
      <c r="G49" s="355">
        <f t="shared" si="25"/>
        <v>188235.34249999997</v>
      </c>
      <c r="H49" s="355">
        <f t="shared" si="25"/>
        <v>240760.01749999999</v>
      </c>
      <c r="I49" s="355">
        <f t="shared" si="25"/>
        <v>312229.54249999998</v>
      </c>
      <c r="J49" s="355">
        <f t="shared" si="25"/>
        <v>345363.79249999998</v>
      </c>
      <c r="K49" s="355">
        <f t="shared" si="25"/>
        <v>362158.39250000002</v>
      </c>
      <c r="L49" s="355">
        <f t="shared" si="25"/>
        <v>374043.38124999998</v>
      </c>
      <c r="M49" s="355">
        <f t="shared" si="25"/>
        <v>406627.58124999999</v>
      </c>
      <c r="N49" s="355">
        <f t="shared" si="25"/>
        <v>503097.80625000002</v>
      </c>
      <c r="O49" s="9"/>
      <c r="P49" s="3"/>
      <c r="Q49" s="3"/>
      <c r="R49" s="3"/>
      <c r="S49" s="3"/>
    </row>
    <row r="50" spans="1:19" ht="18" customHeight="1" x14ac:dyDescent="0.35">
      <c r="A50" s="257" t="s">
        <v>402</v>
      </c>
      <c r="B50" s="333"/>
      <c r="C50" s="224"/>
      <c r="D50" s="224"/>
      <c r="E50" s="224"/>
      <c r="F50" s="224"/>
      <c r="G50" s="224"/>
      <c r="H50" s="334"/>
      <c r="I50" s="224"/>
      <c r="J50" s="224"/>
      <c r="K50" s="224"/>
      <c r="L50" s="224"/>
      <c r="M50" s="224"/>
      <c r="N50" s="334"/>
      <c r="O50" s="8"/>
      <c r="P50" s="3"/>
      <c r="Q50" s="3"/>
      <c r="R50" s="3"/>
      <c r="S50" s="3"/>
    </row>
    <row r="51" spans="1:19" ht="19.5" customHeight="1" x14ac:dyDescent="0.3">
      <c r="A51" s="356" t="s">
        <v>403</v>
      </c>
      <c r="B51" s="357"/>
      <c r="C51" s="358">
        <f>O51/12</f>
        <v>31666.666666666668</v>
      </c>
      <c r="D51" s="358">
        <f t="shared" ref="D51:N51" si="26">C51+($O$51/12)</f>
        <v>63333.333333333336</v>
      </c>
      <c r="E51" s="358">
        <f t="shared" si="26"/>
        <v>95000</v>
      </c>
      <c r="F51" s="358">
        <f t="shared" si="26"/>
        <v>126666.66666666667</v>
      </c>
      <c r="G51" s="358">
        <f t="shared" si="26"/>
        <v>158333.33333333334</v>
      </c>
      <c r="H51" s="359">
        <f t="shared" si="26"/>
        <v>190000</v>
      </c>
      <c r="I51" s="358">
        <f t="shared" si="26"/>
        <v>221666.66666666666</v>
      </c>
      <c r="J51" s="358">
        <f t="shared" si="26"/>
        <v>253333.33333333331</v>
      </c>
      <c r="K51" s="358">
        <f t="shared" si="26"/>
        <v>285000</v>
      </c>
      <c r="L51" s="358">
        <f t="shared" si="26"/>
        <v>316666.66666666669</v>
      </c>
      <c r="M51" s="358">
        <f t="shared" si="26"/>
        <v>348333.33333333337</v>
      </c>
      <c r="N51" s="359">
        <f t="shared" si="26"/>
        <v>380000.00000000006</v>
      </c>
      <c r="O51" s="9">
        <v>380000</v>
      </c>
      <c r="P51" s="3"/>
      <c r="Q51" s="3"/>
      <c r="R51" s="3"/>
      <c r="S51" s="3"/>
    </row>
    <row r="52" spans="1:19" ht="19.5" customHeight="1" x14ac:dyDescent="0.3">
      <c r="A52" s="356" t="s">
        <v>404</v>
      </c>
      <c r="B52" s="360"/>
      <c r="C52" s="358">
        <f>'Monthly Data'!C60</f>
        <v>0</v>
      </c>
      <c r="D52" s="358">
        <f>'Monthly Data'!D60</f>
        <v>0</v>
      </c>
      <c r="E52" s="358">
        <f>'Monthly Data'!E60</f>
        <v>0</v>
      </c>
      <c r="F52" s="358">
        <f>'Monthly Data'!F60</f>
        <v>0</v>
      </c>
      <c r="G52" s="358">
        <f>'Monthly Data'!G60</f>
        <v>0</v>
      </c>
      <c r="H52" s="359">
        <f>'Monthly Data'!H60</f>
        <v>0</v>
      </c>
      <c r="I52" s="358">
        <f>'Monthly Data'!I60</f>
        <v>0</v>
      </c>
      <c r="J52" s="358">
        <f>'Monthly Data'!J60</f>
        <v>0</v>
      </c>
      <c r="K52" s="358">
        <f>'Monthly Data'!K60</f>
        <v>0</v>
      </c>
      <c r="L52" s="358">
        <f>'Monthly Data'!L60</f>
        <v>0</v>
      </c>
      <c r="M52" s="358">
        <f>'Monthly Data'!M60</f>
        <v>0</v>
      </c>
      <c r="N52" s="359">
        <f>'Monthly Data'!N60</f>
        <v>0</v>
      </c>
      <c r="O52" s="9"/>
      <c r="P52" s="3"/>
      <c r="Q52" s="3"/>
      <c r="R52" s="3"/>
      <c r="S52" s="3"/>
    </row>
    <row r="53" spans="1:19" ht="19.5" customHeight="1" x14ac:dyDescent="0.3">
      <c r="A53" s="361" t="s">
        <v>405</v>
      </c>
      <c r="B53" s="357"/>
      <c r="C53" s="362">
        <v>9318</v>
      </c>
      <c r="D53" s="362">
        <v>28811.5</v>
      </c>
      <c r="E53" s="362">
        <v>63341.5</v>
      </c>
      <c r="F53" s="362">
        <v>70756.5</v>
      </c>
      <c r="G53" s="362">
        <v>99398.5</v>
      </c>
      <c r="H53" s="363">
        <v>118121.5</v>
      </c>
      <c r="I53" s="362">
        <v>147626.5</v>
      </c>
      <c r="J53" s="362">
        <v>147626.5</v>
      </c>
      <c r="K53" s="362">
        <v>164937</v>
      </c>
      <c r="L53" s="362">
        <v>175562</v>
      </c>
      <c r="M53" s="362">
        <v>180412</v>
      </c>
      <c r="N53" s="363">
        <v>187344.5</v>
      </c>
      <c r="O53" s="9"/>
      <c r="P53" s="3"/>
      <c r="Q53" s="3"/>
      <c r="R53" s="3"/>
      <c r="S53" s="3"/>
    </row>
    <row r="54" spans="1:19" ht="19.5" customHeight="1" x14ac:dyDescent="0.3">
      <c r="A54" s="356" t="s">
        <v>406</v>
      </c>
      <c r="B54" s="360"/>
      <c r="C54" s="358">
        <f>O54/12</f>
        <v>28750</v>
      </c>
      <c r="D54" s="358">
        <f t="shared" ref="D54:N54" si="27">C54+($O$54/12)</f>
        <v>57500</v>
      </c>
      <c r="E54" s="358">
        <f t="shared" si="27"/>
        <v>86250</v>
      </c>
      <c r="F54" s="358">
        <f t="shared" si="27"/>
        <v>115000</v>
      </c>
      <c r="G54" s="358">
        <f t="shared" si="27"/>
        <v>143750</v>
      </c>
      <c r="H54" s="359">
        <f t="shared" si="27"/>
        <v>172500</v>
      </c>
      <c r="I54" s="358">
        <f t="shared" si="27"/>
        <v>201250</v>
      </c>
      <c r="J54" s="358">
        <f t="shared" si="27"/>
        <v>230000</v>
      </c>
      <c r="K54" s="358">
        <f t="shared" si="27"/>
        <v>258750</v>
      </c>
      <c r="L54" s="358">
        <f t="shared" si="27"/>
        <v>287500</v>
      </c>
      <c r="M54" s="358">
        <f t="shared" si="27"/>
        <v>316250</v>
      </c>
      <c r="N54" s="359">
        <f t="shared" si="27"/>
        <v>345000</v>
      </c>
      <c r="O54" s="9">
        <v>345000</v>
      </c>
      <c r="P54" s="3"/>
      <c r="Q54" s="3"/>
      <c r="R54" s="3"/>
      <c r="S54" s="3"/>
    </row>
    <row r="55" spans="1:19" ht="19.5" customHeight="1" x14ac:dyDescent="0.3">
      <c r="A55" s="356" t="s">
        <v>407</v>
      </c>
      <c r="B55" s="360"/>
      <c r="C55" s="358">
        <f>'Monthly Data'!C61</f>
        <v>0</v>
      </c>
      <c r="D55" s="358">
        <f>'Monthly Data'!D61</f>
        <v>0</v>
      </c>
      <c r="E55" s="358">
        <f>'Monthly Data'!E61</f>
        <v>0</v>
      </c>
      <c r="F55" s="358">
        <f>'Monthly Data'!F61</f>
        <v>0</v>
      </c>
      <c r="G55" s="358">
        <f>'Monthly Data'!G61</f>
        <v>0</v>
      </c>
      <c r="H55" s="359">
        <f>'Monthly Data'!H61</f>
        <v>0</v>
      </c>
      <c r="I55" s="358">
        <f>'Monthly Data'!I61</f>
        <v>0</v>
      </c>
      <c r="J55" s="358">
        <f>'Monthly Data'!J61</f>
        <v>0</v>
      </c>
      <c r="K55" s="358">
        <f>'Monthly Data'!K61</f>
        <v>0</v>
      </c>
      <c r="L55" s="358">
        <f>'Monthly Data'!L61</f>
        <v>0</v>
      </c>
      <c r="M55" s="358">
        <f>'Monthly Data'!M61</f>
        <v>0</v>
      </c>
      <c r="N55" s="359">
        <f>'Monthly Data'!N61</f>
        <v>0</v>
      </c>
      <c r="O55" s="9"/>
      <c r="P55" s="3"/>
      <c r="Q55" s="3"/>
      <c r="R55" s="3"/>
      <c r="S55" s="3"/>
    </row>
    <row r="56" spans="1:19" ht="19.5" customHeight="1" x14ac:dyDescent="0.3">
      <c r="A56" s="361" t="s">
        <v>408</v>
      </c>
      <c r="B56" s="360"/>
      <c r="C56" s="362">
        <v>24768</v>
      </c>
      <c r="D56" s="362">
        <v>31757.5</v>
      </c>
      <c r="E56" s="362">
        <v>32148.45</v>
      </c>
      <c r="F56" s="362">
        <v>32148.45</v>
      </c>
      <c r="G56" s="362">
        <v>39194.1</v>
      </c>
      <c r="H56" s="363">
        <v>59688.1</v>
      </c>
      <c r="I56" s="362">
        <v>73545.100000000006</v>
      </c>
      <c r="J56" s="362">
        <v>97690.1</v>
      </c>
      <c r="K56" s="362">
        <v>103352.1</v>
      </c>
      <c r="L56" s="362">
        <v>112211.1</v>
      </c>
      <c r="M56" s="362">
        <v>120048.75</v>
      </c>
      <c r="N56" s="363">
        <v>132270.75</v>
      </c>
      <c r="O56" s="9"/>
      <c r="P56" s="3"/>
      <c r="Q56" s="3"/>
      <c r="R56" s="3"/>
      <c r="S56" s="3"/>
    </row>
    <row r="57" spans="1:19" ht="19.5" customHeight="1" x14ac:dyDescent="0.3">
      <c r="A57" s="356" t="s">
        <v>409</v>
      </c>
      <c r="B57" s="360"/>
      <c r="C57" s="358">
        <f>O57/12</f>
        <v>10000</v>
      </c>
      <c r="D57" s="358">
        <f t="shared" ref="D57:N57" si="28">C57+($O$57/12)</f>
        <v>20000</v>
      </c>
      <c r="E57" s="358">
        <f t="shared" si="28"/>
        <v>30000</v>
      </c>
      <c r="F57" s="358">
        <f t="shared" si="28"/>
        <v>40000</v>
      </c>
      <c r="G57" s="358">
        <f t="shared" si="28"/>
        <v>50000</v>
      </c>
      <c r="H57" s="358">
        <f t="shared" si="28"/>
        <v>60000</v>
      </c>
      <c r="I57" s="358">
        <f t="shared" si="28"/>
        <v>70000</v>
      </c>
      <c r="J57" s="358">
        <f t="shared" si="28"/>
        <v>80000</v>
      </c>
      <c r="K57" s="358">
        <f t="shared" si="28"/>
        <v>90000</v>
      </c>
      <c r="L57" s="358">
        <f t="shared" si="28"/>
        <v>100000</v>
      </c>
      <c r="M57" s="358">
        <f t="shared" si="28"/>
        <v>110000</v>
      </c>
      <c r="N57" s="358">
        <f t="shared" si="28"/>
        <v>120000</v>
      </c>
      <c r="O57" s="9">
        <v>120000</v>
      </c>
      <c r="P57" s="3"/>
      <c r="Q57" s="3"/>
      <c r="R57" s="3"/>
      <c r="S57" s="3"/>
    </row>
    <row r="58" spans="1:19" ht="19.5" customHeight="1" x14ac:dyDescent="0.3">
      <c r="A58" s="356" t="s">
        <v>410</v>
      </c>
      <c r="B58" s="360"/>
      <c r="C58" s="358">
        <f>'Monthly Data'!C62</f>
        <v>0</v>
      </c>
      <c r="D58" s="358">
        <f>'Monthly Data'!D62</f>
        <v>0</v>
      </c>
      <c r="E58" s="358">
        <f>'Monthly Data'!E62</f>
        <v>0</v>
      </c>
      <c r="F58" s="358">
        <f>'Monthly Data'!F62</f>
        <v>0</v>
      </c>
      <c r="G58" s="358">
        <f>'Monthly Data'!G62</f>
        <v>0</v>
      </c>
      <c r="H58" s="359">
        <f>'Monthly Data'!H62</f>
        <v>0</v>
      </c>
      <c r="I58" s="358">
        <f>'Monthly Data'!I62</f>
        <v>0</v>
      </c>
      <c r="J58" s="358">
        <f>'Monthly Data'!J62</f>
        <v>0</v>
      </c>
      <c r="K58" s="358">
        <f>'Monthly Data'!K62</f>
        <v>0</v>
      </c>
      <c r="L58" s="358">
        <f>'Monthly Data'!L62</f>
        <v>0</v>
      </c>
      <c r="M58" s="358">
        <f>'Monthly Data'!M62</f>
        <v>0</v>
      </c>
      <c r="N58" s="359">
        <f>'Monthly Data'!N62</f>
        <v>0</v>
      </c>
      <c r="O58" s="9"/>
      <c r="P58" s="3"/>
      <c r="Q58" s="3"/>
      <c r="R58" s="3"/>
      <c r="S58" s="3"/>
    </row>
    <row r="59" spans="1:19" ht="19.5" customHeight="1" x14ac:dyDescent="0.3">
      <c r="A59" s="364" t="s">
        <v>411</v>
      </c>
      <c r="B59" s="365"/>
      <c r="C59" s="366">
        <v>0</v>
      </c>
      <c r="D59" s="366">
        <v>0</v>
      </c>
      <c r="E59" s="366">
        <v>0</v>
      </c>
      <c r="F59" s="366">
        <v>23250</v>
      </c>
      <c r="G59" s="366">
        <v>23250</v>
      </c>
      <c r="H59" s="366">
        <v>23250</v>
      </c>
      <c r="I59" s="366">
        <v>23250</v>
      </c>
      <c r="J59" s="366">
        <v>23250</v>
      </c>
      <c r="K59" s="366">
        <v>23250</v>
      </c>
      <c r="L59" s="366">
        <v>23250</v>
      </c>
      <c r="M59" s="366">
        <v>25044.6</v>
      </c>
      <c r="N59" s="366">
        <v>25129.599999999999</v>
      </c>
      <c r="O59" s="9"/>
      <c r="P59" s="3"/>
      <c r="Q59" s="3"/>
      <c r="R59" s="3"/>
      <c r="S59" s="3"/>
    </row>
    <row r="60" spans="1:19" ht="19.5" customHeight="1" x14ac:dyDescent="0.3">
      <c r="A60" s="356" t="s">
        <v>412</v>
      </c>
      <c r="B60" s="360"/>
      <c r="C60" s="358">
        <f>O60/12</f>
        <v>60416.666666666664</v>
      </c>
      <c r="D60" s="358">
        <f t="shared" ref="D60:N60" si="29">C60+($O$60/12)</f>
        <v>120833.33333333333</v>
      </c>
      <c r="E60" s="358">
        <f t="shared" si="29"/>
        <v>181250</v>
      </c>
      <c r="F60" s="358">
        <f t="shared" si="29"/>
        <v>241666.66666666666</v>
      </c>
      <c r="G60" s="358">
        <f t="shared" si="29"/>
        <v>302083.33333333331</v>
      </c>
      <c r="H60" s="359">
        <f t="shared" si="29"/>
        <v>362500</v>
      </c>
      <c r="I60" s="358">
        <f t="shared" si="29"/>
        <v>422916.66666666669</v>
      </c>
      <c r="J60" s="358">
        <f t="shared" si="29"/>
        <v>483333.33333333337</v>
      </c>
      <c r="K60" s="358">
        <f t="shared" si="29"/>
        <v>543750</v>
      </c>
      <c r="L60" s="358">
        <f t="shared" si="29"/>
        <v>604166.66666666663</v>
      </c>
      <c r="M60" s="358">
        <f t="shared" si="29"/>
        <v>664583.33333333326</v>
      </c>
      <c r="N60" s="359">
        <f t="shared" si="29"/>
        <v>724999.99999999988</v>
      </c>
      <c r="O60" s="9">
        <f>O51+O54</f>
        <v>725000</v>
      </c>
      <c r="P60" s="3"/>
      <c r="Q60" s="3"/>
      <c r="R60" s="3"/>
      <c r="S60" s="3"/>
    </row>
    <row r="61" spans="1:19" ht="19.5" customHeight="1" x14ac:dyDescent="0.3">
      <c r="A61" s="367" t="s">
        <v>413</v>
      </c>
      <c r="B61" s="368"/>
      <c r="C61" s="369">
        <f t="shared" ref="C61:N61" si="30">C52+C55</f>
        <v>0</v>
      </c>
      <c r="D61" s="369">
        <f t="shared" si="30"/>
        <v>0</v>
      </c>
      <c r="E61" s="369">
        <f t="shared" si="30"/>
        <v>0</v>
      </c>
      <c r="F61" s="369">
        <f t="shared" si="30"/>
        <v>0</v>
      </c>
      <c r="G61" s="369">
        <f t="shared" si="30"/>
        <v>0</v>
      </c>
      <c r="H61" s="369">
        <f t="shared" si="30"/>
        <v>0</v>
      </c>
      <c r="I61" s="369">
        <f t="shared" si="30"/>
        <v>0</v>
      </c>
      <c r="J61" s="369">
        <f t="shared" si="30"/>
        <v>0</v>
      </c>
      <c r="K61" s="369">
        <f t="shared" si="30"/>
        <v>0</v>
      </c>
      <c r="L61" s="369">
        <f t="shared" si="30"/>
        <v>0</v>
      </c>
      <c r="M61" s="369">
        <f t="shared" si="30"/>
        <v>0</v>
      </c>
      <c r="N61" s="369">
        <f t="shared" si="30"/>
        <v>0</v>
      </c>
      <c r="O61" s="8"/>
      <c r="P61" s="3"/>
      <c r="Q61" s="3"/>
      <c r="R61" s="3"/>
      <c r="S61" s="3"/>
    </row>
    <row r="62" spans="1:19" ht="19.5" customHeight="1" x14ac:dyDescent="0.3">
      <c r="A62" s="364" t="s">
        <v>414</v>
      </c>
      <c r="B62" s="370"/>
      <c r="C62" s="366">
        <f t="shared" ref="C62:N62" si="31">C53+C56</f>
        <v>34086</v>
      </c>
      <c r="D62" s="366">
        <f t="shared" si="31"/>
        <v>60569</v>
      </c>
      <c r="E62" s="366">
        <f t="shared" si="31"/>
        <v>95489.95</v>
      </c>
      <c r="F62" s="366">
        <f t="shared" si="31"/>
        <v>102904.95</v>
      </c>
      <c r="G62" s="366">
        <f t="shared" si="31"/>
        <v>138592.6</v>
      </c>
      <c r="H62" s="366">
        <f t="shared" si="31"/>
        <v>177809.6</v>
      </c>
      <c r="I62" s="366">
        <f t="shared" si="31"/>
        <v>221171.6</v>
      </c>
      <c r="J62" s="366">
        <f t="shared" si="31"/>
        <v>245316.6</v>
      </c>
      <c r="K62" s="366">
        <f t="shared" si="31"/>
        <v>268289.09999999998</v>
      </c>
      <c r="L62" s="366">
        <f t="shared" si="31"/>
        <v>287773.09999999998</v>
      </c>
      <c r="M62" s="366">
        <f t="shared" si="31"/>
        <v>300460.75</v>
      </c>
      <c r="N62" s="366">
        <f t="shared" si="31"/>
        <v>319615.25</v>
      </c>
      <c r="O62" s="9"/>
      <c r="P62" s="3"/>
      <c r="Q62" s="3"/>
      <c r="R62" s="3"/>
      <c r="S62" s="3"/>
    </row>
    <row r="63" spans="1:19" ht="15" customHeight="1" x14ac:dyDescent="0.3">
      <c r="A63" s="356" t="s">
        <v>415</v>
      </c>
      <c r="B63" s="360"/>
      <c r="C63" s="358">
        <f t="shared" ref="C63:N63" si="32">$O$63/12</f>
        <v>580583.33333333337</v>
      </c>
      <c r="D63" s="358">
        <f t="shared" si="32"/>
        <v>580583.33333333337</v>
      </c>
      <c r="E63" s="358">
        <f t="shared" si="32"/>
        <v>580583.33333333337</v>
      </c>
      <c r="F63" s="358">
        <f t="shared" si="32"/>
        <v>580583.33333333337</v>
      </c>
      <c r="G63" s="358">
        <f t="shared" si="32"/>
        <v>580583.33333333337</v>
      </c>
      <c r="H63" s="359">
        <f t="shared" si="32"/>
        <v>580583.33333333337</v>
      </c>
      <c r="I63" s="358">
        <f t="shared" si="32"/>
        <v>580583.33333333337</v>
      </c>
      <c r="J63" s="358">
        <f t="shared" si="32"/>
        <v>580583.33333333337</v>
      </c>
      <c r="K63" s="358">
        <f t="shared" si="32"/>
        <v>580583.33333333337</v>
      </c>
      <c r="L63" s="358">
        <f t="shared" si="32"/>
        <v>580583.33333333337</v>
      </c>
      <c r="M63" s="358">
        <f t="shared" si="32"/>
        <v>580583.33333333337</v>
      </c>
      <c r="N63" s="359">
        <f t="shared" si="32"/>
        <v>580583.33333333337</v>
      </c>
      <c r="O63" s="9">
        <f>4872000+2095000</f>
        <v>6967000</v>
      </c>
      <c r="P63" s="371">
        <f>O64/O63</f>
        <v>0.68240490885603555</v>
      </c>
      <c r="Q63" s="3"/>
      <c r="R63" s="3"/>
      <c r="S63" s="3"/>
    </row>
    <row r="64" spans="1:19" ht="15" customHeight="1" x14ac:dyDescent="0.3">
      <c r="A64" s="356" t="s">
        <v>416</v>
      </c>
      <c r="B64" s="360"/>
      <c r="C64" s="358">
        <f t="shared" ref="C64:N64" si="33">$O$64/12</f>
        <v>396192.91666666669</v>
      </c>
      <c r="D64" s="358">
        <f t="shared" si="33"/>
        <v>396192.91666666669</v>
      </c>
      <c r="E64" s="358">
        <f t="shared" si="33"/>
        <v>396192.91666666669</v>
      </c>
      <c r="F64" s="358">
        <f t="shared" si="33"/>
        <v>396192.91666666669</v>
      </c>
      <c r="G64" s="358">
        <f t="shared" si="33"/>
        <v>396192.91666666669</v>
      </c>
      <c r="H64" s="359">
        <f t="shared" si="33"/>
        <v>396192.91666666669</v>
      </c>
      <c r="I64" s="358">
        <f t="shared" si="33"/>
        <v>396192.91666666669</v>
      </c>
      <c r="J64" s="358">
        <f t="shared" si="33"/>
        <v>396192.91666666669</v>
      </c>
      <c r="K64" s="358">
        <f t="shared" si="33"/>
        <v>396192.91666666669</v>
      </c>
      <c r="L64" s="358">
        <f t="shared" si="33"/>
        <v>396192.91666666669</v>
      </c>
      <c r="M64" s="358">
        <f t="shared" si="33"/>
        <v>396192.91666666669</v>
      </c>
      <c r="N64" s="359">
        <f t="shared" si="33"/>
        <v>396192.91666666669</v>
      </c>
      <c r="O64" s="9">
        <f>3451699+1302616</f>
        <v>4754315</v>
      </c>
      <c r="P64" s="3"/>
      <c r="Q64" s="3"/>
      <c r="R64" s="3"/>
      <c r="S64" s="3"/>
    </row>
    <row r="65" spans="1:19" ht="15" customHeight="1" x14ac:dyDescent="0.3">
      <c r="A65" s="372" t="s">
        <v>417</v>
      </c>
      <c r="B65" s="373"/>
      <c r="C65" s="161">
        <v>340509.95</v>
      </c>
      <c r="D65" s="161">
        <v>85704.559731821166</v>
      </c>
      <c r="E65" s="161">
        <v>533231</v>
      </c>
      <c r="F65" s="161">
        <v>847394.4</v>
      </c>
      <c r="G65" s="161"/>
      <c r="H65" s="374"/>
      <c r="I65" s="161"/>
      <c r="J65" s="161"/>
      <c r="K65" s="161"/>
      <c r="L65" s="161"/>
      <c r="M65" s="161"/>
      <c r="N65" s="374"/>
      <c r="O65" s="8"/>
      <c r="P65" s="3"/>
      <c r="Q65" s="3"/>
      <c r="R65" s="3"/>
      <c r="S65" s="3"/>
    </row>
    <row r="66" spans="1:19" ht="15" customHeight="1" x14ac:dyDescent="0.3">
      <c r="A66" s="356" t="s">
        <v>418</v>
      </c>
      <c r="B66" s="360"/>
      <c r="C66" s="358">
        <f>C63</f>
        <v>580583.33333333337</v>
      </c>
      <c r="D66" s="358">
        <f t="shared" ref="D66:N66" si="34">C66+D63</f>
        <v>1161166.6666666667</v>
      </c>
      <c r="E66" s="358">
        <f t="shared" si="34"/>
        <v>1741750</v>
      </c>
      <c r="F66" s="358">
        <f t="shared" si="34"/>
        <v>2322333.3333333335</v>
      </c>
      <c r="G66" s="358">
        <f t="shared" si="34"/>
        <v>2902916.666666667</v>
      </c>
      <c r="H66" s="359">
        <f t="shared" si="34"/>
        <v>3483500.0000000005</v>
      </c>
      <c r="I66" s="358">
        <f t="shared" si="34"/>
        <v>4064083.333333334</v>
      </c>
      <c r="J66" s="358">
        <f t="shared" si="34"/>
        <v>4644666.666666667</v>
      </c>
      <c r="K66" s="358">
        <f t="shared" si="34"/>
        <v>5225250</v>
      </c>
      <c r="L66" s="358">
        <f t="shared" si="34"/>
        <v>5805833.333333333</v>
      </c>
      <c r="M66" s="358">
        <f t="shared" si="34"/>
        <v>6386416.666666666</v>
      </c>
      <c r="N66" s="359">
        <f t="shared" si="34"/>
        <v>6966999.9999999991</v>
      </c>
      <c r="O66" s="9">
        <f>4872000+2095000</f>
        <v>6967000</v>
      </c>
      <c r="P66" s="3"/>
      <c r="Q66" s="3"/>
      <c r="R66" s="3"/>
      <c r="S66" s="3"/>
    </row>
    <row r="67" spans="1:19" ht="19.5" customHeight="1" x14ac:dyDescent="0.3">
      <c r="A67" s="367" t="s">
        <v>419</v>
      </c>
      <c r="B67" s="368"/>
      <c r="C67" s="369">
        <f>C64</f>
        <v>396192.91666666669</v>
      </c>
      <c r="D67" s="369">
        <f t="shared" ref="D67:N67" si="35">C67+D64</f>
        <v>792385.83333333337</v>
      </c>
      <c r="E67" s="369">
        <f t="shared" si="35"/>
        <v>1188578.75</v>
      </c>
      <c r="F67" s="369">
        <f t="shared" si="35"/>
        <v>1584771.6666666667</v>
      </c>
      <c r="G67" s="369">
        <f t="shared" si="35"/>
        <v>1980964.5833333335</v>
      </c>
      <c r="H67" s="375">
        <f t="shared" si="35"/>
        <v>2377157.5</v>
      </c>
      <c r="I67" s="369">
        <f t="shared" si="35"/>
        <v>2773350.4166666665</v>
      </c>
      <c r="J67" s="369">
        <f t="shared" si="35"/>
        <v>3169543.333333333</v>
      </c>
      <c r="K67" s="369">
        <f t="shared" si="35"/>
        <v>3565736.2499999995</v>
      </c>
      <c r="L67" s="369">
        <f t="shared" si="35"/>
        <v>3961929.166666666</v>
      </c>
      <c r="M67" s="369">
        <f t="shared" si="35"/>
        <v>4358122.083333333</v>
      </c>
      <c r="N67" s="375">
        <f t="shared" si="35"/>
        <v>4754315</v>
      </c>
      <c r="O67" s="196">
        <f>3451699+1302616</f>
        <v>4754315</v>
      </c>
      <c r="P67" s="3"/>
      <c r="Q67" s="3"/>
      <c r="R67" s="3"/>
      <c r="S67" s="3"/>
    </row>
    <row r="68" spans="1:19" ht="19.5" customHeight="1" x14ac:dyDescent="0.3">
      <c r="A68" s="376" t="s">
        <v>420</v>
      </c>
      <c r="B68" s="377"/>
      <c r="C68" s="378">
        <f>O68/12</f>
        <v>290291.66666666669</v>
      </c>
      <c r="D68" s="378">
        <f t="shared" ref="D68:N68" si="36">C68+$O$68/12</f>
        <v>580583.33333333337</v>
      </c>
      <c r="E68" s="378">
        <f t="shared" si="36"/>
        <v>870875</v>
      </c>
      <c r="F68" s="378">
        <f t="shared" si="36"/>
        <v>1161166.6666666667</v>
      </c>
      <c r="G68" s="378">
        <f t="shared" si="36"/>
        <v>1451458.3333333335</v>
      </c>
      <c r="H68" s="378">
        <f t="shared" si="36"/>
        <v>1741750.0000000002</v>
      </c>
      <c r="I68" s="378">
        <f t="shared" si="36"/>
        <v>2032041.666666667</v>
      </c>
      <c r="J68" s="378">
        <f t="shared" si="36"/>
        <v>2322333.3333333335</v>
      </c>
      <c r="K68" s="378">
        <f t="shared" si="36"/>
        <v>2612625</v>
      </c>
      <c r="L68" s="378">
        <f t="shared" si="36"/>
        <v>2902916.6666666665</v>
      </c>
      <c r="M68" s="378">
        <f t="shared" si="36"/>
        <v>3193208.333333333</v>
      </c>
      <c r="N68" s="379">
        <f t="shared" si="36"/>
        <v>3483499.9999999995</v>
      </c>
      <c r="O68" s="196">
        <f>0.5*O66</f>
        <v>3483500</v>
      </c>
      <c r="P68" s="380">
        <f>O68/O66</f>
        <v>0.5</v>
      </c>
      <c r="Q68" s="3"/>
      <c r="R68" s="3"/>
      <c r="S68" s="3"/>
    </row>
    <row r="69" spans="1:19" ht="19.5" customHeight="1" x14ac:dyDescent="0.3">
      <c r="A69" s="381" t="s">
        <v>421</v>
      </c>
      <c r="B69" s="382"/>
      <c r="C69" s="161">
        <f>C65</f>
        <v>340509.95</v>
      </c>
      <c r="D69" s="161">
        <f t="shared" ref="D69:N69" si="37">C69+D65</f>
        <v>426214.50973182119</v>
      </c>
      <c r="E69" s="161">
        <f t="shared" si="37"/>
        <v>959445.50973182125</v>
      </c>
      <c r="F69" s="161">
        <f t="shared" si="37"/>
        <v>1806839.9097318212</v>
      </c>
      <c r="G69" s="161">
        <f t="shared" si="37"/>
        <v>1806839.9097318212</v>
      </c>
      <c r="H69" s="374">
        <f t="shared" si="37"/>
        <v>1806839.9097318212</v>
      </c>
      <c r="I69" s="161">
        <f t="shared" si="37"/>
        <v>1806839.9097318212</v>
      </c>
      <c r="J69" s="161">
        <f t="shared" si="37"/>
        <v>1806839.9097318212</v>
      </c>
      <c r="K69" s="161">
        <f t="shared" si="37"/>
        <v>1806839.9097318212</v>
      </c>
      <c r="L69" s="161">
        <f t="shared" si="37"/>
        <v>1806839.9097318212</v>
      </c>
      <c r="M69" s="161">
        <f t="shared" si="37"/>
        <v>1806839.9097318212</v>
      </c>
      <c r="N69" s="374">
        <f t="shared" si="37"/>
        <v>1806839.9097318212</v>
      </c>
      <c r="O69" s="8"/>
      <c r="P69" s="3"/>
      <c r="Q69" s="3"/>
      <c r="R69" s="3"/>
      <c r="S69" s="3"/>
    </row>
    <row r="70" spans="1:19" ht="19.5" customHeight="1" x14ac:dyDescent="0.3">
      <c r="A70" s="361" t="s">
        <v>422</v>
      </c>
      <c r="B70" s="368"/>
      <c r="C70" s="362">
        <v>276408.88</v>
      </c>
      <c r="D70" s="362">
        <v>810219.39</v>
      </c>
      <c r="E70" s="362">
        <v>1222990.72</v>
      </c>
      <c r="F70" s="362">
        <v>1393067.62</v>
      </c>
      <c r="G70" s="362">
        <v>3383382.32</v>
      </c>
      <c r="H70" s="362">
        <v>4187121</v>
      </c>
      <c r="I70" s="362">
        <v>4422240.9800000004</v>
      </c>
      <c r="J70" s="362">
        <v>4511704.25</v>
      </c>
      <c r="K70" s="362">
        <v>6332709.9399999985</v>
      </c>
      <c r="L70" s="362">
        <v>7258662.1199999992</v>
      </c>
      <c r="M70" s="362">
        <v>7518405.4800000004</v>
      </c>
      <c r="N70" s="362">
        <v>8510925.8200000003</v>
      </c>
      <c r="O70" s="8"/>
      <c r="P70" s="3"/>
      <c r="Q70" s="3"/>
      <c r="R70" s="3"/>
      <c r="S70" s="3"/>
    </row>
    <row r="71" spans="1:19" ht="18" customHeight="1" x14ac:dyDescent="0.35">
      <c r="A71" s="257" t="s">
        <v>423</v>
      </c>
      <c r="B71" s="333"/>
      <c r="C71" s="383"/>
      <c r="D71" s="383"/>
      <c r="E71" s="383"/>
      <c r="F71" s="383"/>
      <c r="G71" s="224"/>
      <c r="H71" s="334"/>
      <c r="I71" s="224"/>
      <c r="J71" s="224"/>
      <c r="K71" s="224"/>
      <c r="L71" s="224"/>
      <c r="M71" s="224"/>
      <c r="N71" s="334"/>
      <c r="O71" s="8"/>
      <c r="P71" s="3"/>
      <c r="Q71" s="3"/>
      <c r="R71" s="3"/>
      <c r="S71" s="3"/>
    </row>
    <row r="72" spans="1:19" ht="19.5" customHeight="1" x14ac:dyDescent="0.3">
      <c r="A72" s="384" t="s">
        <v>424</v>
      </c>
      <c r="B72" s="385"/>
      <c r="C72" s="386">
        <f t="shared" ref="C72:N72" si="38">$O$72/12</f>
        <v>583333.33333333337</v>
      </c>
      <c r="D72" s="386">
        <f t="shared" si="38"/>
        <v>583333.33333333337</v>
      </c>
      <c r="E72" s="386">
        <f t="shared" si="38"/>
        <v>583333.33333333337</v>
      </c>
      <c r="F72" s="386">
        <f t="shared" si="38"/>
        <v>583333.33333333337</v>
      </c>
      <c r="G72" s="386">
        <f t="shared" si="38"/>
        <v>583333.33333333337</v>
      </c>
      <c r="H72" s="387">
        <f t="shared" si="38"/>
        <v>583333.33333333337</v>
      </c>
      <c r="I72" s="386">
        <f t="shared" si="38"/>
        <v>583333.33333333337</v>
      </c>
      <c r="J72" s="386">
        <f t="shared" si="38"/>
        <v>583333.33333333337</v>
      </c>
      <c r="K72" s="386">
        <f t="shared" si="38"/>
        <v>583333.33333333337</v>
      </c>
      <c r="L72" s="386">
        <f t="shared" si="38"/>
        <v>583333.33333333337</v>
      </c>
      <c r="M72" s="386">
        <f t="shared" si="38"/>
        <v>583333.33333333337</v>
      </c>
      <c r="N72" s="387">
        <f t="shared" si="38"/>
        <v>583333.33333333337</v>
      </c>
      <c r="O72" s="9">
        <v>7000000</v>
      </c>
      <c r="P72" s="3"/>
      <c r="Q72" s="3"/>
      <c r="R72" s="3"/>
      <c r="S72" s="3"/>
    </row>
    <row r="73" spans="1:19" ht="19.5" customHeight="1" x14ac:dyDescent="0.3">
      <c r="A73" s="384" t="s">
        <v>425</v>
      </c>
      <c r="B73" s="385"/>
      <c r="C73" s="386">
        <f t="shared" ref="C73:N73" si="39">$O$73/12</f>
        <v>416666.66666666669</v>
      </c>
      <c r="D73" s="386">
        <f t="shared" si="39"/>
        <v>416666.66666666669</v>
      </c>
      <c r="E73" s="386">
        <f t="shared" si="39"/>
        <v>416666.66666666669</v>
      </c>
      <c r="F73" s="386">
        <f t="shared" si="39"/>
        <v>416666.66666666669</v>
      </c>
      <c r="G73" s="386">
        <f t="shared" si="39"/>
        <v>416666.66666666669</v>
      </c>
      <c r="H73" s="387">
        <f t="shared" si="39"/>
        <v>416666.66666666669</v>
      </c>
      <c r="I73" s="386">
        <f t="shared" si="39"/>
        <v>416666.66666666669</v>
      </c>
      <c r="J73" s="386">
        <f t="shared" si="39"/>
        <v>416666.66666666669</v>
      </c>
      <c r="K73" s="386">
        <f t="shared" si="39"/>
        <v>416666.66666666669</v>
      </c>
      <c r="L73" s="386">
        <f t="shared" si="39"/>
        <v>416666.66666666669</v>
      </c>
      <c r="M73" s="386">
        <f t="shared" si="39"/>
        <v>416666.66666666669</v>
      </c>
      <c r="N73" s="387">
        <f t="shared" si="39"/>
        <v>416666.66666666669</v>
      </c>
      <c r="O73" s="196">
        <v>5000000</v>
      </c>
      <c r="P73" s="3"/>
      <c r="Q73" s="3"/>
      <c r="R73" s="3"/>
      <c r="S73" s="3"/>
    </row>
    <row r="74" spans="1:19" ht="19.5" customHeight="1" x14ac:dyDescent="0.3">
      <c r="A74" s="372" t="s">
        <v>426</v>
      </c>
      <c r="B74" s="373"/>
      <c r="C74" s="348">
        <f t="shared" ref="C74:N74" si="40">SUM(C6:C9)</f>
        <v>387460</v>
      </c>
      <c r="D74" s="348">
        <f t="shared" si="40"/>
        <v>296375.80999999988</v>
      </c>
      <c r="E74" s="348">
        <f t="shared" si="40"/>
        <v>176379.5</v>
      </c>
      <c r="F74" s="348">
        <f t="shared" si="40"/>
        <v>15723.6</v>
      </c>
      <c r="G74" s="348">
        <f t="shared" si="40"/>
        <v>0</v>
      </c>
      <c r="H74" s="348">
        <f t="shared" si="40"/>
        <v>0</v>
      </c>
      <c r="I74" s="348">
        <f t="shared" si="40"/>
        <v>0</v>
      </c>
      <c r="J74" s="348">
        <f t="shared" si="40"/>
        <v>0</v>
      </c>
      <c r="K74" s="348">
        <f t="shared" si="40"/>
        <v>0</v>
      </c>
      <c r="L74" s="348">
        <f t="shared" si="40"/>
        <v>0</v>
      </c>
      <c r="M74" s="348">
        <f t="shared" si="40"/>
        <v>0</v>
      </c>
      <c r="N74" s="348">
        <f t="shared" si="40"/>
        <v>0</v>
      </c>
      <c r="O74" s="9"/>
      <c r="P74" s="3"/>
      <c r="Q74" s="3"/>
      <c r="R74" s="3"/>
      <c r="S74" s="3"/>
    </row>
    <row r="75" spans="1:19" ht="19.5" customHeight="1" x14ac:dyDescent="0.3">
      <c r="A75" s="384" t="s">
        <v>427</v>
      </c>
      <c r="B75" s="385"/>
      <c r="C75" s="386">
        <f>C72</f>
        <v>583333.33333333337</v>
      </c>
      <c r="D75" s="386">
        <f t="shared" ref="D75:N75" si="41">C75+D72</f>
        <v>1166666.6666666667</v>
      </c>
      <c r="E75" s="386">
        <f t="shared" si="41"/>
        <v>1750000</v>
      </c>
      <c r="F75" s="386">
        <f t="shared" si="41"/>
        <v>2333333.3333333335</v>
      </c>
      <c r="G75" s="386">
        <f t="shared" si="41"/>
        <v>2916666.666666667</v>
      </c>
      <c r="H75" s="387">
        <f t="shared" si="41"/>
        <v>3500000.0000000005</v>
      </c>
      <c r="I75" s="386">
        <f t="shared" si="41"/>
        <v>4083333.333333334</v>
      </c>
      <c r="J75" s="386">
        <f t="shared" si="41"/>
        <v>4666666.666666667</v>
      </c>
      <c r="K75" s="386">
        <f t="shared" si="41"/>
        <v>5250000</v>
      </c>
      <c r="L75" s="386">
        <f t="shared" si="41"/>
        <v>5833333.333333333</v>
      </c>
      <c r="M75" s="386">
        <f t="shared" si="41"/>
        <v>6416666.666666666</v>
      </c>
      <c r="N75" s="387">
        <f t="shared" si="41"/>
        <v>6999999.9999999991</v>
      </c>
      <c r="O75" s="9">
        <v>7000000</v>
      </c>
      <c r="P75" s="3"/>
      <c r="Q75" s="3"/>
      <c r="R75" s="3"/>
      <c r="S75" s="3"/>
    </row>
    <row r="76" spans="1:19" ht="19.5" customHeight="1" x14ac:dyDescent="0.3">
      <c r="A76" s="388" t="s">
        <v>428</v>
      </c>
      <c r="B76" s="389"/>
      <c r="C76" s="390">
        <f>C73</f>
        <v>416666.66666666669</v>
      </c>
      <c r="D76" s="390">
        <f t="shared" ref="D76:N76" si="42">C76+D73</f>
        <v>833333.33333333337</v>
      </c>
      <c r="E76" s="390">
        <f t="shared" si="42"/>
        <v>1250000</v>
      </c>
      <c r="F76" s="390">
        <f t="shared" si="42"/>
        <v>1666666.6666666667</v>
      </c>
      <c r="G76" s="390">
        <f t="shared" si="42"/>
        <v>2083333.3333333335</v>
      </c>
      <c r="H76" s="391">
        <f t="shared" si="42"/>
        <v>2500000</v>
      </c>
      <c r="I76" s="390">
        <f t="shared" si="42"/>
        <v>2916666.6666666665</v>
      </c>
      <c r="J76" s="390">
        <f t="shared" si="42"/>
        <v>3333333.333333333</v>
      </c>
      <c r="K76" s="390">
        <f t="shared" si="42"/>
        <v>3749999.9999999995</v>
      </c>
      <c r="L76" s="390">
        <f t="shared" si="42"/>
        <v>4166666.666666666</v>
      </c>
      <c r="M76" s="390">
        <f t="shared" si="42"/>
        <v>4583333.333333333</v>
      </c>
      <c r="N76" s="391">
        <f t="shared" si="42"/>
        <v>5000000</v>
      </c>
      <c r="O76" s="196">
        <v>5000000</v>
      </c>
      <c r="P76" s="3"/>
      <c r="Q76" s="3"/>
      <c r="R76" s="3"/>
      <c r="S76" s="3"/>
    </row>
    <row r="77" spans="1:19" ht="19.5" customHeight="1" x14ac:dyDescent="0.3">
      <c r="A77" s="376" t="s">
        <v>429</v>
      </c>
      <c r="B77" s="377"/>
      <c r="C77" s="378">
        <f>O77/12</f>
        <v>291666.66666666669</v>
      </c>
      <c r="D77" s="378">
        <f t="shared" ref="D77:N77" si="43">C77+$O$77/12</f>
        <v>583333.33333333337</v>
      </c>
      <c r="E77" s="378">
        <f t="shared" si="43"/>
        <v>875000</v>
      </c>
      <c r="F77" s="378">
        <f t="shared" si="43"/>
        <v>1166666.6666666667</v>
      </c>
      <c r="G77" s="378">
        <f t="shared" si="43"/>
        <v>1458333.3333333335</v>
      </c>
      <c r="H77" s="378">
        <f t="shared" si="43"/>
        <v>1750000.0000000002</v>
      </c>
      <c r="I77" s="378">
        <f t="shared" si="43"/>
        <v>2041666.666666667</v>
      </c>
      <c r="J77" s="378">
        <f t="shared" si="43"/>
        <v>2333333.3333333335</v>
      </c>
      <c r="K77" s="378">
        <f t="shared" si="43"/>
        <v>2625000</v>
      </c>
      <c r="L77" s="378">
        <f t="shared" si="43"/>
        <v>2916666.6666666665</v>
      </c>
      <c r="M77" s="378">
        <f t="shared" si="43"/>
        <v>3208333.333333333</v>
      </c>
      <c r="N77" s="378">
        <f t="shared" si="43"/>
        <v>3499999.9999999995</v>
      </c>
      <c r="O77" s="196">
        <f>0.5*O75</f>
        <v>3500000</v>
      </c>
      <c r="P77" s="380">
        <f>O77/O75</f>
        <v>0.5</v>
      </c>
      <c r="Q77" s="3"/>
      <c r="R77" s="3"/>
      <c r="S77" s="3"/>
    </row>
    <row r="78" spans="1:19" ht="19.5" customHeight="1" x14ac:dyDescent="0.3">
      <c r="A78" s="381" t="s">
        <v>430</v>
      </c>
      <c r="B78" s="382"/>
      <c r="C78" s="161">
        <f>C74</f>
        <v>387460</v>
      </c>
      <c r="D78" s="161">
        <f t="shared" ref="D78:N78" si="44">C78+D74</f>
        <v>683835.80999999982</v>
      </c>
      <c r="E78" s="161">
        <f t="shared" si="44"/>
        <v>860215.30999999982</v>
      </c>
      <c r="F78" s="161">
        <f t="shared" si="44"/>
        <v>875938.9099999998</v>
      </c>
      <c r="G78" s="161">
        <f t="shared" si="44"/>
        <v>875938.9099999998</v>
      </c>
      <c r="H78" s="374">
        <f t="shared" si="44"/>
        <v>875938.9099999998</v>
      </c>
      <c r="I78" s="161">
        <f t="shared" si="44"/>
        <v>875938.9099999998</v>
      </c>
      <c r="J78" s="161">
        <f t="shared" si="44"/>
        <v>875938.9099999998</v>
      </c>
      <c r="K78" s="161">
        <f t="shared" si="44"/>
        <v>875938.9099999998</v>
      </c>
      <c r="L78" s="161">
        <f t="shared" si="44"/>
        <v>875938.9099999998</v>
      </c>
      <c r="M78" s="161">
        <f t="shared" si="44"/>
        <v>875938.9099999998</v>
      </c>
      <c r="N78" s="374">
        <f t="shared" si="44"/>
        <v>875938.9099999998</v>
      </c>
      <c r="O78" s="9"/>
      <c r="P78" s="3"/>
      <c r="Q78" s="3"/>
      <c r="R78" s="3"/>
      <c r="S78" s="3"/>
    </row>
    <row r="79" spans="1:19" ht="19.5" customHeight="1" x14ac:dyDescent="0.3">
      <c r="A79" s="392" t="s">
        <v>431</v>
      </c>
      <c r="B79" s="389"/>
      <c r="C79" s="393">
        <v>365466</v>
      </c>
      <c r="D79" s="393">
        <v>1342832</v>
      </c>
      <c r="E79" s="393">
        <v>1853515</v>
      </c>
      <c r="F79" s="393">
        <v>2768619</v>
      </c>
      <c r="G79" s="393">
        <v>3308599</v>
      </c>
      <c r="H79" s="394">
        <v>4234927</v>
      </c>
      <c r="I79" s="393">
        <v>5510658</v>
      </c>
      <c r="J79" s="393">
        <v>6630589</v>
      </c>
      <c r="K79" s="393">
        <v>7371928</v>
      </c>
      <c r="L79" s="393">
        <v>7568091</v>
      </c>
      <c r="M79" s="393">
        <v>7755500</v>
      </c>
      <c r="N79" s="394">
        <v>9308833</v>
      </c>
      <c r="O79" s="9"/>
      <c r="P79" s="3"/>
      <c r="Q79" s="3"/>
      <c r="R79" s="3"/>
      <c r="S79" s="3"/>
    </row>
    <row r="80" spans="1:19" ht="19.5" customHeight="1" x14ac:dyDescent="0.3">
      <c r="A80" s="202"/>
      <c r="B80" s="333"/>
      <c r="C80" s="224"/>
      <c r="D80" s="224"/>
      <c r="E80" s="224"/>
      <c r="F80" s="224"/>
      <c r="G80" s="224"/>
      <c r="H80" s="334"/>
      <c r="I80" s="224"/>
      <c r="J80" s="224"/>
      <c r="K80" s="224"/>
      <c r="L80" s="224"/>
      <c r="M80" s="224"/>
      <c r="N80" s="334"/>
      <c r="O80" s="8"/>
      <c r="P80" s="3"/>
      <c r="Q80" s="3"/>
      <c r="R80" s="3"/>
      <c r="S80" s="3"/>
    </row>
    <row r="81" spans="1:19" ht="19.5" customHeight="1" x14ac:dyDescent="0.3">
      <c r="A81" s="8"/>
      <c r="B81" s="328"/>
      <c r="C81" s="8"/>
      <c r="D81" s="8"/>
      <c r="E81" s="8"/>
      <c r="F81" s="8"/>
      <c r="G81" s="8"/>
      <c r="H81" s="395"/>
      <c r="I81" s="8"/>
      <c r="J81" s="8"/>
      <c r="K81" s="8"/>
      <c r="L81" s="8"/>
      <c r="M81" s="8"/>
      <c r="N81" s="8"/>
      <c r="O81" s="8"/>
      <c r="P81" s="3"/>
      <c r="Q81" s="3"/>
      <c r="R81" s="3"/>
      <c r="S8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S36"/>
  <sheetViews>
    <sheetView workbookViewId="0"/>
  </sheetViews>
  <sheetFormatPr baseColWidth="10" defaultColWidth="8.88671875" defaultRowHeight="14.4" x14ac:dyDescent="0.3"/>
  <cols>
    <col min="1" max="1" width="17" style="17" bestFit="1" customWidth="1"/>
    <col min="2" max="2" width="21.88671875" style="18" bestFit="1" customWidth="1"/>
    <col min="3" max="3" width="10" style="47" bestFit="1" customWidth="1"/>
    <col min="4" max="7" width="10.44140625" style="47" bestFit="1" customWidth="1"/>
    <col min="8" max="9" width="12.88671875" style="47" bestFit="1" customWidth="1"/>
    <col min="10" max="10" width="10.44140625" style="47" bestFit="1" customWidth="1"/>
    <col min="11" max="12" width="9.44140625" style="47" bestFit="1" customWidth="1"/>
    <col min="13" max="13" width="8.109375" style="47" bestFit="1" customWidth="1"/>
    <col min="14" max="14" width="10.44140625" style="47" bestFit="1" customWidth="1"/>
    <col min="15" max="16" width="11.88671875" style="17" bestFit="1" customWidth="1"/>
    <col min="17" max="19" width="14.109375" style="17" bestFit="1" customWidth="1"/>
  </cols>
  <sheetData>
    <row r="1" spans="1:19" ht="19.5" customHeight="1" x14ac:dyDescent="0.3">
      <c r="A1" s="107"/>
      <c r="B1" s="157" t="s">
        <v>346</v>
      </c>
      <c r="C1" s="225">
        <v>25569.042178206018</v>
      </c>
      <c r="D1" s="226">
        <v>25569.042178564814</v>
      </c>
      <c r="E1" s="226">
        <v>25569.042178888889</v>
      </c>
      <c r="F1" s="226">
        <v>25569.042179247685</v>
      </c>
      <c r="G1" s="225">
        <v>25569.042179594908</v>
      </c>
      <c r="H1" s="226">
        <v>25569.042179953703</v>
      </c>
      <c r="I1" s="226">
        <v>25569.042180300927</v>
      </c>
      <c r="J1" s="226">
        <v>25569.042180659722</v>
      </c>
      <c r="K1" s="225">
        <v>25569.042181018518</v>
      </c>
      <c r="L1" s="226">
        <v>25569.042181365741</v>
      </c>
      <c r="M1" s="226">
        <v>25569.042181724537</v>
      </c>
      <c r="N1" s="226">
        <v>25569.04218207176</v>
      </c>
      <c r="O1" s="232" t="s">
        <v>86</v>
      </c>
      <c r="P1" s="3"/>
      <c r="Q1" s="3"/>
      <c r="R1" s="3"/>
      <c r="S1" s="3"/>
    </row>
    <row r="2" spans="1:19" ht="19.5" customHeight="1" x14ac:dyDescent="0.3">
      <c r="A2" s="3" t="s">
        <v>347</v>
      </c>
      <c r="B2" s="233"/>
      <c r="C2" s="234">
        <f>SUMIFS(Data!$I:$I,Data!$D:$D,"&gt;"&amp;C$1,Data!$D:$D,"&lt;="&amp;EOMONTH(C$1,0),Data!$G:$G,"AIA*",Data!$K:$K,"&lt;&gt;"&amp;"Trading")</f>
        <v>130778</v>
      </c>
      <c r="D2" s="235">
        <f>SUMIFS(Data!$I:$I,Data!$D:$D,"&gt;"&amp;D$1,Data!$D:$D,"&lt;="&amp;EOMONTH(D$1,0),Data!$G:$G,"AIA*",Data!$K:$K,"&lt;&gt;"&amp;"Trading")</f>
        <v>127798</v>
      </c>
      <c r="E2" s="235">
        <f>SUMIFS(Data!$I:$I,Data!$D:$D,"&gt;"&amp;E$1,Data!$D:$D,"&lt;="&amp;EOMONTH(E$1,0),Data!$G:$G,"AIA*",Data!$K:$K,"&lt;&gt;"&amp;"Trading")</f>
        <v>127798</v>
      </c>
      <c r="F2" s="235">
        <f>SUMIFS(Data!$I:$I,Data!$D:$D,"&gt;"&amp;F$1,Data!$D:$D,"&lt;="&amp;EOMONTH(F$1,0),Data!$G:$G,"AIA*",Data!$K:$K,"&lt;&gt;"&amp;"Trading")</f>
        <v>127798</v>
      </c>
      <c r="G2" s="235">
        <f>SUMIFS(Data!$I:$I,Data!$D:$D,"&gt;"&amp;G$1,Data!$D:$D,"&lt;="&amp;EOMONTH(G$1,0),Data!$G:$G,"AIA*",Data!$K:$K,"&lt;&gt;"&amp;"Trading")</f>
        <v>127798</v>
      </c>
      <c r="H2" s="235">
        <f>SUMIFS(Data!$I:$I,Data!$D:$D,"&gt;"&amp;H$1,Data!$D:$D,"&lt;="&amp;EOMONTH(H$1,0),Data!$G:$G,"AIA*",Data!$K:$K,"&lt;&gt;"&amp;"Trading")</f>
        <v>127798</v>
      </c>
      <c r="I2" s="235">
        <f>SUMIFS(Data!$I:$I,Data!$D:$D,"&gt;"&amp;I$1,Data!$D:$D,"&lt;="&amp;EOMONTH(I$1,0),Data!$G:$G,"AIA*",Data!$K:$K,"&lt;&gt;"&amp;"Trading")</f>
        <v>78878</v>
      </c>
      <c r="J2" s="235">
        <f>SUMIFS(Data!$I:$I,Data!$D:$D,"&gt;"&amp;J$1,Data!$D:$D,"&lt;="&amp;EOMONTH(J$1,0),Data!$G:$G,"AIA*",Data!$K:$K,"&lt;&gt;"&amp;"Trading")</f>
        <v>78878</v>
      </c>
      <c r="K2" s="235">
        <f>SUMIFS(Data!$I:$I,Data!$D:$D,"&gt;"&amp;K$1,Data!$D:$D,"&lt;="&amp;EOMONTH(K$1,0),Data!$G:$G,"AIA*",Data!$K:$K,"&lt;&gt;"&amp;"Trading")</f>
        <v>78878</v>
      </c>
      <c r="L2" s="235">
        <f>SUMIFS(Data!$I:$I,Data!$D:$D,"&gt;"&amp;L$1,Data!$D:$D,"&lt;="&amp;EOMONTH(L$1,0),Data!$G:$G,"AIA*",Data!$K:$K,"&lt;&gt;"&amp;"Trading")</f>
        <v>78878</v>
      </c>
      <c r="M2" s="235">
        <f>SUMIFS(Data!$I:$I,Data!$D:$D,"&gt;"&amp;M$1,Data!$D:$D,"&lt;="&amp;EOMONTH(M$1,0),Data!$G:$G,"AIA*",Data!$K:$K,"&lt;&gt;"&amp;"Trading")</f>
        <v>57529</v>
      </c>
      <c r="N2" s="236">
        <f>SUMIFS(Data!$I:$I,Data!$D:$D,"&gt;"&amp;N$1,Data!$D:$D,"&lt;="&amp;EOMONTH(N$1,0),Data!$G:$G,"AIA*",Data!$K:$K,"&lt;&gt;"&amp;"Trading")</f>
        <v>28584</v>
      </c>
      <c r="O2" s="230">
        <f>SUM(C2:N2)</f>
        <v>1171393</v>
      </c>
      <c r="P2" s="3"/>
      <c r="Q2" s="3"/>
      <c r="R2" s="3"/>
      <c r="S2" s="3"/>
    </row>
    <row r="3" spans="1:19" ht="19.5" customHeight="1" x14ac:dyDescent="0.3">
      <c r="A3" s="107" t="s">
        <v>348</v>
      </c>
      <c r="B3" s="237"/>
      <c r="C3" s="230">
        <f>SUMIFS(Data!$I:$I,Data!$D:$D,"&gt;"&amp;C$1,Data!$D:$D,"&lt;="&amp;EOMONTH(C$1,0),Data!$G:$G,"AIA*",Data!$K:$K,"Trading")</f>
        <v>0</v>
      </c>
      <c r="D3" s="155">
        <f>SUMIFS(Data!$I:$I,Data!$D:$D,"&gt;"&amp;D$1,Data!$D:$D,"&lt;="&amp;EOMONTH(D$1,0),Data!$G:$G,"AIA*",Data!$K:$K,"Trading")</f>
        <v>0</v>
      </c>
      <c r="E3" s="155">
        <f>SUMIFS(Data!$I:$I,Data!$D:$D,"&gt;"&amp;E$1,Data!$D:$D,"&lt;="&amp;EOMONTH(E$1,0),Data!$G:$G,"AIA*",Data!$K:$K,"Trading")</f>
        <v>0</v>
      </c>
      <c r="F3" s="155">
        <f>SUMIFS(Data!$I:$I,Data!$D:$D,"&gt;"&amp;F$1,Data!$D:$D,"&lt;="&amp;EOMONTH(F$1,0),Data!$G:$G,"AIA*",Data!$K:$K,"Trading")</f>
        <v>0</v>
      </c>
      <c r="G3" s="155">
        <f>SUMIFS(Data!$I:$I,Data!$D:$D,"&gt;"&amp;G$1,Data!$D:$D,"&lt;="&amp;EOMONTH(G$1,0),Data!$G:$G,"AIA*",Data!$K:$K,"Trading")</f>
        <v>0</v>
      </c>
      <c r="H3" s="155">
        <f>SUMIFS(Data!$I:$I,Data!$D:$D,"&gt;"&amp;H$1,Data!$D:$D,"&lt;="&amp;EOMONTH(H$1,0),Data!$G:$G,"AIA*",Data!$K:$K,"Trading")</f>
        <v>0</v>
      </c>
      <c r="I3" s="155">
        <f>SUMIFS(Data!$I:$I,Data!$D:$D,"&gt;"&amp;I$1,Data!$D:$D,"&lt;="&amp;EOMONTH(I$1,0),Data!$G:$G,"AIA*",Data!$K:$K,"Trading")</f>
        <v>0</v>
      </c>
      <c r="J3" s="155">
        <f>SUMIFS(Data!$I:$I,Data!$D:$D,"&gt;"&amp;J$1,Data!$D:$D,"&lt;="&amp;EOMONTH(J$1,0),Data!$G:$G,"AIA*",Data!$K:$K,"Trading")</f>
        <v>0</v>
      </c>
      <c r="K3" s="155">
        <f>SUMIFS(Data!$I:$I,Data!$D:$D,"&gt;"&amp;K$1,Data!$D:$D,"&lt;="&amp;EOMONTH(K$1,0),Data!$G:$G,"AIA*",Data!$K:$K,"Trading")</f>
        <v>0</v>
      </c>
      <c r="L3" s="155">
        <f>SUMIFS(Data!$I:$I,Data!$D:$D,"&gt;"&amp;L$1,Data!$D:$D,"&lt;="&amp;EOMONTH(L$1,0),Data!$G:$G,"AIA*",Data!$K:$K,"Trading")</f>
        <v>0</v>
      </c>
      <c r="M3" s="155">
        <f>SUMIFS(Data!$I:$I,Data!$D:$D,"&gt;"&amp;M$1,Data!$D:$D,"&lt;="&amp;EOMONTH(M$1,0),Data!$G:$G,"AIA*",Data!$K:$K,"Trading")</f>
        <v>0</v>
      </c>
      <c r="N3" s="238">
        <f>SUMIFS(Data!$I:$I,Data!$D:$D,"&gt;"&amp;N$1,Data!$D:$D,"&lt;="&amp;EOMONTH(N$1,0),Data!$G:$G,"AIA*",Data!$K:$K,"Trading")</f>
        <v>0</v>
      </c>
      <c r="O3" s="228">
        <f>SUM(C3:N3)</f>
        <v>0</v>
      </c>
      <c r="P3" s="3"/>
      <c r="Q3" s="3"/>
      <c r="R3" s="3"/>
      <c r="S3" s="3"/>
    </row>
    <row r="4" spans="1:19" ht="19.5" customHeight="1" x14ac:dyDescent="0.3">
      <c r="A4" s="3" t="s">
        <v>349</v>
      </c>
      <c r="B4" s="9">
        <v>1590</v>
      </c>
      <c r="C4" s="239">
        <f>SUMIFS(Data!$S:$S,Data!$Q:$Q,"&gt;"&amp;C$1,Data!$Q:$Q,"&lt;="&amp;EOMONTH(C$1,0),Data!$G:$G,"AIA*",Data!$K:$K,"&lt;&gt;"&amp;"Trading")</f>
        <v>70615</v>
      </c>
      <c r="D4" s="239">
        <f>SUMIFS(Data!$S:$S,Data!$Q:$Q,"&gt;"&amp;D$1,Data!$Q:$Q,"&lt;="&amp;EOMONTH(D$1,0),Data!$G:$G,"AIA*",Data!$K:$K,"&lt;&gt;"&amp;"Trading")</f>
        <v>70615</v>
      </c>
      <c r="E4" s="239">
        <f>SUMIFS(Data!$S:$S,Data!$Q:$Q,"&gt;"&amp;E$1,Data!$Q:$Q,"&lt;="&amp;EOMONTH(E$1,0),Data!$G:$G,"AIA*",Data!$K:$K,"&lt;&gt;"&amp;"Trading")</f>
        <v>70615</v>
      </c>
      <c r="F4" s="239">
        <f>SUMIFS(Data!$S:$S,Data!$Q:$Q,"&gt;"&amp;F$1,Data!$Q:$Q,"&lt;="&amp;EOMONTH(F$1,0),Data!$G:$G,"AIA*",Data!$K:$K,"&lt;&gt;"&amp;"Trading")</f>
        <v>70615</v>
      </c>
      <c r="G4" s="239">
        <f>SUMIFS(Data!$S:$S,Data!$Q:$Q,"&gt;"&amp;G$1,Data!$Q:$Q,"&lt;="&amp;EOMONTH(G$1,0),Data!$G:$G,"AIA*",Data!$K:$K,"&lt;&gt;"&amp;"Trading")</f>
        <v>70615</v>
      </c>
      <c r="H4" s="239">
        <f>SUMIFS(Data!$S:$S,Data!$Q:$Q,"&gt;"&amp;H$1,Data!$Q:$Q,"&lt;="&amp;EOMONTH(H$1,0),Data!$G:$G,"AIA*",Data!$K:$K,"&lt;&gt;"&amp;"Trading")</f>
        <v>70615</v>
      </c>
      <c r="I4" s="239">
        <f>SUMIFS(Data!$S:$S,Data!$Q:$Q,"&gt;"&amp;I$1,Data!$Q:$Q,"&lt;="&amp;EOMONTH(I$1,0),Data!$G:$G,"AIA*",Data!$K:$K,"&lt;&gt;"&amp;"Trading")</f>
        <v>70615</v>
      </c>
      <c r="J4" s="239">
        <f>SUMIFS(Data!$S:$S,Data!$Q:$Q,"&gt;"&amp;J$1,Data!$Q:$Q,"&lt;="&amp;EOMONTH(J$1,0),Data!$G:$G,"AIA*",Data!$K:$K,"&lt;&gt;"&amp;"Trading")</f>
        <v>70615</v>
      </c>
      <c r="K4" s="239">
        <f>SUMIFS(Data!$S:$S,Data!$Q:$Q,"&gt;"&amp;K$1,Data!$Q:$Q,"&lt;="&amp;EOMONTH(K$1,0),Data!$G:$G,"AIA*",Data!$K:$K,"&lt;&gt;"&amp;"Trading")</f>
        <v>70615</v>
      </c>
      <c r="L4" s="239">
        <f>SUMIFS(Data!$S:$S,Data!$Q:$Q,"&gt;"&amp;L$1,Data!$Q:$Q,"&lt;="&amp;EOMONTH(L$1,0),Data!$G:$G,"AIA*",Data!$K:$K,"&lt;&gt;"&amp;"Trading")</f>
        <v>70615</v>
      </c>
      <c r="M4" s="239">
        <f>SUMIFS(Data!$S:$S,Data!$Q:$Q,"&gt;"&amp;M$1,Data!$Q:$Q,"&lt;="&amp;EOMONTH(M$1,0),Data!$G:$G,"AIA*",Data!$K:$K,"&lt;&gt;"&amp;"Trading")</f>
        <v>70615</v>
      </c>
      <c r="N4" s="239">
        <f>SUMIFS(Data!$S:$S,Data!$Q:$Q,"&gt;"&amp;N$1,Data!$Q:$Q,"&lt;="&amp;EOMONTH(N$1,0),Data!$G:$G,"AIA*",Data!$K:$K,"&lt;&gt;"&amp;"Trading")</f>
        <v>67435</v>
      </c>
      <c r="O4" s="240">
        <f>SUM(B4:N4)</f>
        <v>845790</v>
      </c>
      <c r="P4" s="3"/>
      <c r="Q4" s="3"/>
      <c r="R4" s="3"/>
      <c r="S4" s="3"/>
    </row>
    <row r="5" spans="1:19" ht="19.5" customHeight="1" x14ac:dyDescent="0.3">
      <c r="A5" s="107" t="s">
        <v>350</v>
      </c>
      <c r="B5" s="155">
        <v>266850</v>
      </c>
      <c r="C5" s="241">
        <f>SUMIFS(Data!$S:$S,Data!$Q:$Q,"&gt;"&amp;C$1,Data!$Q:$Q,"&lt;="&amp;EOMONTH(C$1,0),Data!$G:$G,"AIA*",Data!$K:$K,"Trading")</f>
        <v>0</v>
      </c>
      <c r="D5" s="241">
        <f>SUMIFS(Data!$S:$S,Data!$Q:$Q,"&gt;"&amp;D$1,Data!$Q:$Q,"&lt;="&amp;EOMONTH(D$1,0),Data!$G:$G,"AIA*",Data!$K:$K,"Trading")</f>
        <v>0</v>
      </c>
      <c r="E5" s="241">
        <f>SUMIFS(Data!$S:$S,Data!$Q:$Q,"&gt;"&amp;E$1,Data!$Q:$Q,"&lt;="&amp;EOMONTH(E$1,0),Data!$G:$G,"AIA*",Data!$K:$K,"Trading")</f>
        <v>0</v>
      </c>
      <c r="F5" s="241">
        <f>SUMIFS(Data!$S:$S,Data!$Q:$Q,"&gt;"&amp;F$1,Data!$Q:$Q,"&lt;="&amp;EOMONTH(F$1,0),Data!$G:$G,"AIA*",Data!$K:$K,"Trading")</f>
        <v>0</v>
      </c>
      <c r="G5" s="241">
        <f>SUMIFS(Data!$S:$S,Data!$Q:$Q,"&gt;"&amp;G$1,Data!$Q:$Q,"&lt;="&amp;EOMONTH(G$1,0),Data!$G:$G,"AIA*",Data!$K:$K,"Trading")</f>
        <v>0</v>
      </c>
      <c r="H5" s="241">
        <f>SUMIFS(Data!$S:$S,Data!$Q:$Q,"&gt;"&amp;H$1,Data!$Q:$Q,"&lt;="&amp;EOMONTH(H$1,0),Data!$G:$G,"AIA*",Data!$K:$K,"Trading")</f>
        <v>0</v>
      </c>
      <c r="I5" s="241">
        <f>SUMIFS(Data!$S:$S,Data!$Q:$Q,"&gt;"&amp;I$1,Data!$Q:$Q,"&lt;="&amp;EOMONTH(I$1,0),Data!$G:$G,"AIA*",Data!$K:$K,"Trading")</f>
        <v>0</v>
      </c>
      <c r="J5" s="241">
        <f>SUMIFS(Data!$S:$S,Data!$Q:$Q,"&gt;"&amp;J$1,Data!$Q:$Q,"&lt;="&amp;EOMONTH(J$1,0),Data!$G:$G,"AIA*",Data!$K:$K,"Trading")</f>
        <v>0</v>
      </c>
      <c r="K5" s="241">
        <f>SUMIFS(Data!$S:$S,Data!$Q:$Q,"&gt;"&amp;K$1,Data!$Q:$Q,"&lt;="&amp;EOMONTH(K$1,0),Data!$G:$G,"AIA*",Data!$K:$K,"Trading")</f>
        <v>0</v>
      </c>
      <c r="L5" s="241">
        <f>SUMIFS(Data!$S:$S,Data!$Q:$Q,"&gt;"&amp;L$1,Data!$Q:$Q,"&lt;="&amp;EOMONTH(L$1,0),Data!$G:$G,"AIA*",Data!$K:$K,"Trading")</f>
        <v>0</v>
      </c>
      <c r="M5" s="241">
        <f>SUMIFS(Data!$S:$S,Data!$Q:$Q,"&gt;"&amp;M$1,Data!$Q:$Q,"&lt;="&amp;EOMONTH(M$1,0),Data!$G:$G,"AIA*",Data!$K:$K,"Trading")</f>
        <v>0</v>
      </c>
      <c r="N5" s="241">
        <f>SUMIFS(Data!$S:$S,Data!$Q:$Q,"&gt;"&amp;N$1,Data!$Q:$Q,"&lt;="&amp;EOMONTH(N$1,0),Data!$G:$G,"AIA*",Data!$K:$K,"Trading")</f>
        <v>0</v>
      </c>
      <c r="O5" s="242">
        <f>SUM(B5:N5)</f>
        <v>266850</v>
      </c>
      <c r="P5" s="243">
        <f>O4+O5</f>
        <v>1112640</v>
      </c>
      <c r="Q5" s="3"/>
      <c r="R5" s="3"/>
      <c r="S5" s="3"/>
    </row>
    <row r="6" spans="1:19" ht="19.5" customHeight="1" x14ac:dyDescent="0.3">
      <c r="A6" s="3" t="s">
        <v>351</v>
      </c>
      <c r="B6" s="233"/>
      <c r="C6" s="244">
        <f>SUMIFS(Data!$AD:$AD,Data!$AC:$AC,"&gt;"&amp;C$1,Data!$AC:$AC,"&lt;="&amp;EOMONTH(C$1,0),Data!$G:$G,"AIA*",Data!$K:$K,"&lt;&gt;"&amp;"Trading")</f>
        <v>46405</v>
      </c>
      <c r="D6" s="244">
        <f>SUMIFS(Data!$AD:$AD,Data!$AC:$AC,"&gt;"&amp;D$1,Data!$AC:$AC,"&lt;="&amp;EOMONTH(D$1,0),Data!$G:$G,"AIA*",Data!$K:$K,"&lt;&gt;"&amp;"Trading")</f>
        <v>46405</v>
      </c>
      <c r="E6" s="244">
        <f>SUMIFS(Data!$AD:$AD,Data!$AC:$AC,"&gt;"&amp;E$1,Data!$AC:$AC,"&lt;="&amp;EOMONTH(E$1,0),Data!$G:$G,"AIA*",Data!$K:$K,"&lt;&gt;"&amp;"Trading")</f>
        <v>46405</v>
      </c>
      <c r="F6" s="244">
        <f>SUMIFS(Data!$AD:$AD,Data!$AC:$AC,"&gt;"&amp;F$1,Data!$AC:$AC,"&lt;="&amp;EOMONTH(F$1,0),Data!$G:$G,"AIA*",Data!$K:$K,"&lt;&gt;"&amp;"Trading")</f>
        <v>46405</v>
      </c>
      <c r="G6" s="244">
        <f>SUMIFS(Data!$AD:$AD,Data!$AC:$AC,"&gt;"&amp;G$1,Data!$AC:$AC,"&lt;="&amp;EOMONTH(G$1,0),Data!$G:$G,"AIA*",Data!$K:$K,"&lt;&gt;"&amp;"Trading")</f>
        <v>46405</v>
      </c>
      <c r="H6" s="244">
        <f>SUMIFS(Data!$AD:$AD,Data!$AC:$AC,"&gt;"&amp;H$1,Data!$AC:$AC,"&lt;="&amp;EOMONTH(H$1,0),Data!$G:$G,"AIA*",Data!$K:$K,"&lt;&gt;"&amp;"Trading")</f>
        <v>46405</v>
      </c>
      <c r="I6" s="244">
        <f>SUMIFS(Data!$AD:$AD,Data!$AC:$AC,"&gt;"&amp;I$1,Data!$AC:$AC,"&lt;="&amp;EOMONTH(I$1,0),Data!$G:$G,"AIA*",Data!$K:$K,"&lt;&gt;"&amp;"Trading")</f>
        <v>46405</v>
      </c>
      <c r="J6" s="244">
        <f>SUMIFS(Data!$AD:$AD,Data!$AC:$AC,"&gt;"&amp;J$1,Data!$AC:$AC,"&lt;="&amp;EOMONTH(J$1,0),Data!$G:$G,"AIA*",Data!$K:$K,"&lt;&gt;"&amp;"Trading")</f>
        <v>46405</v>
      </c>
      <c r="K6" s="244">
        <f>SUMIFS(Data!$AD:$AD,Data!$AC:$AC,"&gt;"&amp;K$1,Data!$AC:$AC,"&lt;="&amp;EOMONTH(K$1,0),Data!$G:$G,"AIA*",Data!$K:$K,"&lt;&gt;"&amp;"Trading")</f>
        <v>46405</v>
      </c>
      <c r="L6" s="244">
        <f>SUMIFS(Data!$AD:$AD,Data!$AC:$AC,"&gt;"&amp;L$1,Data!$AC:$AC,"&lt;="&amp;EOMONTH(L$1,0),Data!$G:$G,"AIA*",Data!$K:$K,"&lt;&gt;"&amp;"Trading")</f>
        <v>46405</v>
      </c>
      <c r="M6" s="244">
        <f>SUMIFS(Data!$AD:$AD,Data!$AC:$AC,"&gt;"&amp;M$1,Data!$AC:$AC,"&lt;="&amp;EOMONTH(M$1,0),Data!$G:$G,"AIA*",Data!$K:$K,"&lt;&gt;"&amp;"Trading")</f>
        <v>46405</v>
      </c>
      <c r="N6" s="244">
        <f>SUMIFS(Data!$AD:$AD,Data!$AC:$AC,"&gt;"&amp;N$1,Data!$AC:$AC,"&lt;="&amp;EOMONTH(N$1,0),Data!$G:$G,"AIA*",Data!$K:$K,"&lt;&gt;"&amp;"Trading")</f>
        <v>46405</v>
      </c>
      <c r="O6" s="245">
        <f>SUM(C6:N6)</f>
        <v>556860</v>
      </c>
      <c r="P6" s="3"/>
      <c r="Q6" s="3"/>
      <c r="R6" s="3"/>
      <c r="S6" s="3"/>
    </row>
    <row r="7" spans="1:19" ht="19.5" customHeight="1" x14ac:dyDescent="0.3">
      <c r="A7" s="107" t="s">
        <v>352</v>
      </c>
      <c r="B7" s="237"/>
      <c r="C7" s="246">
        <f>SUMIFS(Data!$AD:$AD,Data!$AC:$AC,"&gt;"&amp;C$1,Data!$AC:$AC,"&lt;="&amp;EOMONTH(C$1,0),Data!$G:$G,"AIA*",Data!$K:$K,"Trading")</f>
        <v>0</v>
      </c>
      <c r="D7" s="247">
        <f>SUMIFS(Data!$AD:$AD,Data!$AC:$AC,"&gt;"&amp;D$1,Data!$AC:$AC,"&lt;="&amp;EOMONTH(D$1,0),Data!$G:$G,"AIA*",Data!$K:$K,"Trading")</f>
        <v>0</v>
      </c>
      <c r="E7" s="247">
        <f>SUMIFS(Data!$AD:$AD,Data!$AC:$AC,"&gt;"&amp;E$1,Data!$AC:$AC,"&lt;="&amp;EOMONTH(E$1,0),Data!$G:$G,"AIA*",Data!$K:$K,"Trading")</f>
        <v>0</v>
      </c>
      <c r="F7" s="246">
        <f>SUMIFS(Data!$AD:$AD,Data!$AC:$AC,"&gt;"&amp;F$1,Data!$AC:$AC,"&lt;="&amp;EOMONTH(F$1,0),Data!$G:$G,"AIA*",Data!$K:$K,"Trading")</f>
        <v>0</v>
      </c>
      <c r="G7" s="246">
        <f>SUMIFS(Data!$AD:$AD,Data!$AC:$AC,"&gt;"&amp;G$1,Data!$AC:$AC,"&lt;="&amp;EOMONTH(G$1,0),Data!$G:$G,"AIA*",Data!$K:$K,"Trading")</f>
        <v>0</v>
      </c>
      <c r="H7" s="246">
        <f>SUMIFS(Data!$AD:$AD,Data!$AC:$AC,"&gt;"&amp;H$1,Data!$AC:$AC,"&lt;="&amp;EOMONTH(H$1,0),Data!$G:$G,"AIA*",Data!$K:$K,"Trading")</f>
        <v>0</v>
      </c>
      <c r="I7" s="246">
        <f>SUMIFS(Data!$AD:$AD,Data!$AC:$AC,"&gt;"&amp;I$1,Data!$AC:$AC,"&lt;="&amp;EOMONTH(I$1,0),Data!$G:$G,"AIA*",Data!$K:$K,"Trading")</f>
        <v>0</v>
      </c>
      <c r="J7" s="246">
        <f>SUMIFS(Data!$AD:$AD,Data!$AC:$AC,"&gt;"&amp;J$1,Data!$AC:$AC,"&lt;="&amp;EOMONTH(J$1,0),Data!$G:$G,"AIA*",Data!$K:$K,"Trading")</f>
        <v>0</v>
      </c>
      <c r="K7" s="246">
        <f>SUMIFS(Data!$AD:$AD,Data!$AC:$AC,"&gt;"&amp;K$1,Data!$AC:$AC,"&lt;="&amp;EOMONTH(K$1,0),Data!$G:$G,"AIA*")</f>
        <v>46405</v>
      </c>
      <c r="L7" s="246">
        <f>SUMIFS(Data!$AD:$AD,Data!$AC:$AC,"&gt;"&amp;L$1,Data!$AC:$AC,"&lt;="&amp;EOMONTH(L$1,0),Data!$G:$G,"AIA*",Data!$K:$K,"Trading")</f>
        <v>0</v>
      </c>
      <c r="M7" s="246">
        <f>SUMIFS(Data!$AD:$AD,Data!$AC:$AC,"&gt;"&amp;M$1,Data!$AC:$AC,"&lt;="&amp;EOMONTH(M$1,0),Data!$G:$G,"AIA*",Data!$K:$K,"Trading")</f>
        <v>0</v>
      </c>
      <c r="N7" s="246">
        <f>SUMIFS(Data!$AD:$AD,Data!$AC:$AC,"&gt;"&amp;N$1,Data!$AC:$AC,"&lt;="&amp;EOMONTH(N$1,0),Data!$G:$G,"AIA*",Data!$K:$K,"Trading")</f>
        <v>0</v>
      </c>
      <c r="O7" s="248">
        <f>SUM(C7:N7)</f>
        <v>46405</v>
      </c>
      <c r="P7" s="249">
        <f>O6+O7</f>
        <v>603265</v>
      </c>
      <c r="Q7" s="3"/>
      <c r="R7" s="3"/>
      <c r="S7" s="3"/>
    </row>
    <row r="8" spans="1:19" ht="19.5" customHeight="1" x14ac:dyDescent="0.3">
      <c r="A8" s="3" t="s">
        <v>353</v>
      </c>
      <c r="B8" s="9">
        <f>P5-P7</f>
        <v>509375</v>
      </c>
      <c r="C8" s="250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229"/>
      <c r="P8" s="3"/>
      <c r="Q8" s="3"/>
      <c r="R8" s="3"/>
      <c r="S8" s="3"/>
    </row>
    <row r="9" spans="1:19" ht="19.5" customHeight="1" x14ac:dyDescent="0.3">
      <c r="A9" s="3"/>
      <c r="B9" s="9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"/>
      <c r="P9" s="3"/>
      <c r="Q9" s="3"/>
      <c r="R9" s="3"/>
      <c r="S9" s="3"/>
    </row>
    <row r="10" spans="1:19" ht="19.5" customHeight="1" x14ac:dyDescent="0.3">
      <c r="A10" s="3"/>
      <c r="B10" s="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"/>
      <c r="P10" s="9"/>
      <c r="Q10" s="3"/>
      <c r="R10" s="3"/>
      <c r="S10" s="3"/>
    </row>
    <row r="11" spans="1:19" ht="19.5" customHeight="1" x14ac:dyDescent="0.3">
      <c r="A11" s="3"/>
      <c r="B11" s="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"/>
      <c r="P11" s="3"/>
      <c r="Q11" s="3"/>
      <c r="R11" s="3"/>
      <c r="S11" s="3"/>
    </row>
    <row r="12" spans="1:19" ht="19.5" customHeight="1" x14ac:dyDescent="0.3">
      <c r="A12" s="3"/>
      <c r="B12" s="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"/>
      <c r="P12" s="3"/>
      <c r="Q12" s="3"/>
      <c r="R12" s="3"/>
      <c r="S12" s="3"/>
    </row>
    <row r="13" spans="1:19" ht="19.5" customHeight="1" x14ac:dyDescent="0.3">
      <c r="A13" s="3"/>
      <c r="B13" s="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"/>
      <c r="P13" s="3"/>
      <c r="Q13" s="3"/>
      <c r="R13" s="3"/>
      <c r="S13" s="3"/>
    </row>
    <row r="14" spans="1:19" ht="19.5" customHeight="1" x14ac:dyDescent="0.3">
      <c r="A14" s="3"/>
      <c r="B14" s="8"/>
      <c r="C14" s="35"/>
      <c r="D14" s="35"/>
      <c r="E14" s="35"/>
      <c r="F14" s="35"/>
      <c r="G14" s="35"/>
      <c r="H14" s="35"/>
      <c r="I14" s="35"/>
      <c r="J14" s="10"/>
      <c r="K14" s="35"/>
      <c r="L14" s="35"/>
      <c r="M14" s="35"/>
      <c r="N14" s="35"/>
      <c r="O14" s="3"/>
      <c r="P14" s="3"/>
      <c r="Q14" s="3"/>
      <c r="R14" s="3"/>
      <c r="S14" s="3"/>
    </row>
    <row r="15" spans="1:19" ht="19.5" customHeight="1" x14ac:dyDescent="0.3">
      <c r="A15" s="3"/>
      <c r="B15" s="8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"/>
      <c r="P15" s="3"/>
      <c r="Q15" s="3"/>
      <c r="R15" s="3"/>
      <c r="S15" s="3"/>
    </row>
    <row r="16" spans="1:19" ht="19.5" customHeight="1" x14ac:dyDescent="0.3">
      <c r="A16" s="3"/>
      <c r="B16" s="8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"/>
      <c r="P16" s="3"/>
      <c r="Q16" s="3"/>
      <c r="R16" s="3"/>
      <c r="S16" s="3"/>
    </row>
    <row r="17" spans="1:19" ht="19.5" customHeight="1" x14ac:dyDescent="0.3">
      <c r="A17" s="3"/>
      <c r="B17" s="8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"/>
      <c r="P17" s="3"/>
      <c r="Q17" s="3"/>
      <c r="R17" s="3"/>
      <c r="S17" s="3"/>
    </row>
    <row r="18" spans="1:19" ht="19.5" customHeight="1" x14ac:dyDescent="0.3">
      <c r="A18" s="3"/>
      <c r="B18" s="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"/>
      <c r="P18" s="3"/>
      <c r="Q18" s="3"/>
      <c r="R18" s="3"/>
      <c r="S18" s="3"/>
    </row>
    <row r="19" spans="1:19" ht="19.5" customHeight="1" x14ac:dyDescent="0.3">
      <c r="A19" s="3"/>
      <c r="B19" s="31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"/>
      <c r="P19" s="3"/>
      <c r="Q19" s="3"/>
      <c r="R19" s="3"/>
      <c r="S19" s="3"/>
    </row>
    <row r="20" spans="1:19" ht="19.5" customHeight="1" x14ac:dyDescent="0.3">
      <c r="A20" s="3"/>
      <c r="B20" s="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"/>
      <c r="P20" s="3"/>
      <c r="Q20" s="3"/>
      <c r="R20" s="3"/>
      <c r="S20" s="3"/>
    </row>
    <row r="21" spans="1:19" ht="19.5" customHeight="1" x14ac:dyDescent="0.3">
      <c r="A21" s="3"/>
      <c r="B21" s="8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"/>
      <c r="P21" s="3"/>
      <c r="Q21" s="3"/>
      <c r="R21" s="3"/>
      <c r="S21" s="3"/>
    </row>
    <row r="22" spans="1:19" ht="19.5" customHeight="1" x14ac:dyDescent="0.3">
      <c r="A22" s="3"/>
      <c r="B22" s="8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"/>
      <c r="P22" s="3"/>
      <c r="Q22" s="3"/>
      <c r="R22" s="3"/>
      <c r="S22" s="3"/>
    </row>
    <row r="23" spans="1:19" ht="19.5" customHeight="1" x14ac:dyDescent="0.3">
      <c r="A23" s="3"/>
      <c r="B23" s="8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"/>
      <c r="P23" s="3"/>
      <c r="Q23" s="3"/>
      <c r="R23" s="9"/>
      <c r="S23" s="3"/>
    </row>
    <row r="24" spans="1:19" ht="19.5" customHeight="1" x14ac:dyDescent="0.3">
      <c r="A24" s="3"/>
      <c r="B24" s="8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"/>
      <c r="P24" s="3"/>
      <c r="Q24" s="3"/>
      <c r="R24" s="3"/>
      <c r="S24" s="3"/>
    </row>
    <row r="25" spans="1:19" ht="19.5" customHeight="1" x14ac:dyDescent="0.3">
      <c r="A25" s="3"/>
      <c r="B25" s="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"/>
      <c r="P25" s="3"/>
      <c r="Q25" s="3"/>
      <c r="R25" s="3"/>
      <c r="S25" s="3"/>
    </row>
    <row r="26" spans="1:19" ht="19.5" customHeight="1" x14ac:dyDescent="0.3">
      <c r="A26" s="3"/>
      <c r="B26" s="8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"/>
      <c r="P26" s="3"/>
      <c r="Q26" s="3"/>
      <c r="R26" s="3"/>
      <c r="S26" s="3"/>
    </row>
    <row r="27" spans="1:19" ht="19.5" customHeight="1" x14ac:dyDescent="0.3">
      <c r="A27" s="3"/>
      <c r="B27" s="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"/>
      <c r="P27" s="3"/>
      <c r="Q27" s="3"/>
      <c r="R27" s="3"/>
      <c r="S27" s="3"/>
    </row>
    <row r="28" spans="1:19" ht="19.5" customHeight="1" x14ac:dyDescent="0.3">
      <c r="A28" s="3"/>
      <c r="B28" s="8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"/>
      <c r="P28" s="3"/>
      <c r="Q28" s="3"/>
      <c r="R28" s="3"/>
      <c r="S28" s="3"/>
    </row>
    <row r="29" spans="1:19" ht="19.5" customHeight="1" x14ac:dyDescent="0.3">
      <c r="A29" s="3"/>
      <c r="B29" s="8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"/>
      <c r="P29" s="3"/>
      <c r="Q29" s="3"/>
      <c r="R29" s="3"/>
      <c r="S29" s="3"/>
    </row>
    <row r="30" spans="1:19" ht="19.5" customHeight="1" x14ac:dyDescent="0.3">
      <c r="A30" s="3"/>
      <c r="B30" s="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"/>
      <c r="P30" s="3"/>
      <c r="Q30" s="3"/>
      <c r="R30" s="3"/>
      <c r="S30" s="3"/>
    </row>
    <row r="31" spans="1:19" ht="19.5" customHeight="1" x14ac:dyDescent="0.3">
      <c r="A31" s="3"/>
      <c r="B31" s="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"/>
      <c r="P31" s="3"/>
      <c r="Q31" s="3"/>
      <c r="R31" s="9"/>
      <c r="S31" s="3"/>
    </row>
    <row r="32" spans="1:19" ht="19.5" customHeight="1" x14ac:dyDescent="0.3">
      <c r="A32" s="3"/>
      <c r="B32" s="8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"/>
      <c r="P32" s="3"/>
      <c r="Q32" s="3"/>
      <c r="R32" s="3"/>
      <c r="S32" s="9"/>
    </row>
    <row r="33" spans="1:19" ht="19.5" customHeight="1" x14ac:dyDescent="0.3">
      <c r="A33" s="3"/>
      <c r="B33" s="8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"/>
      <c r="P33" s="3"/>
      <c r="Q33" s="3"/>
      <c r="R33" s="3"/>
      <c r="S33" s="3"/>
    </row>
    <row r="34" spans="1:19" ht="19.5" customHeight="1" x14ac:dyDescent="0.3">
      <c r="A34" s="3"/>
      <c r="B34" s="8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"/>
      <c r="P34" s="3"/>
      <c r="Q34" s="3"/>
      <c r="R34" s="3"/>
      <c r="S34" s="3"/>
    </row>
    <row r="35" spans="1:19" ht="19.5" customHeight="1" x14ac:dyDescent="0.3">
      <c r="A35" s="3"/>
      <c r="B35" s="8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"/>
      <c r="P35" s="3"/>
      <c r="Q35" s="3"/>
      <c r="R35" s="3"/>
      <c r="S35" s="3"/>
    </row>
    <row r="36" spans="1:19" ht="19.5" customHeight="1" x14ac:dyDescent="0.3">
      <c r="A36" s="3"/>
      <c r="B36" s="8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"/>
      <c r="P36" s="3"/>
      <c r="Q36" s="3"/>
      <c r="R36" s="9"/>
      <c r="S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9</vt:i4>
      </vt:variant>
    </vt:vector>
  </HeadingPairs>
  <TitlesOfParts>
    <vt:vector size="24" baseType="lpstr">
      <vt:lpstr>Key</vt:lpstr>
      <vt:lpstr>Data</vt:lpstr>
      <vt:lpstr>Weekly Data</vt:lpstr>
      <vt:lpstr>Reporting 2021</vt:lpstr>
      <vt:lpstr>Reporting 2022</vt:lpstr>
      <vt:lpstr>GRAPH NEW STRUCTURE</vt:lpstr>
      <vt:lpstr>Monthly Data</vt:lpstr>
      <vt:lpstr>Reporting</vt:lpstr>
      <vt:lpstr>AIA</vt:lpstr>
      <vt:lpstr>FCP+AIA</vt:lpstr>
      <vt:lpstr>Forecast 2020</vt:lpstr>
      <vt:lpstr>Daily Tracking</vt:lpstr>
      <vt:lpstr>Delivery Plan</vt:lpstr>
      <vt:lpstr>Reconciliation SOLUNE vs SAP</vt:lpstr>
      <vt:lpstr>GroupExport</vt:lpstr>
      <vt:lpstr>'Delivery Plan'!_FilterDatabase</vt:lpstr>
      <vt:lpstr>CAT</vt:lpstr>
      <vt:lpstr>Dstatus</vt:lpstr>
      <vt:lpstr>Data!Impression_des_titres</vt:lpstr>
      <vt:lpstr>On_Site</vt:lpstr>
      <vt:lpstr>Raison_externalisation</vt:lpstr>
      <vt:lpstr>Refuse</vt:lpstr>
      <vt:lpstr>'Reporting 2021'!Zone_d_impression</vt:lpstr>
      <vt:lpstr>'Reporting 2022'!Zone_d_impression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Pomiès</dc:creator>
  <cp:lastModifiedBy>Guillaume Pomiès</cp:lastModifiedBy>
  <dcterms:created xsi:type="dcterms:W3CDTF">2022-04-21T14:08:31Z</dcterms:created>
  <dcterms:modified xsi:type="dcterms:W3CDTF">2022-04-27T10:11:11Z</dcterms:modified>
</cp:coreProperties>
</file>