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ataliakalugina/Desktop/Classwork/Crowdfunding Analysis/"/>
    </mc:Choice>
  </mc:AlternateContent>
  <xr:revisionPtr revIDLastSave="0" documentId="13_ncr:1_{9AFFDB0E-F6AE-2247-86BA-DC7A5AC5D933}" xr6:coauthVersionLast="47" xr6:coauthVersionMax="47" xr10:uidLastSave="{00000000-0000-0000-0000-000000000000}"/>
  <bookViews>
    <workbookView xWindow="0" yWindow="500" windowWidth="28800" windowHeight="16360" activeTab="1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gory Statistics" sheetId="3" r:id="rId4"/>
    <sheet name="Subcategory Statistics" sheetId="4" r:id="rId5"/>
    <sheet name="Stats by date.time" sheetId="5" r:id="rId6"/>
    <sheet name="Descriptive Statistics" sheetId="8" r:id="rId7"/>
    <sheet name="Edinburgh Research" sheetId="2" r:id="rId8"/>
  </sheets>
  <definedNames>
    <definedName name="_xlnm._FilterDatabase" localSheetId="0" hidden="1">Kickstarter!$A$1:$U$4115</definedName>
    <definedName name="_xlchart.v1.0" hidden="1">'Outcomes Based on Goals'!$B$1</definedName>
    <definedName name="_xlchart.v1.1" hidden="1">'Outcomes Based on Goals'!$B$2:$B$13</definedName>
    <definedName name="_xlchart.v1.2" hidden="1">'Outcomes Based on Goals'!$B$1</definedName>
    <definedName name="_xlchart.v1.3" hidden="1">'Outcomes Based on Goals'!$B$2:$B$13</definedName>
    <definedName name="_xlchart.v1.4" hidden="1">'Outcomes Based on Goals'!$B$1</definedName>
    <definedName name="_xlchart.v1.5" hidden="1">'Outcomes Based on Goals'!$B$2:$B$13</definedName>
    <definedName name="_xlchart.v1.6" hidden="1">'Outcomes Based on Goals'!$A$2:$A$13</definedName>
    <definedName name="_xlchart.v1.7" hidden="1">'Outcomes Based on Goals'!$B$1</definedName>
    <definedName name="_xlchart.v1.8" hidden="1">'Outcomes Based on Goals'!$B$2:$B$13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B2" i="16"/>
  <c r="C2" i="16"/>
  <c r="B4" i="8"/>
  <c r="C4" i="8"/>
  <c r="E5" i="16" l="1"/>
  <c r="F12" i="16"/>
  <c r="F11" i="16"/>
  <c r="F10" i="16"/>
  <c r="E9" i="16"/>
  <c r="G8" i="16"/>
  <c r="H7" i="16"/>
  <c r="H6" i="16"/>
  <c r="G5" i="16"/>
  <c r="F4" i="16"/>
  <c r="F3" i="16"/>
  <c r="G12" i="16"/>
  <c r="E12" i="16"/>
  <c r="H12" i="16"/>
  <c r="E11" i="16"/>
  <c r="H11" i="16"/>
  <c r="G11" i="16"/>
  <c r="G10" i="16"/>
  <c r="E10" i="16"/>
  <c r="H10" i="16"/>
  <c r="F9" i="16"/>
  <c r="G9" i="16"/>
  <c r="H9" i="16"/>
  <c r="F8" i="16"/>
  <c r="E8" i="16"/>
  <c r="H8" i="16"/>
  <c r="F7" i="16"/>
  <c r="G7" i="16"/>
  <c r="E7" i="16"/>
  <c r="G6" i="16"/>
  <c r="F6" i="16"/>
  <c r="E6" i="16"/>
  <c r="F5" i="16"/>
  <c r="H5" i="16"/>
  <c r="H4" i="16"/>
  <c r="G4" i="16"/>
  <c r="E4" i="16"/>
  <c r="G3" i="16"/>
  <c r="E3" i="16"/>
  <c r="H3" i="16"/>
  <c r="G2" i="16"/>
  <c r="H2" i="16"/>
  <c r="F2" i="16"/>
  <c r="E2" i="16"/>
  <c r="H13" i="16"/>
  <c r="E13" i="16"/>
  <c r="F13" i="16"/>
  <c r="G13" i="16"/>
  <c r="C14" i="8"/>
  <c r="B14" i="8"/>
  <c r="C12" i="8"/>
  <c r="B12" i="8"/>
  <c r="B13" i="8"/>
  <c r="C13" i="8"/>
  <c r="C6" i="8"/>
  <c r="C5" i="8"/>
  <c r="B6" i="8"/>
  <c r="B5" i="8"/>
  <c r="B3" i="8"/>
  <c r="C11" i="8"/>
  <c r="B11" i="8"/>
  <c r="C10" i="8"/>
  <c r="B10" i="8"/>
  <c r="K6" i="8"/>
  <c r="K5" i="8"/>
  <c r="K3" i="8"/>
  <c r="K2" i="8"/>
  <c r="J6" i="8"/>
  <c r="J5" i="8"/>
  <c r="J3" i="8"/>
  <c r="J2" i="8"/>
  <c r="G6" i="8"/>
  <c r="F6" i="8"/>
  <c r="F5" i="8"/>
  <c r="G5" i="8"/>
  <c r="G3" i="8"/>
  <c r="F3" i="8"/>
  <c r="G2" i="8"/>
  <c r="F2" i="8"/>
  <c r="C3" i="8"/>
  <c r="C2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7" i="8"/>
  <c r="C15" i="8"/>
  <c r="B15" i="8"/>
</calcChain>
</file>

<file path=xl/sharedStrings.xml><?xml version="1.0" encoding="utf-8"?>
<sst xmlns="http://schemas.openxmlformats.org/spreadsheetml/2006/main" count="33062" uniqueCount="8417">
  <si>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</si>
  <si>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</si>
  <si>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</si>
  <si>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</si>
  <si>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</si>
  <si>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</si>
  <si>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</si>
  <si>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</si>
  <si>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</si>
  <si>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</si>
  <si>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</si>
  <si>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</si>
  <si>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</si>
  <si>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</si>
  <si>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</si>
  <si>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</si>
  <si>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</si>
  <si>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</si>
  <si>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</si>
  <si>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</si>
  <si>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</si>
  <si>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</si>
  <si>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</si>
  <si>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</si>
  <si>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</si>
  <si>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</si>
  <si>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</si>
  <si>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</si>
  <si>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</si>
  <si>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</si>
  <si>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</si>
  <si>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</si>
  <si>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</si>
  <si>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</si>
  <si>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</si>
  <si>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</si>
  <si>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</si>
  <si>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</si>
  <si>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</si>
  <si>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</si>
  <si>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</si>
  <si>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</si>
  <si>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</si>
  <si>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</si>
  <si>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</si>
  <si>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</si>
  <si>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</si>
  <si>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</si>
  <si>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</si>
  <si>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</si>
  <si>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</si>
  <si>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</si>
  <si>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</si>
  <si>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</si>
  <si>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</si>
  <si>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</si>
  <si>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</si>
  <si>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</si>
  <si>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</si>
  <si>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</si>
  <si>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</si>
  <si>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</si>
  <si>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</si>
  <si>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</si>
  <si>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</si>
  <si>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</si>
  <si>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</si>
  <si>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</si>
  <si>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</si>
  <si>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</si>
  <si>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</si>
  <si>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</si>
  <si>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</si>
  <si>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</si>
  <si>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</si>
  <si>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</si>
  <si>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</si>
  <si>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</si>
  <si>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</si>
  <si>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</si>
  <si>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</si>
  <si>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</si>
  <si>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</si>
  <si>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</si>
  <si>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</si>
  <si>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</si>
  <si>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</si>
  <si>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</si>
  <si>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</si>
  <si>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</si>
  <si>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</si>
  <si>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</si>
  <si>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</si>
  <si>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</si>
  <si>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</si>
  <si>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</si>
  <si>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</si>
  <si>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</si>
  <si>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</si>
  <si>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</si>
  <si>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</si>
  <si>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</si>
  <si>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</si>
  <si>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</si>
  <si>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</si>
  <si>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</si>
  <si>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</si>
  <si>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</si>
  <si>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</si>
  <si>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</si>
  <si>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</si>
  <si>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</si>
  <si>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</si>
  <si>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</si>
  <si>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</si>
  <si>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</si>
  <si>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</si>
  <si>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</si>
  <si>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</si>
  <si>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</si>
  <si>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</si>
  <si>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</si>
  <si>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</si>
  <si>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</si>
  <si>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</si>
  <si>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</si>
  <si>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</si>
  <si>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</si>
  <si>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</si>
  <si>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</si>
  <si>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</si>
  <si>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</si>
  <si>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</si>
  <si>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</si>
  <si>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</si>
  <si>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</si>
  <si>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</si>
  <si>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</si>
  <si>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</si>
  <si>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</si>
  <si>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</si>
  <si>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</si>
  <si>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</si>
  <si>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</si>
  <si>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</si>
  <si>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</si>
  <si>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</si>
  <si>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</si>
  <si>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</si>
  <si>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</si>
  <si>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</si>
  <si>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</si>
  <si>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</si>
  <si>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</si>
  <si>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</si>
  <si>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</si>
  <si>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</si>
  <si>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</si>
  <si>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</si>
  <si>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</si>
  <si>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</si>
  <si>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</si>
  <si>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</si>
  <si>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</si>
  <si>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</si>
  <si>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</si>
  <si>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</si>
  <si>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</si>
  <si>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</si>
  <si>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</si>
  <si>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</si>
  <si>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</si>
  <si>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</si>
  <si>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</si>
  <si>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</si>
  <si>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</si>
  <si>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</si>
  <si>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</si>
  <si>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</si>
  <si>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</si>
  <si>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</si>
  <si>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</si>
  <si>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</si>
  <si>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</si>
  <si>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</si>
  <si>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</si>
  <si>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</si>
  <si>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</si>
  <si>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</si>
  <si>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</si>
  <si>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</si>
  <si>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</si>
  <si>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</si>
  <si>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</si>
  <si>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</si>
  <si>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</si>
  <si>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</si>
  <si>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</si>
  <si>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</si>
  <si>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</si>
  <si>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</si>
  <si>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</si>
  <si>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</si>
  <si>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</si>
  <si>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</si>
  <si>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</si>
  <si>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</si>
  <si>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</si>
  <si>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</si>
  <si>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</si>
  <si>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</si>
  <si>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</si>
  <si>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</si>
  <si>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</si>
  <si>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</si>
  <si>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</si>
  <si>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</si>
  <si>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</si>
  <si>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</si>
  <si>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</si>
  <si>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</si>
  <si>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</si>
  <si>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</si>
  <si>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</si>
  <si>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</si>
  <si>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</si>
  <si>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</si>
  <si>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</si>
  <si>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</si>
  <si>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</si>
  <si>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</si>
  <si>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</si>
  <si>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</si>
  <si>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</si>
  <si>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</si>
  <si>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</si>
  <si>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</si>
  <si>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</si>
  <si>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</si>
  <si>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</si>
  <si>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</si>
  <si>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</si>
  <si>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</si>
  <si>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</si>
  <si>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</si>
  <si>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</si>
  <si>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</si>
  <si>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</si>
  <si>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</si>
  <si>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</si>
  <si>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</si>
  <si>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</si>
  <si>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</si>
  <si>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</si>
  <si>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</si>
  <si>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</si>
  <si>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</si>
  <si>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</si>
  <si>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</si>
  <si>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</si>
  <si>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</si>
  <si>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</si>
  <si>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</si>
  <si>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</si>
  <si>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</si>
  <si>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</si>
  <si>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</si>
  <si>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</si>
  <si>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</si>
  <si>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</si>
  <si>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</si>
  <si>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</si>
  <si>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</si>
  <si>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</si>
  <si>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</si>
  <si>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</si>
  <si>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</si>
  <si>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</si>
  <si>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</si>
  <si>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</si>
  <si>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</si>
  <si>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</si>
  <si>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</si>
  <si>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</si>
  <si>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</si>
  <si>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</si>
  <si>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</si>
  <si>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</si>
  <si>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</si>
  <si>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</si>
  <si>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</si>
  <si>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</si>
  <si>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</si>
  <si>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</si>
  <si>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</si>
  <si>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</si>
  <si>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</si>
  <si>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</si>
  <si>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</si>
  <si>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</si>
  <si>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</si>
  <si>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</si>
  <si>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</si>
  <si>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</si>
  <si>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</si>
  <si>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</si>
  <si>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</si>
  <si>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</si>
  <si>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</si>
  <si>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</si>
  <si>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</si>
  <si>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</si>
  <si>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</si>
  <si>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</si>
  <si>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</si>
  <si>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</si>
  <si>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</si>
  <si>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</si>
  <si>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</si>
  <si>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</si>
  <si>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</si>
  <si>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</si>
  <si>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</si>
  <si>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</si>
  <si>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</si>
  <si>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</si>
  <si>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</si>
  <si>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</si>
  <si>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</si>
  <si>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</si>
  <si>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</si>
  <si>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</si>
  <si>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</si>
  <si>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</si>
  <si>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</si>
  <si>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</si>
  <si>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</si>
  <si>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</si>
  <si>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</si>
  <si>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</si>
  <si>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</si>
  <si>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</si>
  <si>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</si>
  <si>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</si>
  <si>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</si>
  <si>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</si>
  <si>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</si>
  <si>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</si>
  <si>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</si>
  <si>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</si>
  <si>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</si>
  <si>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</si>
  <si>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</si>
  <si>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</si>
  <si>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</si>
  <si>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</si>
  <si>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</si>
  <si>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</si>
  <si>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</si>
  <si>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</si>
  <si>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</si>
  <si>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</si>
  <si>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</si>
  <si>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</si>
  <si>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</si>
  <si>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</si>
  <si>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</si>
  <si>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</si>
  <si>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</si>
  <si>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</si>
  <si>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</si>
  <si>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</si>
  <si>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</si>
  <si>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</si>
  <si>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</si>
  <si>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</si>
  <si>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</si>
  <si>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</si>
  <si>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</si>
  <si>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</si>
  <si>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</si>
  <si>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</si>
  <si>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</si>
  <si>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</si>
  <si>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</si>
  <si>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</si>
  <si>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</si>
  <si>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</si>
  <si>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</si>
  <si>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</si>
  <si>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</si>
  <si>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</si>
  <si>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</si>
  <si>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</si>
  <si>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</si>
  <si>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</si>
  <si>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</si>
  <si>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</si>
  <si>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</si>
  <si>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</si>
  <si>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</si>
  <si>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</si>
  <si>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</si>
  <si>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</si>
  <si>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</si>
  <si>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</si>
  <si>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</si>
  <si>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</si>
  <si>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</si>
  <si>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</si>
  <si>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</si>
  <si>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</si>
  <si>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</si>
  <si>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</si>
  <si>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</si>
  <si>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</si>
  <si>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</si>
  <si>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</si>
  <si>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</si>
  <si>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</si>
  <si>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</si>
  <si>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</si>
  <si>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</si>
  <si>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</si>
  <si>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</si>
  <si>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</si>
  <si>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</si>
  <si>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</si>
  <si>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</si>
  <si>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</si>
  <si>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</si>
  <si>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</si>
  <si>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</si>
  <si>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</si>
  <si>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</si>
  <si>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</si>
  <si>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</si>
  <si>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</si>
  <si>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</si>
  <si>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</si>
  <si>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</si>
  <si>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</si>
  <si>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</si>
  <si>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</si>
  <si>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</si>
  <si>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</si>
  <si>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</si>
  <si>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</si>
  <si>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</si>
  <si>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</si>
  <si>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</si>
  <si>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</si>
  <si>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</si>
  <si>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</si>
  <si>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</si>
  <si>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</si>
  <si>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</si>
  <si>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</si>
  <si>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</si>
  <si>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</si>
  <si>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</si>
  <si>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</si>
  <si>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</si>
  <si>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</si>
  <si>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</si>
  <si>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</si>
  <si>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</si>
  <si>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</si>
  <si>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</si>
  <si>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</si>
  <si>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</si>
  <si>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</si>
  <si>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</si>
  <si>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</si>
  <si>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</si>
  <si>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</si>
  <si>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</si>
  <si>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</si>
  <si>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</si>
  <si>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</si>
  <si>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</si>
  <si>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</si>
  <si>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</si>
  <si>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</si>
  <si>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</si>
  <si>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</si>
  <si>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</si>
  <si>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</si>
  <si>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</si>
  <si>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</si>
  <si>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</si>
  <si>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</si>
  <si>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</si>
  <si>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</si>
  <si>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</si>
  <si>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</si>
  <si>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</si>
  <si>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</si>
  <si>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</si>
  <si>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</si>
  <si>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</si>
  <si>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</si>
  <si>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</si>
  <si>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</si>
  <si>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</si>
  <si>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</si>
  <si>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</si>
  <si>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</si>
  <si>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</si>
  <si>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</si>
  <si>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</si>
  <si>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</si>
  <si>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</si>
  <si>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</si>
  <si>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</si>
  <si>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</si>
  <si>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</si>
  <si>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</si>
  <si>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</si>
  <si>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</si>
  <si>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</si>
  <si>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</si>
  <si>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</si>
  <si>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</si>
  <si>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</si>
  <si>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</si>
  <si>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</si>
  <si>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</si>
  <si>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</si>
  <si>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</si>
  <si>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</si>
  <si>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</si>
  <si>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</si>
  <si>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</si>
  <si>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</si>
  <si>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</si>
  <si>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</si>
  <si>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</si>
  <si>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</si>
  <si>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</si>
  <si>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</si>
  <si>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</si>
  <si>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</si>
  <si>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</si>
  <si>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</si>
  <si>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</si>
  <si>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</si>
  <si>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</si>
  <si>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</si>
  <si>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</si>
  <si>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</si>
  <si>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</si>
  <si>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</si>
  <si>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</si>
  <si>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</si>
  <si>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</si>
  <si>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</si>
  <si>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</si>
  <si>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</si>
  <si>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</si>
  <si>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</si>
  <si>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</si>
  <si>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</si>
  <si>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</si>
  <si>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</si>
  <si>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</si>
  <si>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</si>
  <si>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</si>
  <si>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</si>
  <si>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</si>
  <si>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</si>
  <si>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</si>
  <si>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</si>
  <si>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</si>
  <si>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</si>
  <si>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</si>
  <si>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</si>
  <si>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</si>
  <si>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</si>
  <si>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</si>
  <si>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</si>
  <si>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</si>
  <si>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</si>
  <si>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</si>
  <si>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</si>
  <si>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</si>
  <si>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</si>
  <si>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</si>
  <si>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</si>
  <si>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</si>
  <si>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</si>
  <si>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</si>
  <si>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</si>
  <si>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</si>
  <si>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</si>
  <si>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</si>
  <si>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</si>
  <si>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</si>
  <si>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</si>
  <si>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</si>
  <si>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</si>
  <si>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</si>
  <si>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</si>
  <si>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</si>
  <si>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</si>
  <si>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</si>
  <si>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</si>
  <si>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</si>
  <si>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</si>
  <si>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</si>
  <si>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</si>
  <si>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</si>
  <si>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</si>
  <si>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</si>
  <si>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</si>
  <si>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</si>
  <si>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</si>
  <si>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</si>
  <si>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</si>
  <si>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</si>
  <si>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</si>
  <si>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</si>
  <si>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</si>
  <si>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</si>
  <si>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</si>
  <si>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</si>
  <si>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</si>
  <si>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</si>
  <si>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</si>
  <si>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</si>
  <si>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</si>
  <si>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</si>
  <si>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</si>
  <si>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</si>
  <si>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</si>
  <si>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</si>
  <si>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</si>
  <si>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</si>
  <si>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</si>
  <si>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</si>
  <si>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</si>
  <si>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</si>
  <si>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</si>
  <si>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</si>
  <si>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</si>
  <si>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</si>
  <si>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</si>
  <si>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</si>
  <si>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</si>
  <si>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</si>
  <si>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</si>
  <si>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</si>
  <si>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</si>
  <si>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</si>
  <si>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</si>
  <si>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</si>
  <si>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</si>
  <si>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</si>
  <si>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</si>
  <si>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</si>
  <si>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</si>
  <si>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</si>
  <si>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</si>
  <si>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</si>
  <si>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</si>
  <si>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</si>
  <si>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</si>
  <si>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</si>
  <si>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</si>
  <si>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</si>
  <si>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</si>
  <si>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</si>
  <si>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</si>
  <si>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</si>
  <si>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</si>
  <si>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</si>
  <si>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</si>
  <si>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</si>
  <si>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</si>
  <si>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</si>
  <si>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</si>
  <si>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</si>
  <si>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</si>
  <si>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</si>
  <si>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</si>
  <si>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</si>
  <si>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</si>
  <si>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</si>
  <si>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</si>
  <si>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</si>
  <si>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</si>
  <si>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</si>
  <si>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</si>
  <si>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</si>
  <si>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</si>
  <si>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</si>
  <si>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</si>
  <si>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</si>
  <si>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</si>
  <si>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</si>
  <si>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</si>
  <si>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</si>
  <si>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</si>
  <si>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</si>
  <si>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</si>
  <si>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</si>
  <si>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</si>
  <si>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</si>
  <si>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</si>
  <si>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</si>
  <si>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</si>
  <si>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</si>
  <si>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</si>
  <si>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</si>
  <si>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</si>
  <si>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</si>
  <si>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</si>
  <si>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</si>
  <si>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</si>
  <si>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</si>
  <si>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</si>
  <si>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</si>
  <si>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</si>
  <si>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</si>
  <si>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</si>
  <si>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</si>
  <si>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</si>
  <si>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</si>
  <si>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</si>
  <si>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</si>
  <si>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</si>
  <si>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</si>
  <si>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</si>
  <si>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</si>
  <si>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</si>
  <si>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</si>
  <si>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</si>
  <si>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</si>
  <si>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</si>
  <si>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</si>
  <si>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</si>
  <si>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</si>
  <si>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</si>
  <si>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</si>
  <si>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</si>
  <si>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</si>
  <si>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</si>
  <si>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</si>
  <si>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</si>
  <si>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</si>
  <si>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</si>
  <si>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</si>
  <si>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</si>
  <si>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</si>
  <si>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</si>
  <si>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</si>
  <si>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</si>
  <si>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</si>
  <si>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</si>
  <si>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</si>
  <si>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</si>
  <si>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</si>
  <si>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</si>
  <si>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</si>
  <si>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</si>
  <si>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</si>
  <si>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</si>
  <si>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</si>
  <si>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</si>
  <si>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</si>
  <si>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</si>
  <si>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</si>
  <si>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</si>
  <si>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</si>
  <si>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</si>
  <si>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</si>
  <si>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</si>
  <si>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</si>
  <si>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</si>
  <si>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</si>
  <si>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</si>
  <si>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</si>
  <si>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</si>
  <si>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</si>
  <si>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</si>
  <si>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</si>
  <si>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</si>
  <si>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</si>
  <si>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</si>
  <si>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</si>
  <si>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</si>
  <si>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</si>
  <si>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</si>
  <si>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</si>
  <si>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</si>
  <si>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</si>
  <si>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</si>
  <si>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</si>
  <si>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</si>
  <si>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</si>
  <si>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</si>
  <si>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</si>
  <si>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</si>
  <si>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</si>
  <si>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</si>
  <si>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</si>
  <si>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</si>
  <si>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</si>
  <si>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</si>
  <si>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</si>
  <si>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</si>
  <si>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</si>
  <si>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</si>
  <si>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</si>
  <si>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</si>
  <si>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</si>
  <si>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</si>
  <si>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</si>
  <si>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</si>
  <si>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</si>
  <si>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</si>
  <si>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</si>
  <si>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</si>
  <si>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</si>
  <si>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</si>
  <si>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</si>
  <si>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</si>
  <si>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</si>
  <si>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</si>
  <si>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</si>
  <si>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</si>
  <si>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</si>
  <si>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</si>
  <si>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</si>
  <si>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</si>
  <si>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</si>
  <si>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</si>
  <si>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</si>
  <si>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</si>
  <si>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</si>
  <si>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</si>
  <si>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</si>
  <si>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</si>
  <si>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</si>
  <si>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</si>
  <si>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</si>
  <si>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</si>
  <si>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</si>
  <si>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</si>
  <si>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</si>
  <si>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</si>
  <si>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</si>
  <si>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</si>
  <si>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</si>
  <si>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</si>
  <si>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</si>
  <si>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</si>
  <si>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</si>
  <si>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</si>
  <si>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</si>
  <si>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</si>
  <si>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</si>
  <si>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</si>
  <si>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</si>
  <si>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</si>
  <si>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</si>
  <si>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</si>
  <si>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</si>
  <si>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</si>
  <si>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</si>
  <si>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</si>
  <si>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</si>
  <si>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</si>
  <si>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</si>
  <si>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</si>
  <si>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</si>
  <si>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</si>
  <si>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</si>
  <si>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</si>
  <si>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</si>
  <si>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</si>
  <si>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</si>
  <si>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</si>
  <si>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</si>
  <si>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</si>
  <si>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</si>
  <si>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</si>
  <si>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</si>
  <si>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</si>
  <si>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</si>
  <si>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</si>
  <si>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</si>
  <si>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</si>
  <si>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</si>
  <si>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</si>
  <si>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</si>
  <si>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</si>
  <si>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</si>
  <si>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</si>
  <si>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</si>
  <si>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</si>
  <si>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</si>
  <si>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</si>
  <si>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</si>
  <si>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</si>
  <si>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</si>
  <si>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</si>
  <si>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</si>
  <si>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</si>
  <si>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</si>
  <si>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</si>
  <si>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</si>
  <si>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</si>
  <si>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</si>
  <si>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</si>
  <si>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</si>
  <si>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</si>
  <si>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</si>
  <si>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</si>
  <si>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</si>
  <si>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</si>
  <si>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</si>
  <si>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</si>
  <si>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</si>
  <si>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</si>
  <si>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</si>
  <si>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</si>
  <si>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</si>
  <si>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</si>
  <si>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</si>
  <si>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</si>
  <si>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</si>
  <si>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</si>
  <si>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</si>
  <si>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</si>
  <si>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</si>
  <si>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</si>
  <si>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</si>
  <si>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</si>
  <si>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</si>
  <si>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</si>
  <si>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</si>
  <si>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</si>
  <si>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</si>
  <si>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</si>
  <si>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</si>
  <si>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</si>
  <si>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</si>
  <si>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</si>
  <si>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</si>
  <si>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</si>
  <si>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</si>
  <si>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</si>
  <si>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</si>
  <si>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</si>
  <si>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</si>
  <si>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</si>
  <si>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</si>
  <si>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</si>
  <si>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</si>
  <si>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</si>
  <si>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</si>
  <si>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</si>
  <si>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</si>
  <si>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</si>
  <si>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</si>
  <si>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</si>
  <si>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</si>
  <si>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</si>
  <si>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</si>
  <si>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</si>
  <si>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</si>
  <si>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</si>
  <si>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</si>
  <si>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</si>
  <si>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</si>
  <si>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</si>
  <si>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</si>
  <si>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</si>
  <si>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</si>
  <si>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</si>
  <si>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</si>
  <si>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</si>
  <si>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</si>
  <si>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</si>
  <si>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</si>
  <si>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</si>
  <si>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</si>
  <si>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</si>
  <si>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</si>
  <si>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</si>
  <si>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</si>
  <si>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</si>
  <si>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</si>
  <si>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</si>
  <si>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</si>
  <si>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</si>
  <si>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</si>
  <si>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</si>
  <si>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</si>
  <si>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</si>
  <si>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</si>
  <si>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</si>
  <si>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</si>
  <si>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</si>
  <si>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</si>
  <si>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</si>
  <si>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</si>
  <si>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</si>
  <si>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</si>
  <si>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</si>
  <si>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</si>
  <si>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</si>
  <si>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</si>
  <si>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</si>
  <si>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</si>
  <si>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</si>
  <si>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</si>
  <si>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</si>
  <si>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</si>
  <si>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</si>
  <si>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</si>
  <si>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</si>
  <si>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</si>
  <si>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</si>
  <si>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</si>
  <si>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</si>
  <si>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</si>
  <si>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</si>
  <si>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</si>
  <si>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</si>
  <si>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</si>
  <si>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</si>
  <si>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</si>
  <si>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</si>
  <si>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</si>
  <si>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</si>
  <si>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</si>
  <si>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</si>
  <si>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</si>
  <si>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</si>
  <si>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</si>
  <si>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</si>
  <si>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</si>
  <si>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</si>
  <si>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</si>
  <si>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</si>
  <si>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</si>
  <si>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</si>
  <si>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</si>
  <si>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</si>
  <si>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</si>
  <si>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</si>
  <si>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</si>
  <si>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</si>
  <si>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</si>
  <si>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</si>
  <si>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</si>
  <si>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</si>
  <si>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</si>
  <si>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</si>
  <si>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</si>
  <si>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</si>
  <si>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</si>
  <si>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</si>
  <si>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</si>
  <si>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</si>
  <si>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</si>
  <si>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</si>
  <si>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</si>
  <si>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</si>
  <si>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</si>
  <si>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</si>
  <si>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</si>
  <si>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</si>
  <si>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</si>
  <si>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</si>
  <si>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</si>
  <si>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</si>
  <si>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</si>
  <si>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</si>
  <si>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</si>
  <si>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</si>
  <si>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</si>
  <si>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</si>
  <si>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</si>
  <si>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</si>
  <si>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</si>
  <si>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</si>
  <si>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</si>
  <si>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</si>
  <si>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</si>
  <si>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</si>
  <si>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</si>
  <si>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</si>
  <si>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</si>
  <si>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</si>
  <si>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</si>
  <si>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</si>
  <si>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</si>
  <si>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</si>
  <si>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</si>
  <si>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</si>
  <si>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</si>
  <si>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</si>
  <si>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</si>
  <si>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</si>
  <si>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</si>
  <si>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</si>
  <si>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</si>
  <si>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</si>
  <si>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</si>
  <si>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</si>
  <si>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</si>
  <si>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</si>
  <si>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</si>
  <si>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</si>
  <si>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</si>
  <si>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</si>
  <si>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</si>
  <si>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</si>
  <si>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</si>
  <si>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</si>
  <si>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</si>
  <si>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</si>
  <si>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</si>
  <si>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</si>
  <si>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</si>
  <si>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</si>
  <si>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</si>
  <si>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</si>
  <si>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</si>
  <si>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</si>
  <si>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</si>
  <si>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</si>
  <si>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</si>
  <si>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</si>
  <si>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</si>
  <si>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</si>
  <si>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</si>
  <si>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</si>
  <si>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</si>
  <si>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</si>
  <si>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</si>
  <si>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</si>
  <si>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</si>
  <si>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</si>
  <si>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</si>
  <si>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</si>
  <si>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</si>
  <si>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</si>
  <si>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</si>
  <si>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</si>
  <si>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</si>
  <si>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</si>
  <si>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</si>
  <si>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</si>
  <si>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</si>
  <si>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</si>
  <si>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</si>
  <si>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</si>
  <si>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</si>
  <si>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</si>
  <si>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</si>
  <si>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</si>
  <si>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</si>
  <si>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</si>
  <si>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</si>
  <si>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</si>
  <si>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</si>
  <si>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</si>
  <si>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</si>
  <si>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</si>
  <si>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</si>
  <si>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</si>
  <si>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</si>
  <si>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</si>
  <si>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</si>
  <si>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</si>
  <si>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</si>
  <si>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</si>
  <si>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</si>
  <si>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</si>
  <si>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</si>
  <si>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</si>
  <si>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</si>
  <si>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</si>
  <si>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</si>
  <si>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</si>
  <si>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</si>
  <si>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</si>
  <si>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</si>
  <si>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</si>
  <si>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</si>
  <si>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</si>
  <si>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</si>
  <si>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</si>
  <si>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</si>
  <si>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</si>
  <si>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</si>
  <si>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</si>
  <si>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</si>
  <si>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</si>
  <si>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</si>
  <si>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</si>
  <si>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</si>
  <si>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</si>
  <si>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</si>
  <si>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</si>
  <si>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</si>
  <si>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</si>
  <si>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</si>
  <si>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</si>
  <si>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</si>
  <si>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</si>
  <si>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</si>
  <si>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</si>
  <si>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</si>
  <si>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</si>
  <si>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</si>
  <si>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</si>
  <si>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</si>
  <si>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</si>
  <si>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</si>
  <si>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</si>
  <si>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</si>
  <si>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</si>
  <si>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</si>
  <si>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</si>
  <si>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</si>
  <si>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</si>
  <si>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</si>
  <si>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</si>
  <si>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</si>
  <si>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</si>
  <si>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</si>
  <si>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</si>
  <si>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</si>
  <si>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</si>
  <si>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</si>
  <si>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</si>
  <si>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</si>
  <si>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</si>
  <si>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</si>
  <si>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</si>
  <si>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</si>
  <si>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</si>
  <si>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</si>
  <si>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</si>
  <si>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</si>
  <si>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</si>
  <si>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</si>
  <si>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</si>
  <si>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</si>
  <si>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</si>
  <si>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</si>
  <si>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</si>
  <si>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</si>
  <si>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</si>
  <si>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</si>
  <si>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</si>
  <si>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</si>
  <si>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</si>
  <si>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</si>
  <si>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</si>
  <si>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</si>
  <si>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</si>
  <si>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</si>
  <si>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</si>
  <si>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</si>
  <si>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</si>
  <si>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</si>
  <si>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</si>
  <si>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</si>
  <si>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</si>
  <si>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</si>
  <si>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</si>
  <si>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</si>
  <si>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</si>
  <si>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</si>
  <si>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</si>
  <si>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</si>
  <si>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</si>
  <si>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</si>
  <si>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</si>
  <si>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</si>
  <si>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</si>
  <si>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</si>
  <si>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</si>
  <si>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</si>
  <si>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</si>
  <si>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</si>
  <si>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</si>
  <si>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</si>
  <si>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</si>
  <si>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</si>
  <si>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</si>
  <si>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</si>
  <si>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</si>
  <si>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</si>
  <si>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</si>
  <si>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</si>
  <si>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</si>
  <si>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</si>
  <si>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</si>
  <si>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</si>
  <si>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</si>
  <si>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</si>
  <si>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</si>
  <si>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</si>
  <si>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</si>
  <si>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</si>
  <si>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</si>
  <si>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</si>
  <si>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</si>
  <si>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</si>
  <si>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</si>
  <si>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</si>
  <si>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</si>
  <si>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</si>
  <si>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</si>
  <si>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</si>
  <si>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</si>
  <si>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</si>
  <si>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</si>
  <si>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</si>
  <si>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</si>
  <si>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</si>
  <si>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</si>
  <si>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</si>
  <si>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</si>
  <si>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</si>
  <si>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</si>
  <si>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</si>
  <si>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</si>
  <si>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</si>
  <si>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</si>
  <si>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</si>
  <si>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</si>
  <si>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</si>
  <si>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</si>
  <si>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</si>
  <si>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</si>
  <si>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</si>
  <si>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</si>
  <si>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</si>
  <si>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</si>
  <si>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</si>
  <si>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</si>
  <si>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</si>
  <si>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</si>
  <si>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</si>
  <si>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</si>
  <si>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</si>
  <si>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</si>
  <si>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</si>
  <si>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</si>
  <si>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</si>
  <si>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</si>
  <si>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</si>
  <si>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</si>
  <si>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</si>
  <si>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</si>
  <si>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</si>
  <si>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</si>
  <si>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</si>
  <si>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</si>
  <si>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</si>
  <si>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</si>
  <si>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</si>
  <si>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</si>
  <si>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</si>
  <si>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</si>
  <si>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</si>
  <si>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</si>
  <si>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</si>
  <si>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</si>
  <si>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</si>
  <si>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</si>
  <si>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</si>
  <si>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</si>
  <si>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</si>
  <si>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</si>
  <si>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</si>
  <si>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</si>
  <si>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</si>
  <si>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</si>
  <si>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</si>
  <si>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</si>
  <si>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</si>
  <si>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</si>
  <si>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</si>
  <si>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</si>
  <si>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</si>
  <si>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</si>
  <si>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</si>
  <si>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</si>
  <si>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</si>
  <si>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</si>
  <si>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</si>
  <si>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</si>
  <si>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</si>
  <si>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</si>
  <si>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</si>
  <si>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</si>
  <si>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</si>
  <si>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</si>
  <si>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</si>
  <si>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</si>
  <si>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</si>
  <si>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</si>
  <si>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</si>
  <si>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</si>
  <si>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</si>
  <si>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</si>
  <si>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</si>
  <si>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</si>
  <si>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</si>
  <si>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</si>
  <si>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</si>
  <si>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</si>
  <si>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</si>
  <si>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</si>
  <si>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</si>
  <si>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</si>
  <si>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</si>
  <si>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</si>
  <si>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</si>
  <si>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</si>
  <si>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</si>
  <si>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</si>
  <si>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</si>
  <si>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</si>
  <si>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</si>
  <si>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</si>
  <si>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</si>
  <si>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</si>
  <si>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</si>
  <si>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</si>
  <si>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</si>
  <si>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</si>
  <si>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</si>
  <si>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</si>
  <si>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</si>
  <si>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</si>
  <si>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</si>
  <si>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</si>
  <si>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</si>
  <si>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</si>
  <si>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</si>
  <si>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</si>
  <si>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</si>
  <si>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</si>
  <si>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</si>
  <si>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</si>
  <si>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</si>
  <si>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</si>
  <si>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</si>
  <si>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</si>
  <si>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</si>
  <si>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</si>
  <si>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</si>
  <si>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</si>
  <si>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</si>
  <si>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</si>
  <si>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</si>
  <si>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</si>
  <si>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</si>
  <si>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</si>
  <si>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</si>
  <si>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</si>
  <si>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</si>
  <si>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</si>
  <si>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</si>
  <si>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</si>
  <si>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</si>
  <si>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</si>
  <si>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</si>
  <si>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</si>
  <si>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</si>
  <si>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</si>
  <si>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</si>
  <si>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</si>
  <si>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</si>
  <si>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</si>
  <si>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</si>
  <si>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</si>
  <si>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</si>
  <si>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</si>
  <si>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</si>
  <si>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</si>
  <si>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</si>
  <si>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</si>
  <si>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</si>
  <si>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</si>
  <si>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</si>
  <si>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</si>
  <si>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</si>
  <si>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</si>
  <si>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</si>
  <si>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</si>
  <si>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</si>
  <si>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</si>
  <si>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</si>
  <si>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</si>
  <si>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</si>
  <si>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</si>
  <si>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</si>
  <si>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</si>
  <si>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</si>
  <si>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</si>
  <si>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</si>
  <si>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</si>
  <si>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</si>
  <si>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</si>
  <si>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</si>
  <si>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</si>
  <si>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</si>
  <si>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</si>
  <si>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</si>
  <si>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</si>
  <si>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</si>
  <si>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</si>
  <si>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</si>
  <si>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</si>
  <si>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</si>
  <si>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</si>
  <si>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</si>
  <si>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</si>
  <si>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</si>
  <si>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</si>
  <si>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</si>
  <si>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</si>
  <si>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</si>
  <si>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</si>
  <si>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</si>
  <si>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</si>
  <si>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</si>
  <si>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</si>
  <si>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</si>
  <si>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</si>
  <si>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</si>
  <si>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</si>
  <si>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</si>
  <si>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</si>
  <si>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</si>
  <si>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</si>
  <si>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</si>
  <si>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</si>
  <si>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</si>
  <si>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</si>
  <si>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</si>
  <si>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</si>
  <si>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</si>
  <si>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</si>
  <si>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</si>
  <si>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</si>
  <si>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</si>
  <si>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</si>
  <si>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</si>
  <si>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</si>
  <si>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</si>
  <si>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</si>
  <si>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</si>
  <si>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</si>
  <si>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</si>
  <si>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</si>
  <si>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</si>
  <si>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</si>
  <si>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</si>
  <si>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</si>
  <si>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</si>
  <si>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</si>
  <si>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</si>
  <si>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</si>
  <si>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</si>
  <si>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</si>
  <si>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</si>
  <si>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</si>
  <si>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</si>
  <si>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</si>
  <si>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</si>
  <si>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</si>
  <si>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</si>
  <si>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</si>
  <si>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</si>
  <si>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</si>
  <si>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</si>
  <si>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</si>
  <si>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</si>
  <si>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</si>
  <si>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</si>
  <si>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</si>
  <si>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</si>
  <si>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</si>
  <si>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</si>
  <si>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</si>
  <si>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</si>
  <si>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</si>
  <si>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</si>
  <si>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</si>
  <si>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</si>
  <si>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</si>
  <si>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</si>
  <si>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</si>
  <si>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</si>
  <si>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</si>
  <si>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</si>
  <si>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</si>
  <si>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</si>
  <si>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</si>
  <si>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</si>
  <si>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</si>
  <si>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</si>
  <si>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</si>
  <si>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</si>
  <si>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</si>
  <si>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</si>
  <si>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</si>
  <si>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</si>
  <si>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</si>
  <si>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</si>
  <si>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</si>
  <si>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</si>
  <si>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</si>
  <si>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</si>
  <si>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</si>
  <si>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</si>
  <si>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</si>
  <si>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</si>
  <si>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</si>
  <si>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</si>
  <si>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</si>
  <si>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</si>
  <si>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</si>
  <si>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</si>
  <si>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</si>
  <si>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</si>
  <si>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</si>
  <si>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</si>
  <si>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</si>
  <si>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</si>
  <si>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</si>
  <si>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</si>
  <si>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</si>
  <si>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</si>
  <si>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</si>
  <si>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</si>
  <si>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</si>
  <si>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</si>
  <si>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</si>
  <si>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</si>
  <si>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</si>
  <si>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</si>
  <si>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</si>
  <si>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</si>
  <si>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</si>
  <si>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</si>
  <si>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</si>
  <si>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</si>
  <si>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</si>
  <si>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</si>
  <si>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</si>
  <si>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</si>
  <si>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</si>
  <si>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</si>
  <si>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</si>
  <si>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</si>
  <si>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</si>
  <si>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</si>
  <si>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</si>
  <si>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</si>
  <si>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</si>
  <si>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</si>
  <si>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</si>
  <si>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</si>
  <si>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</si>
  <si>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</si>
  <si>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</si>
  <si>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</si>
  <si>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</si>
  <si>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</si>
  <si>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</si>
  <si>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</si>
  <si>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</si>
  <si>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</si>
  <si>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</si>
  <si>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</si>
  <si>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</si>
  <si>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</si>
  <si>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</si>
  <si>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</si>
  <si>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</si>
  <si>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</si>
  <si>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</si>
  <si>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</si>
  <si>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</si>
  <si>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</si>
  <si>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</si>
  <si>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</si>
  <si>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</si>
  <si>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</si>
  <si>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</si>
  <si>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</si>
  <si>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</si>
  <si>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</si>
  <si>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</si>
  <si>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</si>
  <si>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</si>
  <si>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</si>
  <si>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</si>
  <si>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</si>
  <si>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</si>
  <si>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</si>
  <si>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</si>
  <si>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</si>
  <si>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</si>
  <si>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</si>
  <si>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</si>
  <si>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</si>
  <si>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</si>
  <si>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</si>
  <si>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</si>
  <si>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</si>
  <si>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</si>
  <si>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</si>
  <si>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</si>
  <si>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</si>
  <si>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</si>
  <si>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</si>
  <si>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</si>
  <si>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</si>
  <si>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</si>
  <si>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</si>
  <si>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</si>
  <si>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</si>
  <si>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</si>
  <si>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</si>
  <si>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</si>
  <si>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</si>
  <si>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</si>
  <si>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</si>
  <si>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</si>
  <si>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</si>
  <si>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</si>
  <si>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</si>
  <si>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</si>
  <si>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</si>
  <si>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</si>
  <si>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</si>
  <si>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</si>
  <si>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</si>
  <si>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</si>
  <si>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</si>
  <si>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</si>
  <si>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</si>
  <si>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</si>
  <si>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</si>
  <si>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</si>
  <si>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</si>
  <si>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</si>
  <si>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</si>
  <si>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</si>
  <si>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</si>
  <si>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</si>
  <si>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</si>
  <si>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</si>
  <si>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</si>
  <si>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</si>
  <si>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</si>
  <si>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</si>
  <si>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</si>
  <si>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</si>
  <si>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</si>
  <si>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</si>
  <si>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</si>
  <si>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</si>
  <si>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</si>
  <si>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</si>
  <si>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</si>
  <si>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</si>
  <si>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</si>
  <si>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</si>
  <si>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</si>
  <si>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</si>
  <si>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</si>
  <si>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</si>
  <si>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</si>
  <si>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</si>
  <si>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</si>
  <si>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</si>
  <si>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</si>
  <si>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</si>
  <si>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</si>
  <si>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</si>
  <si>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</si>
  <si>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</si>
  <si>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</si>
  <si>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</si>
  <si>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</si>
  <si>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</si>
  <si>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</si>
  <si>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</si>
  <si>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</si>
  <si>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</si>
  <si>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</si>
  <si>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</si>
  <si>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</si>
  <si>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</si>
  <si>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</si>
  <si>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</si>
  <si>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</si>
  <si>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</si>
  <si>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</si>
  <si>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</si>
  <si>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</si>
  <si>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</si>
  <si>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</si>
  <si>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</si>
  <si>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</si>
  <si>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</si>
  <si>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</si>
  <si>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</si>
  <si>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</si>
  <si>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</si>
  <si>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</si>
  <si>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</si>
  <si>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</si>
  <si>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</si>
  <si>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</si>
  <si>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</si>
  <si>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</si>
  <si>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</si>
  <si>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</si>
  <si>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</si>
  <si>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</si>
  <si>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</si>
  <si>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</si>
  <si>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</si>
  <si>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</si>
  <si>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</si>
  <si>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</si>
  <si>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</si>
  <si>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</si>
  <si>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</si>
  <si>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</si>
  <si>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</si>
  <si>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</si>
  <si>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</si>
  <si>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</si>
  <si>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</si>
  <si>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</si>
  <si>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</si>
  <si>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</si>
  <si>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</si>
  <si>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</si>
  <si>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</si>
  <si>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</si>
  <si>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</si>
  <si>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</si>
  <si>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</si>
  <si>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</si>
  <si>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</si>
  <si>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</si>
  <si>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</si>
  <si>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</si>
  <si>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</si>
  <si>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</si>
  <si>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</si>
  <si>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</si>
  <si>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</si>
  <si>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</si>
  <si>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</si>
  <si>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</si>
  <si>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</si>
  <si>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</si>
  <si>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</si>
  <si>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</si>
  <si>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</si>
  <si>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</si>
  <si>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</si>
  <si>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</si>
  <si>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</si>
  <si>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</si>
  <si>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</si>
  <si>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</si>
  <si>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</si>
  <si>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</si>
  <si>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</si>
  <si>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</si>
  <si>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</si>
  <si>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</si>
  <si>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</si>
  <si>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</si>
  <si>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</si>
  <si>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</si>
  <si>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</si>
  <si>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</si>
  <si>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</si>
  <si>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</si>
  <si>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</si>
  <si>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</si>
  <si>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</si>
  <si>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</si>
  <si>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</si>
  <si>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</si>
  <si>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</si>
  <si>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</si>
  <si>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</si>
  <si>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</si>
  <si>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</si>
  <si>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</si>
  <si>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</si>
  <si>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</si>
  <si>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</si>
  <si>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</si>
  <si>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</si>
  <si>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</si>
  <si>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</si>
  <si>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</si>
  <si>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</si>
  <si>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</si>
  <si>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</si>
  <si>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</si>
  <si>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</si>
  <si>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</si>
  <si>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</si>
  <si>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</si>
  <si>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</si>
  <si>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</si>
  <si>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</si>
  <si>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</si>
  <si>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</si>
  <si>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</si>
  <si>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</si>
  <si>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</si>
  <si>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</si>
  <si>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</si>
  <si>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</si>
  <si>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</si>
  <si>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</si>
  <si>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</si>
  <si>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</si>
  <si>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</si>
  <si>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</si>
  <si>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</si>
  <si>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</si>
  <si>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</si>
  <si>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</si>
  <si>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</si>
  <si>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</si>
  <si>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</si>
  <si>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</si>
  <si>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</si>
  <si>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</si>
  <si>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</si>
  <si>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</si>
  <si>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</si>
  <si>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</si>
  <si>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</si>
  <si>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</si>
  <si>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</si>
  <si>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</si>
  <si>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</si>
  <si>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</si>
  <si>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</si>
  <si>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</si>
  <si>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</si>
  <si>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</si>
  <si>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</si>
  <si>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</si>
  <si>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</si>
  <si>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</si>
  <si>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</si>
  <si>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</si>
  <si>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</si>
  <si>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</si>
  <si>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</si>
  <si>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</si>
  <si>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</si>
  <si>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</si>
  <si>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</si>
  <si>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</si>
  <si>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</si>
  <si>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</si>
  <si>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</si>
  <si>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</si>
  <si>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</si>
  <si>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</si>
  <si>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</si>
  <si>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</si>
  <si>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</si>
  <si>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</si>
  <si>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</si>
  <si>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</si>
  <si>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</si>
  <si>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</si>
  <si>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</si>
  <si>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</si>
  <si>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</si>
  <si>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</si>
  <si>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</si>
  <si>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</si>
  <si>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</si>
  <si>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</si>
  <si>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</si>
  <si>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</si>
  <si>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</si>
  <si>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</si>
  <si>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</si>
  <si>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</si>
  <si>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</si>
  <si>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</si>
  <si>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</si>
  <si>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</si>
  <si>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</si>
  <si>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</si>
  <si>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</si>
  <si>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</si>
  <si>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</si>
  <si>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</si>
  <si>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</si>
  <si>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</si>
  <si>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</si>
  <si>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</si>
  <si>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</si>
  <si>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</si>
  <si>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</si>
  <si>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</si>
  <si>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</si>
  <si>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</si>
  <si>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</si>
  <si>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</si>
  <si>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</si>
  <si>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</si>
  <si>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</si>
  <si>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</si>
  <si>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</si>
  <si>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</si>
  <si>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</si>
  <si>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</si>
  <si>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</si>
  <si>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</si>
  <si>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</si>
  <si>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</si>
  <si>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</si>
  <si>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</si>
  <si>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</si>
  <si>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</si>
  <si>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</si>
  <si>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</si>
  <si>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</si>
  <si>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</si>
  <si>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</si>
  <si>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</si>
  <si>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</si>
  <si>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</si>
  <si>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</si>
  <si>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</si>
  <si>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</si>
  <si>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</si>
  <si>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</si>
  <si>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</si>
  <si>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</si>
  <si>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</si>
  <si>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</si>
  <si>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</si>
  <si>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</si>
  <si>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</si>
  <si>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</si>
  <si>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</si>
  <si>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</si>
  <si>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</si>
  <si>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</si>
  <si>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</si>
  <si>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</si>
  <si>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</si>
  <si>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</si>
  <si>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</si>
  <si>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</si>
  <si>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</si>
  <si>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</si>
  <si>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</si>
  <si>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</si>
  <si>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</si>
  <si>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</si>
  <si>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</si>
  <si>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</si>
  <si>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</si>
  <si>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</si>
  <si>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</si>
  <si>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</si>
  <si>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</si>
  <si>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</si>
  <si>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</si>
  <si>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</si>
  <si>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</si>
  <si>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</si>
  <si>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</si>
  <si>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</si>
  <si>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</si>
  <si>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</si>
  <si>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</si>
  <si>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</si>
  <si>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</si>
  <si>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</si>
  <si>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</si>
  <si>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</si>
  <si>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</si>
  <si>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</si>
  <si>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</si>
  <si>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</si>
  <si>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</si>
  <si>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</si>
  <si>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</si>
  <si>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</si>
  <si>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</si>
  <si>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</si>
  <si>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</si>
  <si>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</si>
  <si>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</si>
  <si>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</si>
  <si>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</si>
  <si>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</si>
  <si>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</si>
  <si>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</si>
  <si>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</si>
  <si>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</si>
  <si>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</si>
  <si>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</si>
  <si>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</si>
  <si>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</si>
  <si>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</si>
  <si>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</si>
  <si>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</si>
  <si>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</si>
  <si>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</si>
  <si>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</si>
  <si>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</si>
  <si>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</si>
  <si>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</si>
  <si>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</si>
  <si>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</si>
  <si>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</si>
  <si>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</si>
  <si>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</si>
  <si>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</si>
  <si>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</si>
  <si>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</si>
  <si>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</si>
  <si>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</si>
  <si>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</si>
  <si>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</si>
  <si>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</si>
  <si>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</si>
  <si>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</si>
  <si>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</si>
  <si>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</si>
  <si>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</si>
  <si>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</si>
  <si>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</si>
  <si>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</si>
  <si>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</si>
  <si>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</si>
  <si>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</si>
  <si>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</si>
  <si>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</si>
  <si>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</si>
  <si>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</si>
  <si>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</si>
  <si>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</si>
  <si>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</si>
  <si>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</si>
  <si>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</si>
  <si>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</si>
  <si>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</si>
  <si>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</si>
  <si>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</si>
  <si>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</si>
  <si>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</si>
  <si>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</si>
  <si>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</si>
  <si>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</si>
  <si>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</si>
  <si>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</si>
  <si>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</si>
  <si>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</si>
  <si>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</si>
  <si>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</si>
  <si>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</si>
  <si>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</si>
  <si>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</si>
  <si>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</si>
  <si>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</si>
  <si>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</si>
  <si>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</si>
  <si>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</si>
  <si>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</si>
  <si>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</si>
  <si>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</si>
  <si>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</si>
  <si>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</si>
  <si>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</si>
  <si>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</si>
  <si>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</si>
  <si>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</si>
  <si>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</si>
  <si>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</si>
  <si>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</si>
  <si>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</si>
  <si>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</si>
  <si>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</si>
  <si>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</si>
  <si>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</si>
  <si>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</si>
  <si>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</si>
  <si>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</si>
  <si>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</si>
  <si>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</si>
  <si>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</si>
  <si>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</si>
  <si>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</si>
  <si>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</si>
  <si>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</si>
  <si>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</si>
  <si>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</si>
  <si>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</si>
  <si>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</si>
  <si>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</si>
  <si>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</si>
  <si>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</si>
  <si>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</si>
  <si>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</si>
  <si>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</si>
  <si>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</si>
  <si>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</si>
  <si>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</si>
  <si>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</si>
  <si>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</si>
  <si>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</si>
  <si>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</si>
  <si>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</si>
  <si>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</si>
  <si>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</si>
  <si>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</si>
  <si>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</si>
  <si>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</si>
  <si>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</si>
  <si>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</si>
  <si>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</si>
  <si>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</si>
  <si>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</si>
  <si>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</si>
  <si>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</si>
  <si>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</si>
  <si>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</si>
  <si>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</si>
  <si>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</si>
  <si>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</si>
  <si>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</si>
  <si>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</si>
  <si>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</si>
  <si>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</si>
  <si>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</si>
  <si>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</si>
  <si>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</si>
  <si>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</si>
  <si>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</si>
  <si>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</si>
  <si>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</si>
  <si>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</si>
  <si>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</si>
  <si>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</si>
  <si>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</si>
  <si>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</si>
  <si>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</si>
  <si>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</si>
  <si>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</si>
  <si>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</si>
  <si>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</si>
  <si>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</si>
  <si>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</si>
  <si>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</si>
  <si>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</si>
  <si>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</si>
  <si>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</si>
  <si>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</si>
  <si>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</si>
  <si>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</si>
  <si>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</si>
  <si>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</si>
  <si>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</si>
  <si>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</si>
  <si>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</si>
  <si>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</si>
  <si>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</si>
  <si>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</si>
  <si>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</si>
  <si>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</si>
  <si>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</si>
  <si>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</si>
  <si>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</si>
  <si>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</si>
  <si>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</si>
  <si>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</si>
  <si>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</si>
  <si>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</si>
  <si>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</si>
  <si>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</si>
  <si>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</si>
  <si>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</si>
  <si>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</si>
  <si>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</si>
  <si>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</si>
  <si>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</si>
  <si>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</si>
  <si>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</si>
  <si>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</si>
  <si>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</si>
  <si>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</si>
  <si>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</si>
  <si>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</si>
  <si>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</si>
  <si>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</si>
  <si>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</si>
  <si>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</si>
  <si>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</si>
  <si>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</si>
  <si>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</si>
  <si>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</si>
  <si>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</si>
  <si>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</si>
  <si>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</si>
  <si>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</si>
  <si>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</si>
  <si>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</si>
  <si>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</si>
  <si>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</si>
  <si>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</si>
  <si>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</si>
  <si>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</si>
  <si>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</si>
  <si>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</si>
  <si>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</si>
  <si>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</si>
  <si>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</si>
  <si>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</si>
  <si>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</si>
  <si>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</si>
  <si>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</si>
  <si>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</si>
  <si>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</si>
  <si>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</si>
  <si>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</si>
  <si>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</si>
  <si>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</si>
  <si>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</si>
  <si>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</si>
  <si>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</si>
  <si>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</si>
  <si>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</si>
  <si>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</si>
  <si>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</si>
  <si>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</si>
  <si>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</si>
  <si>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</si>
  <si>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</si>
  <si>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</si>
  <si>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</si>
  <si>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</si>
  <si>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</si>
  <si>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</si>
  <si>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</si>
  <si>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</si>
  <si>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</si>
  <si>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</si>
  <si>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</si>
  <si>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</si>
  <si>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</si>
  <si>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</si>
  <si>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</si>
  <si>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</si>
  <si>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</si>
  <si>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</si>
  <si>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</si>
  <si>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</si>
  <si>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</si>
  <si>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</si>
  <si>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</si>
  <si>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</si>
  <si>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</si>
  <si>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</si>
  <si>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</si>
  <si>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</si>
  <si>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</si>
  <si>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</si>
  <si>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</si>
  <si>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</si>
  <si>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</si>
  <si>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</si>
  <si>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</si>
  <si>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</si>
  <si>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</si>
  <si>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</si>
  <si>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</si>
  <si>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</si>
  <si>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</si>
  <si>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</si>
  <si>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</si>
  <si>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</si>
  <si>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</si>
  <si>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</si>
  <si>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</si>
  <si>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</si>
  <si>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</si>
  <si>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</si>
  <si>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</si>
  <si>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</si>
  <si>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</si>
  <si>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</si>
  <si>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</si>
  <si>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</si>
  <si>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</si>
  <si>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</si>
  <si>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</si>
  <si>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</si>
  <si>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</si>
  <si>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</si>
  <si>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</si>
  <si>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</si>
  <si>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</si>
  <si>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</si>
  <si>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</si>
  <si>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</si>
  <si>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</si>
  <si>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</si>
  <si>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</si>
  <si>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</si>
  <si>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</si>
  <si>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</si>
  <si>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</si>
  <si>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</si>
  <si>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</si>
  <si>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</si>
  <si>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</si>
  <si>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</si>
  <si>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</si>
  <si>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</si>
  <si>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</si>
  <si>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</si>
  <si>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</si>
  <si>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</si>
  <si>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</si>
  <si>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</si>
  <si>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</si>
  <si>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</si>
  <si>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</si>
  <si>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</si>
  <si>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</si>
  <si>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</si>
  <si>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</si>
  <si>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</si>
  <si>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</si>
  <si>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</si>
  <si>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</si>
  <si>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</si>
  <si>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</si>
  <si>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</si>
  <si>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</si>
  <si>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</si>
  <si>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</si>
  <si>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</si>
  <si>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</si>
  <si>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</si>
  <si>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</si>
  <si>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</si>
  <si>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</si>
  <si>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</si>
  <si>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</si>
  <si>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</si>
  <si>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</si>
  <si>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</si>
  <si>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</si>
  <si>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</si>
  <si>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</si>
  <si>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</si>
  <si>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</si>
  <si>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</si>
  <si>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</si>
  <si>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</si>
  <si>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</si>
  <si>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</si>
  <si>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</si>
  <si>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</si>
  <si>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</si>
  <si>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</si>
  <si>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</si>
  <si>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</si>
  <si>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</si>
  <si>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</si>
  <si>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</si>
  <si>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</si>
  <si>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</si>
  <si>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</si>
  <si>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</si>
  <si>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</si>
  <si>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</si>
  <si>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</si>
  <si>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</si>
  <si>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</si>
  <si>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</si>
  <si>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</si>
  <si>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</si>
  <si>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</si>
  <si>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</si>
  <si>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</si>
  <si>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</si>
  <si>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</si>
  <si>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</si>
  <si>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</si>
  <si>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</si>
  <si>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</si>
  <si>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</si>
  <si>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</si>
  <si>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</si>
  <si>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</si>
  <si>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</si>
  <si>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</si>
  <si>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</si>
  <si>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</si>
  <si>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</si>
  <si>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</si>
  <si>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</si>
  <si>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</si>
  <si>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</si>
  <si>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</si>
  <si>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</si>
  <si>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</si>
  <si>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</si>
  <si>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</si>
  <si>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</si>
  <si>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</si>
  <si>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</si>
  <si>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</si>
  <si>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</si>
  <si>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</si>
  <si>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</si>
  <si>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</si>
  <si>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</si>
  <si>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</si>
  <si>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</si>
  <si>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</si>
  <si>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</si>
  <si>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</si>
  <si>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</si>
  <si>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</si>
  <si>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</si>
  <si>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</si>
  <si>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</si>
  <si>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</si>
  <si>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</si>
  <si>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</si>
  <si>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</si>
  <si>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</si>
  <si>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</si>
  <si>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</si>
  <si>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</si>
  <si>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</si>
  <si>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</si>
  <si>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</si>
  <si>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</si>
  <si>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</si>
  <si>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</si>
  <si>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</si>
  <si>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</si>
  <si>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</si>
  <si>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</si>
  <si>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</si>
  <si>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</si>
  <si>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</si>
  <si>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</si>
  <si>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</si>
  <si>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</si>
  <si>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</si>
  <si>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</si>
  <si>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</si>
  <si>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</si>
  <si>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</si>
  <si>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</si>
  <si>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</si>
  <si>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</si>
  <si>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</si>
  <si>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</si>
  <si>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</si>
  <si>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</si>
  <si>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</si>
  <si>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</si>
  <si>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</si>
  <si>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</si>
  <si>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</si>
  <si>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</si>
  <si>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</si>
  <si>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</si>
  <si>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</si>
  <si>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</si>
  <si>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</si>
  <si>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</si>
  <si>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</si>
  <si>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</si>
  <si>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</si>
  <si>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</si>
  <si>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</si>
  <si>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</si>
  <si>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</si>
  <si>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</si>
  <si>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</si>
  <si>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</si>
  <si>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</si>
  <si>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</si>
  <si>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</si>
  <si>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</si>
  <si>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</si>
  <si>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</si>
  <si>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</si>
  <si>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</si>
  <si>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</si>
  <si>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</si>
  <si>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</si>
  <si>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</si>
  <si>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</si>
  <si>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</si>
  <si>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</si>
  <si>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</si>
  <si>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</si>
  <si>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</si>
  <si>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</si>
  <si>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</si>
  <si>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</si>
  <si>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</si>
  <si>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</si>
  <si>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</si>
  <si>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</si>
  <si>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</si>
  <si>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</si>
  <si>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</si>
  <si>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</si>
  <si>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</si>
  <si>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</si>
  <si>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</si>
  <si>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</si>
  <si>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</si>
  <si>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</si>
  <si>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</si>
  <si>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</si>
  <si>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</si>
  <si>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</si>
  <si>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</si>
  <si>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</si>
  <si>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</si>
  <si>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</si>
  <si>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</si>
  <si>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</si>
  <si>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</si>
  <si>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</si>
  <si>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</si>
  <si>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</si>
  <si>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</si>
  <si>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</si>
  <si>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</si>
  <si>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</si>
  <si>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</si>
  <si>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</si>
  <si>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</si>
  <si>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</si>
  <si>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</si>
  <si>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</si>
  <si>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</si>
  <si>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</si>
  <si>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</si>
  <si>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</si>
  <si>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</si>
  <si>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</si>
  <si>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</si>
  <si>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</si>
  <si>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</si>
  <si>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</si>
  <si>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</si>
  <si>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</si>
  <si>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</si>
  <si>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</si>
  <si>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</si>
  <si>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</si>
  <si>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</si>
  <si>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</si>
  <si>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</si>
  <si>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</si>
  <si>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</si>
  <si>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</si>
  <si>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</si>
  <si>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</si>
  <si>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</si>
  <si>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</si>
  <si>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</si>
  <si>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</si>
  <si>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</si>
  <si>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</si>
  <si>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</si>
  <si>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</si>
  <si>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</si>
  <si>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</si>
  <si>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</si>
  <si>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</si>
  <si>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</si>
  <si>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</si>
  <si>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</si>
  <si>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</si>
  <si>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</si>
  <si>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</si>
  <si>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</si>
  <si>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</si>
  <si>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</si>
  <si>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</si>
  <si>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</si>
  <si>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</si>
  <si>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</si>
  <si>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</si>
  <si>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</si>
  <si>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</si>
  <si>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</si>
  <si>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</si>
  <si>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</si>
  <si>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</si>
  <si>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</si>
  <si>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</si>
  <si>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</si>
  <si>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</si>
  <si>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</si>
  <si>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</si>
  <si>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</si>
  <si>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</si>
  <si>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</si>
  <si>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</si>
  <si>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</si>
  <si>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</si>
  <si>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</si>
  <si>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</si>
  <si>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</si>
  <si>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</si>
  <si>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</si>
  <si>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</si>
  <si>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</si>
  <si>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</si>
  <si>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</si>
  <si>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</si>
  <si>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</si>
  <si>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</si>
  <si>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</si>
  <si>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</si>
  <si>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</si>
  <si>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</si>
  <si>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</si>
  <si>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</si>
  <si>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</si>
  <si>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</si>
  <si>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</si>
  <si>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</si>
  <si>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</si>
  <si>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</si>
  <si>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</si>
  <si>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</si>
  <si>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</si>
  <si>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</si>
  <si>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</si>
  <si>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</si>
  <si>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</si>
  <si>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</si>
  <si>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</si>
  <si>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</si>
  <si>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</si>
  <si>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</si>
  <si>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</si>
  <si>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</si>
  <si>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</si>
  <si>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</si>
  <si>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</si>
  <si>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</si>
  <si>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</si>
  <si>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</si>
  <si>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</si>
  <si>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</si>
  <si>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</si>
  <si>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</si>
  <si>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</si>
  <si>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</si>
  <si>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</si>
  <si>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</si>
  <si>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</si>
  <si>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</si>
  <si>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</si>
  <si>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</si>
  <si>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</si>
  <si>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</si>
  <si>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</si>
  <si>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</si>
  <si>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</si>
  <si>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</si>
  <si>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</si>
  <si>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</si>
  <si>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</si>
  <si>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</si>
  <si>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</si>
  <si>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</si>
  <si>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</si>
  <si>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</si>
  <si>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</si>
  <si>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</si>
  <si>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</si>
  <si>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</si>
  <si>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</si>
  <si>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</si>
  <si>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</si>
  <si>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</si>
  <si>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</si>
  <si>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</si>
  <si>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</si>
  <si>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</si>
  <si>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</si>
  <si>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</si>
  <si>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</si>
  <si>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</si>
  <si>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</si>
  <si>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</si>
  <si>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</si>
  <si>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</si>
  <si>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</si>
  <si>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</si>
  <si>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</si>
  <si>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</si>
  <si>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</si>
  <si>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</si>
  <si>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</si>
  <si>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</si>
  <si>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</si>
  <si>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</si>
  <si>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</si>
  <si>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</si>
  <si>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</si>
  <si>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</si>
  <si>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</si>
  <si>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</si>
  <si>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</si>
  <si>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</si>
  <si>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</si>
  <si>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</si>
  <si>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</si>
  <si>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</si>
  <si>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</si>
  <si>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</si>
  <si>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</si>
  <si>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</si>
  <si>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</si>
  <si>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</si>
  <si>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</si>
  <si>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</si>
  <si>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</si>
  <si>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</si>
  <si>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</si>
  <si>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</si>
  <si>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</si>
  <si>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</si>
  <si>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</si>
  <si>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</si>
  <si>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</si>
  <si>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</si>
  <si>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</si>
  <si>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</si>
  <si>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</si>
  <si>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</si>
  <si>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</si>
  <si>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</si>
  <si>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</si>
  <si>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</si>
  <si>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</si>
  <si>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</si>
  <si>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</si>
  <si>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</si>
  <si>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</si>
  <si>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</si>
  <si>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</si>
  <si>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</si>
  <si>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</si>
  <si>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</si>
  <si>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</si>
  <si>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</si>
  <si>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</si>
  <si>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</si>
  <si>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</si>
  <si>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</si>
  <si>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</si>
  <si>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</si>
  <si>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</si>
  <si>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</si>
  <si>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</si>
  <si>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</si>
  <si>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</si>
  <si>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</si>
  <si>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</si>
  <si>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</si>
  <si>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</si>
  <si>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</si>
  <si>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</si>
  <si>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</si>
  <si>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</si>
  <si>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</si>
  <si>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</si>
  <si>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</si>
  <si>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</si>
  <si>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</si>
  <si>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</si>
  <si>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</si>
  <si>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</si>
  <si>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</si>
  <si>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</si>
  <si>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</si>
  <si>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</si>
  <si>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</si>
  <si>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</si>
  <si>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</si>
  <si>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</si>
  <si>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</si>
  <si>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</si>
  <si>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</si>
  <si>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</si>
  <si>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</si>
  <si>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</si>
  <si>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</si>
  <si>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</si>
  <si>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</si>
  <si>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</si>
  <si>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</si>
  <si>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</si>
  <si>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</si>
  <si>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</si>
  <si>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</si>
  <si>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</si>
  <si>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</si>
  <si>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</si>
  <si>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</si>
  <si>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</si>
  <si>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</si>
  <si>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</si>
  <si>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</si>
  <si>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</si>
  <si>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</si>
  <si>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</si>
  <si>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</si>
  <si>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</si>
  <si>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</si>
  <si>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</si>
  <si>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</si>
  <si>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</si>
  <si>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</si>
  <si>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</si>
  <si>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</si>
  <si>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</si>
  <si>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</si>
  <si>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</si>
  <si>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</si>
  <si>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</si>
  <si>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</si>
  <si>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</si>
  <si>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</si>
  <si>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</si>
  <si>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</si>
  <si>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</si>
  <si>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</si>
  <si>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</si>
  <si>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</si>
  <si>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</si>
  <si>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</si>
  <si>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</si>
  <si>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</si>
  <si>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</si>
  <si>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</si>
  <si>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</si>
  <si>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</si>
  <si>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</si>
  <si>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</si>
  <si>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</si>
  <si>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</si>
  <si>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</si>
  <si>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</si>
  <si>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</si>
  <si>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</si>
  <si>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</si>
  <si>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</si>
  <si>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</si>
  <si>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</si>
  <si>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</si>
  <si>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</si>
  <si>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</si>
  <si>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</si>
  <si>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</si>
  <si>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</si>
  <si>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</si>
  <si>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</si>
  <si>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</si>
  <si>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</si>
  <si>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</si>
  <si>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</si>
  <si>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</si>
  <si>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</si>
  <si>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</si>
  <si>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</si>
  <si>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</si>
  <si>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</si>
  <si>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</si>
  <si>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</si>
  <si>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</si>
  <si>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</si>
  <si>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</si>
  <si>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</si>
  <si>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</si>
  <si>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</si>
  <si>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</si>
  <si>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</si>
  <si>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</si>
  <si>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</si>
  <si>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</si>
  <si>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</si>
  <si>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</si>
  <si>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</si>
  <si>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</si>
  <si>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</si>
  <si>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</si>
  <si>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</si>
  <si>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</si>
  <si>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</si>
  <si>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</si>
  <si>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</si>
  <si>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</si>
  <si>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</si>
  <si>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</si>
  <si>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</si>
  <si>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</si>
  <si>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</si>
  <si>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</si>
  <si>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</si>
  <si>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</si>
  <si>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</si>
  <si>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</si>
  <si>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</si>
  <si>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</si>
  <si>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</si>
  <si>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</si>
  <si>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</si>
  <si>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</si>
  <si>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</si>
  <si>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</si>
  <si>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</si>
  <si>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</si>
  <si>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</si>
  <si>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</si>
  <si>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</si>
  <si>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</si>
  <si>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</si>
  <si>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</si>
  <si>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</si>
  <si>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</si>
  <si>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</si>
  <si>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</si>
  <si>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</si>
  <si>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</si>
  <si>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</si>
  <si>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</si>
  <si>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</si>
  <si>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</si>
  <si>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</si>
  <si>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</si>
  <si>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</si>
  <si>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</si>
  <si>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</si>
  <si>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</si>
  <si>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</si>
  <si>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</si>
  <si>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</si>
  <si>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</si>
  <si>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</si>
  <si>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</si>
  <si>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</si>
  <si>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</si>
  <si>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</si>
  <si>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</si>
  <si>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</si>
  <si>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</si>
  <si>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</si>
  <si>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</si>
  <si>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</si>
  <si>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</si>
  <si>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</si>
  <si>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</si>
  <si>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</si>
  <si>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</si>
  <si>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</si>
  <si>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</si>
  <si>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</si>
  <si>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</si>
  <si>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</si>
  <si>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</si>
  <si>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</si>
  <si>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</si>
  <si>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</si>
  <si>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</si>
  <si>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</si>
  <si>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</si>
  <si>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</si>
  <si>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</si>
  <si>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</si>
  <si>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</si>
  <si>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</si>
  <si>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</si>
  <si>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</si>
  <si>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</si>
  <si>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</si>
  <si>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</si>
  <si>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</si>
  <si>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</si>
  <si>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</si>
  <si>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</si>
  <si>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</si>
  <si>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</si>
  <si>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</si>
  <si>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</si>
  <si>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</si>
  <si>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</si>
  <si>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</si>
  <si>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</si>
  <si>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</si>
  <si>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</si>
  <si>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</si>
  <si>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</si>
  <si>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</si>
  <si>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</si>
  <si>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</si>
  <si>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</si>
  <si>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</si>
  <si>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</si>
  <si>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</si>
  <si>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</si>
  <si>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</si>
  <si>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</si>
  <si>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</si>
  <si>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</si>
  <si>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</si>
  <si>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</si>
  <si>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</si>
  <si>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</si>
  <si>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</si>
  <si>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</si>
  <si>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</si>
  <si>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</si>
  <si>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</si>
  <si>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</si>
  <si>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</si>
  <si>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</si>
  <si>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</si>
  <si>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</si>
  <si>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</si>
  <si>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</si>
  <si>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</si>
  <si>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</si>
  <si>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</si>
  <si>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</si>
  <si>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</si>
  <si>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</si>
  <si>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</si>
  <si>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</si>
  <si>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</si>
  <si>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</si>
  <si>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</si>
  <si>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</si>
  <si>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</si>
  <si>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</si>
  <si>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</si>
  <si>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</si>
  <si>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</si>
  <si>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</si>
  <si>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</si>
  <si>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</si>
  <si>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</si>
  <si>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</si>
  <si>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</si>
  <si>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</si>
  <si>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</si>
  <si>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</si>
  <si>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</si>
  <si>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</si>
  <si>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</si>
  <si>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</si>
  <si>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</si>
  <si>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</si>
  <si>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</si>
  <si>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</si>
  <si>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</si>
  <si>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</si>
  <si>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</si>
  <si>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</si>
  <si>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</si>
  <si>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</si>
  <si>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</si>
  <si>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</si>
  <si>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</si>
  <si>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</si>
  <si>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</si>
  <si>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</si>
  <si>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</si>
  <si>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</si>
  <si>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</si>
  <si>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</si>
  <si>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</si>
  <si>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</si>
  <si>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</si>
  <si>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</si>
  <si>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</si>
  <si>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</si>
  <si>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</si>
  <si>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</si>
  <si>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</si>
  <si>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</si>
  <si>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</si>
  <si>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</si>
  <si>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</si>
  <si>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</si>
  <si>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</si>
  <si>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</si>
  <si>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</si>
  <si>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</si>
  <si>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</si>
  <si>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</si>
  <si>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</si>
  <si>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</si>
  <si>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</si>
  <si>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</si>
  <si>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</si>
  <si>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</si>
  <si>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</si>
  <si>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</si>
  <si>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</si>
  <si>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</si>
  <si>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</si>
  <si>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</si>
  <si>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</si>
  <si>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</si>
  <si>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</si>
  <si>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</si>
  <si>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</si>
  <si>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</si>
  <si>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</si>
  <si>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</si>
  <si>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</si>
  <si>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</si>
  <si>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</si>
  <si>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</si>
  <si>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</si>
  <si>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</si>
  <si>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</si>
  <si>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</si>
  <si>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</si>
  <si>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</si>
  <si>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</si>
  <si>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</si>
  <si>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</si>
  <si>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</si>
  <si>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</si>
  <si>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</si>
  <si>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</si>
  <si>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</si>
  <si>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</si>
  <si>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</si>
  <si>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</si>
  <si>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</si>
  <si>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</si>
  <si>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</si>
  <si>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</si>
  <si>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</si>
  <si>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</si>
  <si>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</si>
  <si>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</si>
  <si>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</si>
  <si>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</si>
  <si>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</si>
  <si>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</si>
  <si>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</si>
  <si>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</si>
  <si>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</si>
  <si>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</si>
  <si>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</si>
  <si>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</si>
  <si>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</si>
  <si>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</si>
  <si>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</si>
  <si>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</si>
  <si>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</si>
  <si>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</si>
  <si>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</si>
  <si>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</si>
  <si>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</si>
  <si>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</si>
  <si>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</si>
  <si>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</si>
  <si>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</si>
  <si>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</si>
  <si>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</si>
  <si>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</si>
  <si>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</si>
  <si>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</si>
  <si>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</si>
  <si>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</si>
  <si>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</si>
  <si>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</si>
  <si>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</si>
  <si>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</si>
  <si>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</si>
  <si>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</si>
  <si>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</si>
  <si>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</si>
  <si>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</si>
  <si>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</si>
  <si>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</si>
  <si>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</si>
  <si>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</si>
  <si>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</si>
  <si>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</si>
  <si>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</si>
  <si>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</si>
  <si>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</si>
  <si>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</si>
  <si>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</si>
  <si>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</si>
  <si>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</si>
  <si>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</si>
  <si>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</si>
  <si>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</si>
  <si>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</si>
  <si>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</si>
  <si>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</si>
  <si>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</si>
  <si>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</si>
  <si>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</si>
  <si>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</si>
  <si>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</si>
  <si>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</si>
  <si>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</si>
  <si>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</si>
  <si>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</si>
  <si>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</si>
  <si>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</si>
  <si>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</si>
  <si>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</si>
  <si>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</si>
  <si>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</si>
  <si>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</si>
  <si>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</si>
  <si>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</si>
  <si>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</si>
  <si>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</si>
  <si>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</si>
  <si>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</si>
  <si>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</si>
  <si>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</si>
  <si>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</si>
  <si>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</si>
  <si>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</si>
  <si>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</si>
  <si>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</si>
  <si>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</si>
  <si>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</si>
  <si>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</si>
  <si>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</si>
  <si>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</si>
  <si>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</si>
  <si>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</si>
  <si>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</si>
  <si>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</si>
  <si>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</si>
  <si>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</si>
  <si>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</si>
  <si>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</si>
  <si>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</si>
  <si>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</si>
  <si>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</si>
  <si>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</si>
  <si>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</si>
  <si>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</si>
  <si>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</si>
  <si>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</si>
  <si>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</si>
  <si>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</si>
  <si>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</si>
  <si>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</si>
  <si>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</si>
  <si>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</si>
  <si>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</si>
  <si>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</si>
  <si>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</si>
  <si>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</si>
  <si>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</si>
  <si>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</si>
  <si>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</si>
  <si>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</si>
  <si>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</si>
  <si>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</si>
  <si>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</si>
  <si>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</si>
  <si>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</si>
  <si>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</si>
  <si>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</si>
  <si>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</si>
  <si>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</si>
  <si>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</si>
  <si>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</si>
  <si>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</si>
  <si>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</si>
  <si>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</si>
  <si>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</si>
  <si>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</si>
  <si>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</si>
  <si>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</si>
  <si>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</si>
  <si>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</si>
  <si>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</si>
  <si>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</si>
  <si>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</si>
  <si>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</si>
  <si>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</si>
  <si>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</si>
  <si>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</si>
  <si>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</si>
  <si>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</si>
  <si>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</si>
  <si>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</si>
  <si>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</si>
  <si>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</si>
  <si>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</si>
  <si>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</si>
  <si>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</si>
  <si>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</si>
  <si>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</si>
  <si>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</si>
  <si>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</si>
  <si>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</si>
  <si>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</si>
  <si>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</si>
  <si>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</si>
  <si>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</si>
  <si>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</si>
  <si>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</si>
  <si>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</si>
  <si>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</si>
  <si>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</si>
  <si>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</si>
  <si>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</si>
  <si>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</si>
  <si>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</si>
  <si>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</si>
  <si>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</si>
  <si>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</si>
  <si>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</si>
  <si>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</si>
  <si>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</si>
  <si>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</si>
  <si>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</si>
  <si>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</si>
  <si>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</si>
  <si>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</si>
  <si>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</si>
  <si>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</si>
  <si>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</si>
  <si>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</si>
  <si>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</si>
  <si>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</si>
  <si>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</si>
  <si>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</si>
  <si>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</si>
  <si>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</si>
  <si>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</si>
  <si>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</si>
  <si>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</si>
  <si>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</si>
  <si>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</si>
  <si>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</si>
  <si>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</si>
  <si>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</si>
  <si>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</si>
  <si>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</si>
  <si>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</si>
  <si>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</si>
  <si>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</si>
  <si>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</si>
  <si>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</si>
  <si>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</si>
  <si>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</si>
  <si>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</si>
  <si>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</si>
  <si>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</si>
  <si>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</si>
  <si>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</si>
  <si>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</si>
  <si>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</si>
  <si>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</si>
  <si>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</si>
  <si>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</si>
  <si>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</si>
  <si>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</si>
  <si>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</si>
  <si>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</si>
  <si>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</si>
  <si>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</si>
  <si>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</si>
  <si>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</si>
  <si>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</si>
  <si>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</si>
  <si>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</si>
  <si>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</si>
  <si>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</si>
  <si>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</si>
  <si>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</si>
  <si>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</si>
  <si>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</si>
  <si>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</si>
  <si>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</si>
  <si>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</si>
  <si>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</si>
  <si>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</si>
  <si>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</si>
  <si>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</si>
  <si>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</si>
  <si>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</si>
  <si>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</si>
  <si>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</si>
  <si>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</si>
  <si>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</si>
  <si>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</si>
  <si>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</si>
  <si>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</si>
  <si>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</si>
  <si>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</si>
  <si>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</si>
  <si>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</si>
  <si>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</si>
  <si>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</si>
  <si>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</si>
  <si>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</si>
  <si>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</si>
  <si>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</si>
  <si>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</si>
  <si>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</si>
  <si>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</si>
  <si>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</si>
  <si>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</si>
  <si>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</si>
  <si>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</si>
  <si>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</si>
  <si>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</si>
  <si>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</si>
  <si>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</si>
  <si>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</si>
  <si>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</si>
  <si>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</si>
  <si>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</si>
  <si>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</si>
  <si>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</si>
  <si>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</si>
  <si>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</si>
  <si>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</si>
  <si>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</si>
  <si>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</si>
  <si>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</si>
  <si>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</si>
  <si>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</si>
  <si>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</si>
  <si>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</si>
  <si>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</si>
  <si>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</si>
  <si>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</si>
  <si>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</si>
  <si>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</si>
  <si>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</si>
  <si>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</si>
  <si>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</si>
  <si>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</si>
  <si>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</si>
  <si>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</si>
  <si>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</si>
  <si>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</si>
  <si>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</si>
  <si>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</si>
  <si>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</si>
  <si>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</si>
  <si>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</si>
  <si>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</si>
  <si>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</si>
  <si>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</si>
  <si>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</si>
  <si>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</si>
  <si>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</si>
  <si>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</si>
  <si>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</si>
  <si>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</si>
  <si>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</si>
  <si>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</si>
  <si>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</si>
  <si>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</si>
  <si>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</si>
  <si>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</si>
  <si>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</si>
  <si>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</si>
  <si>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</si>
  <si>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</si>
  <si>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</si>
  <si>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</si>
  <si>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</si>
  <si>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</si>
  <si>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</si>
  <si>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</si>
  <si>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</si>
  <si>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</si>
  <si>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</si>
  <si>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</si>
  <si>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</si>
  <si>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</si>
  <si>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</si>
  <si>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</si>
  <si>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</si>
  <si>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</si>
  <si>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</si>
  <si>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</si>
  <si>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</si>
  <si>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</si>
  <si>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</si>
  <si>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</si>
  <si>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</si>
  <si>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</si>
  <si>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</si>
  <si>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</si>
  <si>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</si>
  <si>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</si>
  <si>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</si>
  <si>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</si>
  <si>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</si>
  <si>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</si>
  <si>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</si>
  <si>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</si>
  <si>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</si>
  <si>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</si>
  <si>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</si>
  <si>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</si>
  <si>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</si>
  <si>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</si>
  <si>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</si>
  <si>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</si>
  <si>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</si>
  <si>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</si>
  <si>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</si>
  <si>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</si>
  <si>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</si>
  <si>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</si>
  <si>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</si>
  <si>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</si>
  <si>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</si>
  <si>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</si>
  <si>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</si>
  <si>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</si>
  <si>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</si>
  <si>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</si>
  <si>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</si>
  <si>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</si>
  <si>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</si>
  <si>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</si>
  <si>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</si>
  <si>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</si>
  <si>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</si>
  <si>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</si>
  <si>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</si>
  <si>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</si>
  <si>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</si>
  <si>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</si>
  <si>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</si>
  <si>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</si>
  <si>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</si>
  <si>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</si>
  <si>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</si>
  <si>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</si>
  <si>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</si>
  <si>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</si>
  <si>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</si>
  <si>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</si>
  <si>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</si>
  <si>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</si>
  <si>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</si>
  <si>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</si>
  <si>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</si>
  <si>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</si>
  <si>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</si>
  <si>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</si>
  <si>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</si>
  <si>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</si>
  <si>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</si>
  <si>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</si>
  <si>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</si>
  <si>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</si>
  <si>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</si>
  <si>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</si>
  <si>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</si>
  <si>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</si>
  <si>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</si>
  <si>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</si>
  <si>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</si>
  <si>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</si>
  <si>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</si>
  <si>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</si>
  <si>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</si>
  <si>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</si>
  <si>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</si>
  <si>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</si>
  <si>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</si>
  <si>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</si>
  <si>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</si>
  <si>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</si>
  <si>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</si>
  <si>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</si>
  <si>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</si>
  <si>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</si>
  <si>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</si>
  <si>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</si>
  <si>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</si>
  <si>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</si>
  <si>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</si>
  <si>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</si>
  <si>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</si>
  <si>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</si>
  <si>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</si>
  <si>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</si>
  <si>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</si>
  <si>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</si>
  <si>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</si>
  <si>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</si>
  <si>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</si>
  <si>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</si>
  <si>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</si>
  <si>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</si>
  <si>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</si>
  <si>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</si>
  <si>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</si>
  <si>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</si>
  <si>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</si>
  <si>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</si>
  <si>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</si>
  <si>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</si>
  <si>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</si>
  <si>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</si>
  <si>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</si>
  <si>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</si>
  <si>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</si>
  <si>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</si>
  <si>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</si>
  <si>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</si>
  <si>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</si>
  <si>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</si>
  <si>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</si>
  <si>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</si>
  <si>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</si>
  <si>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</si>
  <si>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</si>
  <si>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</si>
  <si>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</si>
  <si>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</si>
  <si>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</si>
  <si>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</si>
  <si>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</si>
  <si>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</si>
  <si>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</si>
  <si>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</si>
  <si>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</si>
  <si>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</si>
  <si>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</si>
  <si>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</si>
  <si>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</si>
  <si>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</si>
  <si>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</si>
  <si>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</si>
  <si>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</si>
  <si>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</si>
  <si>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</si>
  <si>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</si>
  <si>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</si>
  <si>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</si>
  <si>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</si>
  <si>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</si>
  <si>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</si>
  <si>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</si>
  <si>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</si>
  <si>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</si>
  <si>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</si>
  <si>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</si>
  <si>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</si>
  <si>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</si>
  <si>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</si>
  <si>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</si>
  <si>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</si>
  <si>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</si>
  <si>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</si>
  <si>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</si>
  <si>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</si>
  <si>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</si>
  <si>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</si>
  <si>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</si>
  <si>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</si>
  <si>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</si>
  <si>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</si>
  <si>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</si>
  <si>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</si>
  <si>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</si>
  <si>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</si>
  <si>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</si>
  <si>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</si>
  <si>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</si>
  <si>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</si>
  <si>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</si>
  <si>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</si>
  <si>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</si>
  <si>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</si>
  <si>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</si>
  <si>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</si>
  <si>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</si>
  <si>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</si>
  <si>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</si>
  <si>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</si>
  <si>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</si>
  <si>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</si>
  <si>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</si>
  <si>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</si>
  <si>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</si>
  <si>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</si>
  <si>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</si>
  <si>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</si>
  <si>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</si>
  <si>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</si>
  <si>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</si>
  <si>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</si>
  <si>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</si>
  <si>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</si>
  <si>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</si>
  <si>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</si>
  <si>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</si>
  <si>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</si>
  <si>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</si>
  <si>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</si>
  <si>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</si>
  <si>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</si>
  <si>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</si>
  <si>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</si>
  <si>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</si>
  <si>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</si>
  <si>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</si>
  <si>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</si>
  <si>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</si>
  <si>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</si>
  <si>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</si>
  <si>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</si>
  <si>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</si>
  <si>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</si>
  <si>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</si>
  <si>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</si>
  <si>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</si>
  <si>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</si>
  <si>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</si>
  <si>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</si>
  <si>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</si>
  <si>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</si>
  <si>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</si>
  <si>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</si>
  <si>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</si>
  <si>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</si>
  <si>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</si>
  <si>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</si>
  <si>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</si>
  <si>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</si>
  <si>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</si>
  <si>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</si>
  <si>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</si>
  <si>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</si>
  <si>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</si>
  <si>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</si>
  <si>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</si>
  <si>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</si>
  <si>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</si>
  <si>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</si>
  <si>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</si>
  <si>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</si>
  <si>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</si>
  <si>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</si>
  <si>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</si>
  <si>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</si>
  <si>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</si>
  <si>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</si>
  <si>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</si>
  <si>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</si>
  <si>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</si>
  <si>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</si>
  <si>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</si>
  <si>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</si>
  <si>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</si>
  <si>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</si>
  <si>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</si>
  <si>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</si>
  <si>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</si>
  <si>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</si>
  <si>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</si>
  <si>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</si>
  <si>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</si>
  <si>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</si>
  <si>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</si>
  <si>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</si>
  <si>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</si>
  <si>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</si>
  <si>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</si>
  <si>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</si>
  <si>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</si>
  <si>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</si>
  <si>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</si>
  <si>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</si>
  <si>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</si>
  <si>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</si>
  <si>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</si>
  <si>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</si>
  <si>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</si>
  <si>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</si>
  <si>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</si>
  <si>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</si>
  <si>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</si>
  <si>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</si>
  <si>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</si>
  <si>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</si>
  <si>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</si>
  <si>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</si>
  <si>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</si>
  <si>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</si>
  <si>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</si>
  <si>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</si>
  <si>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</si>
  <si>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</si>
  <si>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</si>
  <si>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</si>
  <si>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</si>
  <si>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</si>
  <si>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</si>
  <si>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</si>
  <si>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</si>
  <si>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</si>
  <si>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</si>
  <si>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</si>
  <si>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</si>
  <si>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</si>
  <si>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</si>
  <si>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</si>
  <si>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</si>
  <si>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</si>
  <si>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</si>
  <si>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</si>
  <si>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</si>
  <si>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</si>
  <si>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</si>
  <si>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</si>
  <si>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</si>
  <si>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</si>
  <si>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</si>
  <si>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</si>
  <si>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</si>
  <si>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</si>
  <si>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</si>
  <si>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</si>
  <si>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</si>
  <si>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</si>
  <si>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</si>
  <si>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</si>
  <si>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</si>
  <si>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</si>
  <si>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</si>
  <si>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</si>
  <si>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</si>
  <si>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</si>
  <si>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</si>
  <si>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</si>
  <si>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</si>
  <si>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</si>
  <si>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</si>
  <si>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</si>
  <si>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</si>
  <si>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</si>
  <si>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</si>
  <si>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</si>
  <si>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</si>
  <si>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</si>
  <si>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</si>
  <si>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</si>
  <si>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</si>
  <si>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</si>
  <si>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</si>
  <si>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</si>
  <si>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</si>
  <si>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</si>
  <si>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</si>
  <si>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</si>
  <si>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</si>
  <si>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</si>
  <si>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</si>
  <si>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</si>
  <si>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</si>
  <si>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</si>
  <si>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</si>
  <si>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</si>
  <si>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</si>
  <si>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</si>
  <si>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</si>
  <si>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</si>
  <si>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</si>
  <si>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</si>
  <si>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</si>
  <si>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</si>
  <si>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</si>
  <si>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</si>
  <si>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</si>
  <si>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</si>
  <si>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</si>
  <si>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</si>
  <si>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</si>
  <si>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</si>
  <si>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</si>
  <si>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</si>
  <si>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</si>
  <si>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</si>
  <si>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</si>
  <si>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</si>
  <si>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</si>
  <si>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</si>
  <si>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</si>
  <si>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</si>
  <si>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</si>
  <si>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</si>
  <si>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</si>
  <si>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</si>
  <si>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</si>
  <si>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</si>
  <si>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</si>
  <si>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</si>
  <si>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</si>
  <si>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</si>
  <si>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</si>
  <si>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</si>
  <si>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</si>
  <si>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</si>
  <si>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</si>
  <si>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</si>
  <si>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</si>
  <si>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</si>
  <si>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</si>
  <si>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</si>
  <si>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</si>
  <si>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</si>
  <si>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</si>
  <si>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</si>
  <si>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</si>
  <si>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</si>
  <si>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</si>
  <si>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</si>
  <si>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</si>
  <si>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</si>
  <si>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</si>
  <si>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</si>
  <si>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</si>
  <si>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</si>
  <si>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</si>
  <si>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</si>
  <si>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</si>
  <si>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</si>
  <si>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</si>
  <si>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</si>
  <si>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</si>
  <si>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</si>
  <si>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</si>
  <si>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</si>
  <si>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</si>
  <si>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</si>
  <si>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</si>
  <si>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</si>
  <si>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</si>
  <si>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</si>
  <si>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</si>
  <si>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</si>
  <si>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</si>
  <si>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</si>
  <si>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</si>
  <si>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</si>
  <si>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</si>
  <si>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</si>
  <si>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</si>
  <si>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</si>
  <si>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</si>
  <si>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</si>
  <si>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</si>
  <si>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</si>
  <si>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</si>
  <si>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</si>
  <si>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</si>
  <si>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</si>
  <si>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</si>
  <si>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</si>
  <si>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</si>
  <si>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</si>
  <si>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</si>
  <si>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</si>
  <si>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</si>
  <si>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</si>
  <si>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</si>
  <si>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</si>
  <si>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</si>
  <si>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</si>
  <si>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</si>
  <si>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</si>
  <si>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</si>
  <si>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</si>
  <si>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</si>
  <si>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</si>
  <si>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</si>
  <si>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</si>
  <si>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</si>
  <si>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</si>
  <si>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</si>
  <si>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</si>
  <si>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</si>
  <si>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</si>
  <si>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</si>
  <si>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</si>
  <si>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</si>
  <si>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</si>
  <si>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</si>
  <si>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</si>
  <si>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</si>
  <si>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</si>
  <si>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</si>
  <si>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</si>
  <si>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</si>
  <si>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</si>
  <si>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</si>
  <si>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</si>
  <si>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</si>
  <si>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</si>
  <si>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</si>
  <si>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</si>
  <si>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</si>
  <si>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</si>
  <si>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</si>
  <si>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</si>
  <si>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</si>
  <si>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</si>
  <si>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</si>
  <si>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</si>
  <si>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</si>
  <si>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</si>
  <si>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</si>
  <si>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</si>
  <si>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</si>
  <si>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</si>
  <si>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</si>
  <si>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</si>
  <si>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</si>
  <si>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</si>
  <si>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</si>
  <si>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</si>
  <si>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</si>
  <si>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</si>
  <si>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</si>
  <si>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</si>
  <si>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</si>
  <si>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</si>
  <si>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</si>
  <si>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</si>
  <si>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</si>
  <si>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</si>
  <si>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</si>
  <si>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</si>
  <si>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</si>
  <si>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</si>
  <si>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</si>
  <si>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</si>
  <si>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</si>
  <si>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</si>
  <si>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</si>
  <si>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</si>
  <si>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</si>
  <si>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</si>
  <si>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</si>
  <si>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</si>
  <si>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</si>
  <si>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</si>
  <si>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</si>
  <si>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</si>
  <si>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</si>
  <si>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</si>
  <si>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</si>
  <si>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</si>
  <si>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</si>
  <si>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</si>
  <si>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</si>
  <si>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</si>
  <si>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</si>
  <si>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</si>
  <si>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</si>
  <si>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</si>
  <si>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</si>
  <si>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</si>
  <si>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</si>
  <si>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</si>
  <si>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</si>
  <si>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</si>
  <si>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</si>
  <si>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</si>
  <si>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</si>
  <si>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</si>
  <si>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</si>
  <si>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</si>
  <si>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</si>
  <si>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</si>
  <si>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</si>
  <si>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</si>
  <si>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</si>
  <si>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</si>
  <si>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</si>
  <si>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</si>
  <si>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</si>
  <si>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</si>
  <si>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</si>
  <si>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</si>
  <si>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</si>
  <si>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</si>
  <si>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</si>
  <si>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</si>
  <si>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</si>
  <si>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</si>
  <si>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</si>
  <si>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</si>
  <si>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</si>
  <si>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</si>
  <si>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</si>
  <si>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</si>
  <si>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</si>
  <si>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</si>
  <si>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</si>
  <si>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</si>
  <si>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</si>
  <si>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</si>
  <si>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</si>
  <si>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</si>
  <si>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</si>
  <si>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</si>
  <si>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</si>
  <si>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</si>
  <si>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</si>
  <si>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</si>
  <si>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</si>
  <si>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</si>
  <si>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</si>
  <si>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</si>
  <si>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</si>
  <si>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</si>
  <si>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</si>
  <si>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</si>
  <si>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</si>
  <si>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</si>
  <si>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</si>
  <si>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</si>
  <si>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</si>
  <si>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</si>
  <si>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</si>
  <si>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</si>
  <si>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</si>
  <si>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</si>
  <si>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</si>
  <si>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</si>
  <si>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</si>
  <si>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</si>
  <si>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</si>
  <si>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</si>
  <si>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</si>
  <si>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</si>
  <si>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</si>
  <si>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</si>
  <si>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</si>
  <si>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</si>
  <si>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</si>
  <si>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</si>
  <si>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</si>
  <si>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</si>
  <si>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</si>
  <si>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</si>
  <si>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</si>
  <si>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</si>
  <si>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</si>
  <si>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</si>
  <si>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</si>
  <si>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</si>
  <si>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</si>
  <si>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</si>
  <si>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</si>
  <si>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</si>
  <si>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</si>
  <si>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</si>
  <si>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</si>
  <si>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</si>
  <si>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</si>
  <si>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</si>
  <si>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</si>
  <si>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</si>
  <si>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</si>
  <si>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</si>
  <si>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</si>
  <si>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</si>
  <si>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</si>
  <si>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</si>
  <si>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</si>
  <si>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</si>
  <si>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</si>
  <si>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</si>
  <si>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</si>
  <si>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</si>
  <si>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</si>
  <si>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</si>
  <si>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</si>
  <si>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</si>
  <si>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</si>
  <si>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</si>
  <si>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</si>
  <si>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</si>
  <si>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</si>
  <si>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</si>
  <si>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</si>
  <si>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</si>
  <si>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</si>
  <si>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</si>
  <si>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</si>
  <si>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</si>
  <si>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</si>
  <si>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</si>
  <si>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</si>
  <si>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</si>
  <si>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</si>
  <si>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</si>
  <si>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</si>
  <si>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</si>
  <si>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</si>
  <si>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</si>
  <si>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</si>
  <si>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</si>
  <si>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</si>
  <si>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</si>
  <si>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</si>
  <si>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</si>
  <si>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</si>
  <si>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</si>
  <si>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</si>
  <si>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</si>
  <si>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</si>
  <si>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</si>
  <si>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</si>
  <si>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</si>
  <si>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</si>
  <si>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</si>
  <si>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</si>
  <si>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</si>
  <si>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</si>
  <si>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</si>
  <si>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</si>
  <si>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</si>
  <si>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</si>
  <si>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</si>
  <si>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</si>
  <si>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</si>
  <si>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</si>
  <si>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</si>
  <si>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</si>
  <si>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</si>
  <si>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</si>
  <si>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</si>
  <si>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</si>
  <si>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</si>
  <si>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</si>
  <si>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</si>
  <si>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</si>
  <si>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</si>
  <si>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</si>
  <si>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</si>
  <si>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</si>
  <si>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</si>
  <si>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</si>
  <si>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</si>
  <si>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</si>
  <si>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</si>
  <si>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</si>
  <si>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</si>
  <si>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</si>
  <si>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</si>
  <si>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</si>
  <si>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</si>
  <si>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</si>
  <si>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</si>
  <si>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</si>
  <si>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</si>
  <si>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</si>
  <si>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</si>
  <si>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</si>
  <si>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</si>
  <si>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</si>
  <si>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</si>
  <si>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</si>
  <si>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</si>
  <si>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</si>
  <si>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</si>
  <si>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</si>
  <si>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</si>
  <si>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</si>
  <si>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</si>
  <si>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</si>
  <si>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</si>
  <si>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</si>
  <si>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</si>
  <si>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</si>
  <si>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</si>
  <si>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</si>
  <si>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</si>
  <si>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</si>
  <si>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</si>
  <si>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</si>
  <si>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</si>
  <si>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</si>
  <si>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</si>
  <si>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</si>
  <si>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</si>
  <si>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</si>
  <si>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</si>
  <si>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</si>
  <si>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</si>
  <si>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</si>
  <si>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</si>
  <si>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</si>
  <si>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</si>
  <si>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</si>
  <si>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</si>
  <si>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</si>
  <si>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</si>
  <si>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</si>
  <si>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</si>
  <si>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</si>
  <si>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</si>
  <si>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</si>
  <si>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</si>
  <si>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</si>
  <si>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</si>
  <si>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</si>
  <si>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</si>
  <si>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</si>
  <si>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</si>
  <si>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</si>
  <si>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</si>
  <si>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</si>
  <si>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</si>
  <si>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</si>
  <si>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</si>
  <si>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</si>
  <si>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</si>
  <si>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</si>
  <si>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</si>
  <si>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</si>
  <si>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</si>
  <si>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</si>
  <si>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</si>
  <si>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</si>
  <si>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</si>
  <si>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</si>
  <si>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</si>
  <si>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</si>
  <si>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</si>
  <si>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</si>
  <si>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</si>
  <si>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</si>
  <si>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</si>
  <si>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</si>
  <si>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</si>
  <si>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</si>
  <si>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</si>
  <si>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</si>
  <si>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</si>
  <si>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</si>
  <si>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</si>
  <si>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</si>
  <si>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</si>
  <si>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</si>
  <si>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</si>
  <si>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</si>
  <si>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</si>
  <si>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</si>
  <si>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</si>
  <si>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</si>
  <si>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</si>
  <si>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</si>
  <si>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</si>
  <si>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</si>
  <si>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</si>
  <si>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</si>
  <si>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</si>
  <si>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</si>
  <si>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</si>
  <si>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</si>
  <si>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</si>
  <si>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</si>
  <si>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</si>
  <si>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</si>
  <si>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</si>
  <si>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</si>
  <si>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</si>
  <si>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</si>
  <si>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</si>
  <si>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</si>
  <si>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</si>
  <si>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</si>
  <si>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</si>
  <si>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</si>
  <si>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</si>
  <si>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</si>
  <si>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</si>
  <si>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</si>
  <si>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</si>
  <si>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</si>
  <si>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</si>
  <si>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</si>
  <si>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</si>
  <si>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</si>
  <si>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</si>
  <si>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</si>
  <si>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</si>
  <si>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</si>
  <si>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</si>
  <si>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</si>
  <si>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</si>
  <si>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</si>
  <si>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</si>
  <si>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</si>
  <si>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</si>
  <si>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</si>
  <si>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</si>
  <si>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</si>
  <si>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</si>
  <si>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</si>
  <si>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</si>
  <si>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</si>
  <si>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</si>
  <si>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</si>
  <si>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</si>
  <si>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</si>
  <si>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</si>
  <si>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</si>
  <si>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</si>
  <si>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</si>
  <si>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</si>
  <si>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</si>
  <si>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</si>
  <si>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</si>
  <si>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</si>
  <si>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</si>
  <si>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</si>
  <si>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</si>
  <si>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</si>
  <si>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</si>
  <si>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</si>
  <si>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</si>
  <si>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</si>
  <si>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</si>
  <si>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</si>
  <si>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</si>
  <si>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</si>
  <si>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</si>
  <si>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</si>
  <si>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</si>
  <si>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</si>
  <si>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</si>
  <si>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</si>
  <si>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</si>
  <si>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</si>
  <si>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</si>
  <si>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</si>
  <si>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</si>
  <si>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</si>
  <si>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</si>
  <si>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</si>
  <si>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</si>
  <si>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</si>
  <si>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</si>
  <si>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</si>
  <si>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</si>
  <si>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</si>
  <si>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</si>
  <si>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</si>
  <si>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</si>
  <si>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</si>
  <si>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</si>
  <si>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</si>
  <si>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</si>
  <si>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</si>
  <si>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</si>
  <si>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</si>
  <si>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</si>
  <si>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</si>
  <si>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</si>
  <si>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</si>
  <si>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</si>
  <si>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</si>
  <si>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</si>
  <si>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</si>
  <si>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</si>
  <si>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</si>
  <si>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</si>
  <si>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</si>
  <si>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</si>
  <si>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</si>
  <si>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</si>
  <si>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</si>
  <si>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</si>
  <si>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</si>
  <si>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</si>
  <si>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</si>
  <si>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</si>
  <si>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</si>
  <si>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</si>
  <si>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</si>
  <si>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</si>
  <si>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</si>
  <si>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</si>
  <si>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</si>
  <si>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</si>
  <si>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</si>
  <si>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</si>
  <si>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</si>
  <si>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</si>
  <si>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</si>
  <si>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</si>
  <si>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</si>
  <si>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</si>
  <si>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</si>
  <si>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</si>
  <si>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</si>
  <si>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</si>
  <si>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</si>
  <si>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</si>
  <si>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</si>
  <si>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</si>
  <si>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</si>
  <si>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</si>
  <si>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</si>
  <si>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</si>
  <si>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</si>
  <si>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</si>
  <si>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</si>
  <si>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</si>
  <si>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</si>
  <si>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</si>
  <si>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</si>
  <si>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</si>
  <si>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</si>
  <si>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</si>
  <si>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</si>
  <si>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</si>
  <si>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</si>
  <si>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</si>
  <si>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</si>
  <si>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</si>
  <si>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</si>
  <si>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</si>
  <si>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</si>
  <si>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</si>
  <si>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</si>
  <si>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</si>
  <si>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</si>
  <si>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</si>
  <si>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</si>
  <si>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</si>
  <si>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</si>
  <si>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</si>
  <si>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</si>
  <si>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</si>
  <si>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</si>
  <si>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</si>
  <si>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</si>
  <si>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</si>
  <si>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</si>
  <si>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</si>
  <si>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</si>
  <si>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</si>
  <si>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</si>
  <si>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</si>
  <si>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</si>
  <si>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</si>
  <si>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</si>
  <si>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</si>
  <si>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</si>
  <si>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</si>
  <si>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</si>
  <si>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</si>
  <si>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</si>
  <si>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</si>
  <si>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</si>
  <si>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</si>
  <si>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</si>
  <si>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</si>
  <si>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</si>
  <si>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</si>
  <si>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</si>
  <si>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</si>
  <si>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</si>
  <si>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</si>
  <si>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</si>
  <si>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</si>
  <si>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</si>
  <si>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</si>
  <si>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</si>
  <si>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</si>
  <si>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</si>
  <si>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</si>
  <si>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</si>
  <si>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</si>
  <si>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</si>
  <si>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</si>
  <si>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</si>
  <si>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</si>
  <si>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</si>
  <si>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</si>
  <si>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</si>
  <si>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</si>
  <si>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</si>
  <si>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</si>
  <si>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</si>
  <si>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</si>
  <si>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</si>
  <si>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</si>
  <si>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</si>
  <si>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</si>
  <si>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</si>
  <si>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</si>
  <si>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</si>
  <si>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</si>
  <si>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</si>
  <si>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</si>
  <si>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</si>
  <si>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</si>
  <si>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</si>
  <si>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</si>
  <si>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</si>
  <si>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</si>
  <si>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</si>
  <si>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</si>
  <si>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</si>
  <si>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</si>
  <si>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</si>
  <si>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</si>
  <si>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</si>
  <si>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</si>
  <si>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</si>
  <si>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</si>
  <si>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</si>
  <si>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</si>
  <si>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</si>
  <si>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</si>
  <si>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</si>
  <si>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</si>
  <si>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</si>
  <si>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</si>
  <si>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</si>
  <si>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</si>
  <si>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</si>
  <si>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</si>
  <si>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</si>
  <si>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</si>
  <si>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</si>
  <si>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</si>
  <si>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</si>
  <si>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</si>
  <si>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</si>
  <si>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</si>
  <si>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</si>
  <si>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</si>
  <si>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</si>
  <si>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</si>
  <si>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</si>
  <si>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</si>
  <si>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</si>
  <si>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</si>
  <si>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</si>
  <si>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</si>
  <si>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</si>
  <si>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</si>
  <si>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</si>
  <si>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</si>
  <si>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</si>
  <si>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</si>
  <si>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</si>
  <si>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</si>
  <si>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</si>
  <si>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</si>
  <si>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</si>
  <si>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</si>
  <si>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</si>
  <si>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</si>
  <si>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</si>
  <si>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</si>
  <si>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</si>
  <si>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</si>
  <si>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</si>
  <si>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</si>
  <si>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</si>
  <si>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</si>
  <si>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</si>
  <si>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</si>
  <si>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</si>
  <si>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</si>
  <si>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</si>
  <si>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</si>
  <si>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</si>
  <si>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</si>
  <si>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</si>
  <si>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</si>
  <si>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</si>
  <si>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</si>
  <si>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</si>
  <si>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</si>
  <si>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</si>
  <si>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</si>
  <si>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</si>
  <si>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</si>
  <si>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</si>
  <si>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</si>
  <si>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</si>
  <si>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</si>
  <si>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</si>
  <si>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</si>
  <si>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</si>
  <si>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</si>
  <si>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</si>
  <si>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</si>
  <si>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</si>
  <si>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</si>
  <si>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</si>
  <si>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</si>
  <si>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</si>
  <si>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</si>
  <si>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</si>
  <si>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</si>
  <si>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</si>
  <si>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</si>
  <si>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</si>
  <si>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</si>
  <si>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</si>
  <si>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</si>
  <si>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</si>
  <si>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</si>
  <si>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</si>
  <si>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</si>
  <si>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</si>
  <si>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</si>
  <si>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</si>
  <si>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</si>
  <si>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</si>
  <si>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</si>
  <si>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</si>
  <si>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</si>
  <si>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</si>
  <si>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</si>
  <si>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</si>
  <si>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</si>
  <si>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</si>
  <si>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</si>
  <si>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</si>
  <si>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</si>
  <si>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</si>
  <si>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</si>
  <si>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</si>
  <si>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</si>
  <si>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</si>
  <si>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</si>
  <si>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</si>
  <si>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</si>
  <si>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</si>
  <si>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</si>
  <si>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</si>
  <si>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</si>
  <si>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</si>
  <si>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</si>
  <si>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</si>
  <si>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</si>
  <si>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</si>
  <si>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</si>
  <si>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</si>
  <si>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</si>
  <si>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</si>
  <si>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</si>
  <si>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</si>
  <si>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</si>
  <si>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</si>
  <si>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</si>
  <si>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</si>
  <si>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</si>
  <si>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</si>
  <si>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</si>
  <si>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</si>
  <si>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</si>
  <si>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</si>
  <si>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</si>
  <si>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</si>
  <si>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</si>
  <si>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</si>
  <si>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</si>
  <si>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</si>
  <si>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</si>
  <si>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</si>
  <si>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</si>
  <si>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</si>
  <si>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</si>
  <si>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</si>
  <si>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</si>
  <si>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</si>
  <si>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</si>
  <si>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</si>
  <si>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</si>
  <si>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</si>
  <si>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</si>
  <si>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</si>
  <si>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</si>
  <si>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</si>
  <si>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</si>
  <si>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</si>
  <si>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</si>
  <si>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</si>
  <si>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</si>
  <si>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</si>
  <si>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</si>
  <si>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</si>
  <si>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</si>
  <si>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</si>
  <si>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</si>
  <si>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</si>
  <si>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</si>
  <si>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</si>
  <si>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</si>
  <si>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</si>
  <si>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</si>
  <si>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</si>
  <si>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</si>
  <si>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</si>
  <si>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</si>
  <si>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</si>
  <si>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</si>
  <si>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</si>
  <si>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</si>
  <si>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</si>
  <si>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</si>
  <si>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</si>
  <si>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</si>
  <si>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</si>
  <si>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</si>
  <si>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</si>
  <si>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</si>
  <si>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</si>
  <si>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</si>
  <si>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</si>
  <si>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</si>
  <si>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</si>
  <si>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</si>
  <si>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</si>
  <si>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</si>
  <si>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</si>
  <si>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</si>
  <si>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</si>
  <si>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</si>
  <si>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</si>
  <si>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</si>
  <si>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</si>
  <si>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</si>
  <si>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</si>
  <si>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</si>
  <si>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</si>
  <si>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</si>
  <si>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</si>
  <si>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</si>
  <si>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</si>
  <si>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</si>
  <si>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</si>
  <si>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</si>
  <si>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</si>
  <si>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</si>
  <si>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</si>
  <si>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</si>
  <si>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</si>
  <si>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</si>
  <si>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</si>
  <si>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</si>
  <si>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</si>
  <si>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</si>
  <si>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</si>
  <si>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</si>
  <si>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</si>
  <si>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</si>
  <si>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</si>
  <si>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</si>
  <si>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</si>
  <si>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</si>
  <si>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</si>
  <si>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</si>
  <si>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</si>
  <si>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</si>
  <si>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</si>
  <si>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</si>
  <si>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</si>
  <si>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</si>
  <si>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</si>
  <si>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</si>
  <si>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</si>
  <si>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</si>
  <si>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</si>
  <si>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</si>
  <si>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</si>
  <si>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</si>
  <si>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</si>
  <si>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</si>
  <si>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</si>
  <si>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</si>
  <si>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</si>
  <si>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</si>
  <si>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</si>
  <si>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</si>
  <si>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</si>
  <si>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</si>
  <si>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</si>
  <si>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</si>
  <si>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</si>
  <si>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</si>
  <si>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</si>
  <si>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</si>
  <si>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</si>
  <si>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</si>
  <si>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</si>
  <si>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</si>
  <si>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</si>
  <si>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</si>
  <si>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</si>
  <si>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</si>
  <si>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</si>
  <si>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</si>
  <si>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</si>
  <si>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</si>
  <si>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</si>
  <si>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</si>
  <si>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</si>
  <si>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</si>
  <si>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</si>
  <si>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</si>
  <si>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</si>
  <si>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</si>
  <si>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</si>
  <si>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</si>
  <si>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</si>
  <si>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</si>
  <si>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</si>
  <si>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</si>
  <si>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</si>
  <si>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</si>
  <si>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</si>
  <si>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</si>
  <si>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</si>
  <si>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</si>
  <si>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</si>
  <si>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</si>
  <si>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</si>
  <si>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</si>
  <si>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</si>
  <si>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</si>
  <si>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</si>
  <si>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</si>
  <si>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</si>
  <si>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</si>
  <si>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</si>
  <si>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</si>
  <si>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</si>
  <si>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</si>
  <si>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</si>
  <si>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</si>
  <si>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</si>
  <si>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</si>
  <si>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</si>
  <si>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</si>
  <si>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</si>
  <si>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</si>
  <si>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</si>
  <si>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</si>
  <si>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</si>
  <si>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</si>
  <si>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</si>
  <si>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</si>
  <si>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</si>
  <si>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</si>
  <si>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</si>
  <si>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</si>
  <si>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</si>
  <si>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</si>
  <si>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</si>
  <si>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</si>
  <si>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</si>
  <si>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</si>
  <si>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</si>
  <si>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</si>
  <si>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</si>
  <si>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</si>
  <si>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</si>
  <si>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</si>
  <si>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</si>
  <si>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</si>
  <si>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</si>
  <si>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</si>
  <si>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</si>
  <si>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</si>
  <si>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</si>
  <si>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</si>
  <si>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</si>
  <si>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</si>
  <si>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</si>
  <si>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</si>
  <si>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</si>
  <si>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</si>
  <si>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</si>
  <si>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</si>
  <si>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</si>
  <si>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</si>
  <si>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</si>
  <si>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</si>
  <si>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</si>
  <si>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</si>
  <si>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</si>
  <si>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</si>
  <si>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</si>
  <si>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</si>
  <si>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</si>
  <si>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</si>
  <si>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</si>
  <si>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</si>
  <si>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</si>
  <si>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</si>
  <si>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</si>
  <si>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</si>
  <si>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</si>
  <si>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</si>
  <si>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</si>
  <si>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</si>
  <si>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</si>
  <si>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</si>
  <si>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</si>
  <si>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</si>
  <si>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</si>
  <si>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</si>
  <si>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</si>
  <si>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</si>
  <si>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</si>
  <si>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</si>
  <si>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</si>
  <si>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</si>
  <si>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</si>
  <si>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</si>
  <si>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</si>
  <si>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</si>
  <si>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</si>
  <si>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</si>
  <si>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</si>
  <si>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</si>
  <si>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</si>
  <si>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</si>
  <si>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</si>
  <si>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</si>
  <si>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</si>
  <si>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</si>
  <si>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</si>
  <si>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</si>
  <si>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</si>
  <si>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</si>
  <si>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</si>
  <si>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</si>
  <si>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</si>
  <si>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</si>
  <si>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</si>
  <si>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</si>
  <si>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</si>
  <si>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</si>
  <si>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</si>
  <si>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</si>
  <si>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</si>
  <si>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</si>
  <si>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</si>
  <si>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</si>
  <si>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</si>
  <si>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</si>
  <si>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</si>
  <si>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</si>
  <si>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</si>
  <si>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</si>
  <si>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</si>
  <si>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</si>
  <si>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</si>
  <si>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</si>
  <si>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</si>
  <si>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</si>
  <si>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</si>
  <si>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</si>
  <si>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</si>
  <si>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</si>
  <si>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</si>
  <si>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</si>
  <si>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</si>
  <si>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</si>
  <si>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</si>
  <si>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</si>
  <si>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</si>
  <si>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</si>
  <si>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</si>
  <si>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</si>
  <si>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</si>
  <si>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</si>
  <si>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</si>
  <si>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</si>
  <si>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</si>
  <si>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</si>
  <si>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</si>
  <si>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</si>
  <si>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</si>
  <si>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</si>
  <si>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</si>
  <si>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</si>
  <si>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</si>
  <si>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</si>
  <si>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</si>
  <si>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</si>
  <si>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</si>
  <si>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</si>
  <si>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</si>
  <si>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</si>
  <si>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</si>
  <si>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</si>
  <si>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</si>
  <si>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</si>
  <si>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</si>
  <si>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</si>
  <si>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</si>
  <si>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</si>
  <si>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</si>
  <si>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</si>
  <si>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</si>
  <si>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</si>
  <si>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</si>
  <si>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</si>
  <si>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</si>
  <si>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</si>
  <si>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</si>
  <si>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</si>
  <si>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</si>
  <si>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</si>
  <si>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</si>
  <si>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</si>
  <si>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</si>
  <si>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</si>
  <si>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</si>
  <si>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</si>
  <si>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</si>
  <si>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</si>
  <si>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</si>
  <si>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</si>
  <si>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</si>
  <si>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</si>
  <si>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</si>
  <si>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</si>
  <si>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</si>
  <si>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</si>
  <si>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</si>
  <si>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</si>
  <si>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</si>
  <si>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</si>
  <si>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</si>
  <si>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</si>
  <si>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</si>
  <si>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</si>
  <si>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</si>
  <si>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</si>
  <si>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</si>
  <si>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</si>
  <si>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</si>
  <si>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</si>
  <si>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</si>
  <si>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</si>
  <si>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</si>
  <si>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</si>
  <si>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</si>
  <si>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</si>
  <si>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</si>
  <si>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</si>
  <si>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</si>
  <si>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</si>
  <si>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</si>
  <si>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</si>
  <si>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</si>
  <si>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</si>
  <si>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</si>
  <si>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</si>
  <si>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</si>
  <si>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</si>
  <si>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</si>
  <si>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</si>
  <si>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</si>
  <si>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</si>
  <si>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</si>
  <si>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</si>
  <si>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</si>
  <si>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</si>
  <si>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</si>
  <si>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</si>
  <si>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</si>
  <si>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</si>
  <si>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</si>
  <si>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</si>
  <si>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</si>
  <si>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</si>
  <si>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</si>
  <si>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</si>
  <si>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</si>
  <si>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</si>
  <si>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</si>
  <si>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</si>
  <si>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</si>
  <si>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</si>
  <si>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</si>
  <si>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</si>
  <si>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</si>
  <si>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</si>
  <si>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</si>
  <si>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</si>
  <si>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</si>
  <si>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</si>
  <si>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</si>
  <si>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</si>
  <si>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</si>
  <si>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</si>
  <si>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</si>
  <si>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</si>
  <si>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</si>
  <si>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</si>
  <si>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</si>
  <si>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</si>
  <si>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</si>
  <si>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</si>
  <si>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</si>
  <si>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</si>
  <si>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</si>
  <si>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</si>
  <si>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</si>
  <si>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</si>
  <si>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</si>
  <si>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</si>
  <si>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</si>
  <si>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</si>
  <si>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</si>
  <si>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</si>
  <si>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</si>
  <si>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</si>
  <si>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</si>
  <si>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</si>
  <si>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</si>
  <si>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</si>
  <si>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</si>
  <si>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</si>
  <si>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</si>
  <si>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</si>
  <si>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</si>
  <si>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</si>
  <si>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</si>
  <si>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</si>
  <si>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</si>
  <si>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</si>
  <si>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</si>
  <si>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</si>
  <si>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</si>
  <si>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</si>
  <si>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</si>
  <si>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</si>
  <si>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</si>
  <si>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</si>
  <si>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</si>
  <si>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</si>
  <si>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</si>
  <si>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</si>
  <si>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</si>
  <si>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</si>
  <si>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</si>
  <si>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</si>
  <si>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</si>
  <si>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</si>
  <si>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</si>
  <si>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</si>
  <si>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</si>
  <si>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</si>
  <si>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</si>
  <si>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</si>
  <si>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</si>
  <si>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</si>
  <si>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</si>
  <si>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</si>
  <si>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</si>
  <si>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</si>
  <si>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</si>
  <si>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</si>
  <si>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</si>
  <si>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</si>
  <si>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</si>
  <si>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</si>
  <si>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</si>
  <si>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</si>
  <si>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</si>
  <si>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</si>
  <si>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</si>
  <si>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</si>
  <si>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</si>
  <si>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</si>
  <si>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</si>
  <si>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</si>
  <si>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</si>
  <si>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</si>
  <si>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</si>
  <si>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</si>
  <si>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</si>
  <si>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</si>
  <si>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</si>
  <si>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</si>
  <si>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</si>
  <si>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</si>
  <si>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</si>
  <si>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</si>
  <si>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</si>
  <si>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</si>
  <si>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</si>
  <si>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</si>
  <si>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</si>
  <si>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</si>
  <si>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</si>
  <si>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</si>
  <si>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</si>
  <si>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</si>
  <si>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</si>
  <si>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</si>
  <si>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</si>
  <si>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</si>
  <si>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</si>
  <si>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</si>
  <si>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</si>
  <si>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</si>
  <si>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</si>
  <si>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</si>
  <si>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</si>
  <si>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</si>
  <si>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</si>
  <si>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</si>
  <si>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</si>
  <si>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</si>
  <si>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</si>
  <si>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</si>
  <si>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</si>
  <si>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</si>
  <si>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</si>
  <si>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</si>
  <si>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</si>
  <si>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</si>
  <si>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</si>
  <si>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</si>
  <si>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</si>
  <si>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</si>
  <si>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</si>
  <si>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</si>
  <si>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</si>
  <si>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</si>
  <si>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</si>
  <si>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</si>
  <si>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</si>
  <si>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</si>
  <si>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</si>
  <si>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</si>
  <si>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</si>
  <si>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</si>
  <si>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</si>
  <si>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</si>
  <si>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</si>
  <si>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</si>
  <si>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</si>
  <si>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</si>
  <si>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</si>
  <si>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</si>
  <si>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</si>
  <si>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</si>
  <si>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</si>
  <si>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</si>
  <si>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</si>
  <si>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</si>
  <si>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</si>
  <si>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</si>
  <si>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</si>
  <si>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</si>
  <si>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</si>
  <si>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</si>
  <si>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</si>
  <si>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</si>
  <si>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</si>
  <si>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</si>
  <si>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</si>
  <si>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</si>
  <si>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</si>
  <si>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</si>
  <si>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</si>
  <si>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</si>
  <si>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</si>
  <si>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</si>
  <si>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</si>
  <si>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</si>
  <si>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</si>
  <si>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</si>
  <si>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</si>
  <si>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</si>
  <si>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</si>
  <si>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</si>
  <si>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</si>
  <si>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</si>
  <si>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</si>
  <si>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</si>
  <si>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</si>
  <si>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</si>
  <si>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</si>
  <si>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</si>
  <si>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</si>
  <si>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</si>
  <si>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</si>
  <si>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</si>
  <si>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</si>
  <si>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</si>
  <si>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</si>
  <si>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</si>
  <si>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</si>
  <si>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</si>
  <si>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</si>
  <si>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</si>
  <si>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</si>
  <si>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</si>
  <si>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</si>
  <si>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</si>
  <si>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</si>
  <si>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</si>
  <si>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</si>
  <si>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</si>
  <si>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</si>
  <si>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</si>
  <si>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</si>
  <si>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</si>
  <si>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</si>
  <si>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</si>
  <si>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</si>
  <si>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</si>
  <si>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</si>
  <si>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</si>
  <si>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</si>
  <si>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</si>
  <si>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</si>
  <si>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</si>
  <si>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</si>
  <si>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</si>
  <si>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</si>
  <si>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</si>
  <si>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</si>
  <si>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</si>
  <si>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</si>
  <si>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</si>
  <si>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</si>
  <si>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</si>
  <si>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</si>
  <si>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</si>
  <si>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</si>
  <si>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</si>
  <si>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</si>
  <si>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</si>
  <si>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</si>
  <si>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</si>
  <si>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</si>
  <si>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</si>
  <si>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</si>
  <si>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</si>
  <si>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</si>
  <si>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</si>
  <si>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</si>
  <si>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</si>
  <si>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</si>
  <si>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</si>
  <si>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</si>
  <si>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</si>
  <si>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</si>
  <si>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</si>
  <si>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</si>
  <si>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</si>
  <si>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</si>
  <si>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</si>
  <si>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</si>
  <si>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</si>
  <si>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</si>
  <si>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</si>
  <si>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</si>
  <si>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</si>
  <si>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</si>
  <si>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</si>
  <si>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</si>
  <si>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</si>
  <si>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</si>
  <si>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</si>
  <si>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</si>
  <si>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</si>
  <si>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</si>
  <si>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</si>
  <si>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</si>
  <si>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</si>
  <si>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</si>
  <si>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</si>
  <si>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</si>
  <si>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</si>
  <si>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</si>
  <si>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</si>
  <si>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</si>
  <si>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</si>
  <si>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</si>
  <si>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</si>
  <si>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</si>
  <si>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</si>
  <si>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</si>
  <si>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</si>
  <si>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</si>
  <si>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</si>
  <si>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</si>
  <si>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</si>
  <si>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</si>
  <si>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</si>
  <si>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</si>
  <si>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</si>
  <si>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</si>
  <si>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</si>
  <si>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</si>
  <si>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</si>
  <si>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</si>
  <si>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</si>
  <si>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</si>
  <si>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</si>
  <si>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</si>
  <si>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</si>
  <si>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</si>
  <si>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</si>
  <si>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</si>
  <si>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</si>
  <si>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</si>
  <si>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</si>
  <si>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</si>
  <si>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</si>
  <si>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</si>
  <si>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</si>
  <si>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</si>
  <si>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</si>
  <si>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</si>
  <si>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</si>
  <si>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</si>
  <si>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</si>
  <si>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</si>
  <si>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</si>
  <si>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</si>
  <si>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</si>
  <si>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</si>
  <si>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</si>
  <si>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</si>
  <si>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</si>
  <si>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</si>
  <si>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</si>
  <si>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</si>
  <si>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</si>
  <si>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</si>
  <si>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</si>
  <si>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</si>
  <si>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</si>
  <si>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</si>
  <si>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</si>
  <si>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</si>
  <si>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</si>
  <si>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</si>
  <si>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</si>
  <si>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</si>
  <si>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</si>
  <si>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</si>
  <si>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</si>
  <si>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</si>
  <si>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</si>
  <si>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</si>
  <si>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</si>
  <si>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</si>
  <si>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</si>
  <si>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</si>
  <si>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</si>
  <si>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</si>
  <si>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</si>
  <si>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</si>
  <si>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</si>
  <si>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</si>
  <si>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</si>
  <si>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</si>
  <si>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</si>
  <si>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</si>
  <si>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</si>
  <si>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</si>
  <si>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</si>
  <si>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</si>
  <si>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</si>
  <si>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</si>
  <si>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</si>
  <si>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</si>
  <si>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</si>
  <si>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</si>
  <si>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</si>
  <si>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</si>
  <si>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</si>
  <si>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</si>
  <si>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</si>
  <si>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</si>
  <si>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</si>
  <si>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</si>
  <si>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</si>
  <si>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</si>
  <si>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</si>
  <si>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</si>
  <si>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</si>
  <si>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</si>
  <si>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</si>
  <si>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</si>
  <si>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</si>
  <si>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</si>
  <si>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</si>
  <si>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</si>
  <si>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</si>
  <si>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</si>
  <si>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</si>
  <si>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</si>
  <si>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</si>
  <si>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</si>
  <si>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</si>
  <si>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</si>
  <si>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</si>
  <si>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</si>
  <si>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</si>
  <si>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</si>
  <si>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</si>
  <si>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</si>
  <si>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</si>
  <si>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</si>
  <si>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</si>
  <si>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</si>
  <si>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</si>
  <si>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</si>
  <si>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</si>
  <si>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</si>
  <si>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</si>
  <si>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</si>
  <si>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</si>
  <si>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</si>
  <si>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</si>
  <si>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</si>
  <si>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</si>
  <si>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</si>
  <si>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</si>
  <si>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</si>
  <si>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</si>
  <si>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</si>
  <si>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</si>
  <si>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</si>
  <si>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</si>
  <si>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</si>
  <si>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</si>
  <si>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</si>
  <si>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</si>
  <si>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</si>
  <si>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</si>
  <si>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</si>
  <si>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</si>
  <si>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</si>
  <si>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</si>
  <si>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</si>
  <si>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</si>
  <si>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</si>
  <si>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</si>
  <si>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</si>
  <si>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</si>
  <si>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</si>
  <si>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</si>
  <si>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</si>
  <si>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</si>
  <si>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</si>
  <si>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</si>
  <si>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</si>
  <si>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</si>
  <si>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</si>
  <si>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</si>
  <si>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</si>
  <si>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</si>
  <si>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</si>
  <si>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</si>
  <si>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</si>
  <si>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</si>
  <si>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</si>
  <si>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</si>
  <si>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</si>
  <si>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</si>
  <si>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</si>
  <si>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</si>
  <si>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</si>
  <si>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</si>
  <si>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</si>
  <si>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</si>
  <si>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</si>
  <si>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</si>
  <si>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</si>
  <si>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</si>
  <si>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</si>
  <si>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</si>
  <si>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</si>
  <si>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</si>
  <si>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</si>
  <si>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</si>
  <si>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</si>
  <si>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</si>
  <si>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</si>
  <si>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</si>
  <si>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</si>
  <si>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</si>
  <si>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</si>
  <si>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</si>
  <si>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</si>
  <si>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</si>
  <si>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</si>
  <si>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</si>
  <si>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</si>
  <si>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</si>
  <si>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</si>
  <si>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</si>
  <si>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</si>
  <si>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</si>
  <si>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</si>
  <si>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</si>
  <si>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</si>
  <si>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</si>
  <si>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</si>
  <si>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</si>
  <si>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</si>
  <si>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</si>
  <si>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</si>
  <si>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</si>
  <si>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</si>
  <si>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</si>
  <si>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</si>
  <si>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</si>
  <si>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</si>
  <si>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</si>
  <si>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</si>
  <si>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</si>
  <si>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</si>
  <si>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</si>
  <si>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</si>
  <si>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</si>
  <si>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</si>
  <si>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</si>
  <si>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</si>
  <si>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</si>
  <si>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</si>
  <si>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</si>
  <si>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</si>
  <si>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</si>
  <si>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</si>
  <si>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</si>
  <si>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</si>
  <si>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</si>
  <si>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</si>
  <si>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</si>
  <si>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</si>
  <si>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</si>
  <si>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</si>
  <si>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</si>
  <si>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</si>
  <si>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</si>
  <si>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</si>
  <si>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</si>
  <si>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</si>
  <si>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</si>
  <si>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</si>
  <si>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</si>
  <si>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</si>
  <si>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</si>
  <si>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</si>
  <si>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</si>
  <si>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</si>
  <si>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</si>
  <si>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</si>
  <si>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</si>
  <si>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</si>
  <si>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</si>
  <si>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</si>
  <si>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</si>
  <si>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</si>
  <si>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</si>
  <si>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</si>
  <si>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</si>
  <si>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</si>
  <si>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</si>
  <si>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</si>
  <si>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</si>
  <si>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</si>
  <si>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</si>
  <si>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</si>
  <si>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</si>
  <si>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</si>
  <si>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</si>
  <si>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</si>
  <si>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</si>
  <si>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</si>
  <si>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</si>
  <si>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</si>
  <si>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</si>
  <si>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</si>
  <si>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</si>
  <si>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</si>
  <si>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</si>
  <si>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</si>
  <si>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</si>
  <si>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</si>
  <si>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</si>
  <si>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</si>
  <si>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</si>
  <si>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</si>
  <si>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</si>
  <si>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</si>
  <si>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</si>
  <si>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</si>
  <si>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</si>
  <si>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</si>
  <si>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</si>
  <si>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</si>
  <si>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</si>
  <si>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</si>
  <si>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</si>
  <si>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</si>
  <si>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</si>
  <si>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</si>
  <si>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</si>
  <si>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</si>
  <si>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</si>
  <si>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</si>
  <si>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</si>
  <si>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</si>
  <si>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</si>
  <si>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</si>
  <si>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</si>
  <si>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</si>
  <si>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</si>
  <si>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</si>
  <si>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</si>
  <si>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</si>
  <si>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</si>
  <si>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</si>
  <si>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</si>
  <si>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</si>
  <si>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</si>
  <si>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</si>
  <si>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</si>
  <si>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</si>
  <si>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</si>
  <si>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</si>
  <si>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</si>
  <si>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</si>
  <si>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</si>
  <si>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</si>
  <si>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</si>
  <si>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</si>
  <si>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</si>
  <si>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</si>
  <si>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</si>
  <si>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</si>
  <si>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</si>
  <si>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</si>
  <si>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</si>
  <si>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</si>
  <si>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</si>
  <si>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</si>
  <si>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</si>
  <si>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</si>
  <si>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</si>
  <si>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</si>
  <si>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</si>
  <si>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</si>
  <si>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</si>
  <si>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</si>
  <si>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</si>
  <si>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</si>
  <si>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</si>
  <si>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</si>
  <si>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</si>
  <si>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</si>
  <si>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</si>
  <si>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</si>
  <si>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</si>
  <si>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</si>
  <si>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</si>
  <si>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</si>
  <si>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</si>
  <si>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</si>
  <si>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</si>
  <si>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</si>
  <si>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</si>
  <si>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</si>
  <si>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</si>
  <si>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</si>
  <si>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</si>
  <si>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</si>
  <si>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</si>
  <si>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</si>
  <si>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</si>
  <si>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</si>
  <si>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</si>
  <si>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</si>
  <si>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</si>
  <si>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</si>
  <si>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</si>
  <si>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</si>
  <si>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</si>
  <si>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</si>
  <si>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</si>
  <si>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</si>
  <si>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</si>
  <si>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</si>
  <si>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</si>
  <si>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</si>
  <si>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</si>
  <si>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</si>
  <si>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</si>
  <si>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</si>
  <si>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</si>
  <si>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</si>
  <si>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</si>
  <si>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</si>
  <si>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</si>
  <si>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</si>
  <si>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</si>
  <si>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</si>
  <si>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</si>
  <si>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</si>
  <si>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</si>
  <si>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</si>
  <si>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</si>
  <si>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</si>
  <si>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</si>
  <si>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</si>
  <si>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</si>
  <si>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</si>
  <si>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</si>
  <si>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</si>
  <si>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</si>
  <si>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</si>
  <si>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</si>
  <si>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</si>
  <si>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</si>
  <si>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</si>
  <si>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</si>
  <si>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</si>
  <si>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</si>
  <si>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</si>
  <si>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</si>
  <si>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</si>
  <si>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</si>
  <si>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</si>
  <si>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</si>
  <si>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</si>
  <si>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</si>
  <si>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</si>
  <si>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</si>
  <si>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</si>
  <si>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</si>
  <si>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</si>
  <si>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</si>
  <si>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</si>
  <si>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</si>
  <si>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</si>
  <si>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</si>
  <si>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</si>
  <si>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</si>
  <si>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</si>
  <si>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</si>
  <si>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</si>
  <si>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</si>
  <si>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</si>
  <si>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</si>
  <si>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</si>
  <si>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</si>
  <si>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</si>
  <si>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</si>
  <si>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</si>
  <si>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</si>
  <si>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</si>
  <si>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</si>
  <si>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</si>
  <si>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</si>
  <si>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</si>
  <si>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</si>
  <si>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</si>
  <si>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</si>
  <si>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</si>
  <si>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</si>
  <si>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</si>
  <si>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</si>
  <si>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</si>
  <si>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</si>
  <si>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</si>
  <si>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</si>
  <si>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</si>
  <si>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</si>
  <si>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</si>
  <si>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</si>
  <si>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</si>
  <si>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</si>
  <si>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</si>
  <si>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</si>
  <si>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</si>
  <si>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</si>
  <si>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</si>
  <si>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</si>
  <si>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</si>
  <si>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</si>
  <si>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</si>
  <si>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</si>
  <si>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</si>
  <si>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</si>
  <si>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</si>
  <si>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</si>
  <si>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</si>
  <si>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</si>
  <si>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</si>
  <si>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</si>
  <si>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</si>
  <si>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</si>
  <si>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</si>
  <si>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</si>
  <si>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</si>
  <si>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</si>
  <si>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</si>
  <si>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</si>
  <si>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</si>
  <si>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</si>
  <si>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</si>
  <si>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</si>
  <si>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</si>
  <si>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</si>
  <si>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</si>
  <si>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</si>
  <si>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</si>
  <si>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</si>
  <si>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</si>
  <si>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</si>
  <si>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</si>
  <si>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</si>
  <si>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</si>
  <si>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</si>
  <si>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</si>
  <si>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</si>
  <si>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</si>
  <si>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</si>
  <si>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</si>
  <si>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</si>
  <si>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</si>
  <si>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</si>
  <si>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</si>
  <si>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</si>
  <si>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</si>
  <si>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</si>
  <si>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</si>
  <si>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</si>
  <si>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</si>
  <si>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</si>
  <si>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</si>
  <si>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</si>
  <si>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</si>
  <si>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</si>
  <si>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</si>
  <si>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</si>
  <si>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</si>
  <si>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</si>
  <si>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</si>
  <si>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</si>
  <si>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</si>
  <si>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</si>
  <si>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</si>
  <si>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</si>
  <si>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</si>
  <si>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</si>
  <si>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</si>
  <si>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</si>
  <si>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</si>
  <si>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</si>
  <si>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</si>
  <si>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</si>
  <si>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</si>
  <si>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</si>
  <si>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</si>
  <si>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</si>
  <si>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</si>
  <si>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</si>
  <si>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</si>
  <si>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</si>
  <si>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</si>
  <si>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</si>
  <si>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</si>
  <si>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</si>
  <si>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</si>
  <si>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</si>
  <si>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</si>
  <si>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</si>
  <si>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</si>
  <si>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</si>
  <si>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</si>
  <si>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</si>
  <si>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</si>
  <si>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</si>
  <si>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</si>
  <si>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</si>
  <si>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</si>
  <si>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</si>
  <si>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</si>
  <si>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</si>
  <si>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</si>
  <si>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</si>
  <si>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</si>
  <si>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</si>
  <si>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</si>
  <si>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</si>
  <si>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</si>
  <si>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</si>
  <si>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</si>
  <si>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</si>
  <si>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</si>
  <si>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</si>
  <si>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</si>
  <si>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</si>
  <si>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</si>
  <si>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</si>
  <si>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</si>
  <si>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</si>
  <si>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</si>
  <si>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</si>
  <si>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</si>
  <si>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</si>
  <si>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</si>
  <si>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</si>
  <si>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</si>
  <si>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</si>
  <si>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</si>
  <si>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</si>
  <si>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</si>
  <si>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</si>
  <si>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</si>
  <si>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</si>
  <si>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</si>
  <si>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</si>
  <si>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</si>
  <si>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</si>
  <si>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</si>
  <si>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</si>
  <si>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</si>
  <si>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</si>
  <si>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</si>
  <si>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</si>
  <si>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</si>
  <si>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</si>
  <si>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</si>
  <si>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</si>
  <si>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</si>
  <si>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</si>
  <si>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</si>
  <si>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</si>
  <si>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</si>
  <si>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</si>
  <si>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</si>
  <si>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</si>
  <si>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</si>
  <si>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</si>
  <si>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</si>
  <si>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</si>
  <si>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</si>
  <si>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</si>
  <si>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</si>
  <si>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</si>
  <si>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</si>
  <si>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</si>
  <si>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</si>
  <si>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</si>
  <si>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</si>
  <si>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</si>
  <si>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</si>
  <si>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</si>
  <si>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</si>
  <si>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</si>
  <si>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</si>
  <si>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</si>
  <si>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</si>
  <si>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</si>
  <si>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</si>
  <si>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</si>
  <si>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</si>
  <si>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</si>
  <si>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</si>
  <si>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</si>
  <si>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</si>
  <si>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</si>
  <si>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</si>
  <si>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</si>
  <si>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</si>
  <si>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</si>
  <si>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</si>
  <si>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</si>
  <si>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</si>
  <si>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</si>
  <si>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</si>
  <si>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</si>
  <si>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</si>
  <si>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</si>
  <si>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</si>
  <si>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</si>
  <si>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</si>
  <si>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</si>
  <si>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</si>
  <si>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</si>
  <si>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</si>
  <si>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</si>
  <si>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</si>
  <si>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</si>
  <si>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</si>
  <si>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</si>
  <si>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</si>
  <si>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</si>
  <si>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</si>
  <si>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</si>
  <si>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</si>
  <si>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</si>
  <si>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</si>
  <si>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</si>
  <si>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</si>
  <si>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</si>
  <si>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</si>
  <si>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</si>
  <si>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</si>
  <si>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</si>
  <si>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</si>
  <si>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</si>
  <si>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</si>
  <si>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</si>
  <si>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</si>
  <si>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</si>
  <si>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</si>
  <si>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</si>
  <si>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</si>
  <si>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</si>
  <si>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</si>
  <si>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</si>
  <si>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</si>
  <si>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</si>
  <si>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</si>
  <si>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</si>
  <si>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</si>
  <si>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</si>
  <si>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</si>
  <si>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</si>
  <si>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</si>
  <si>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</si>
  <si>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</si>
  <si>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</si>
  <si>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</si>
  <si>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</si>
  <si>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</si>
  <si>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</si>
  <si>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</si>
  <si>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</si>
  <si>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</si>
  <si>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</si>
  <si>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</si>
  <si>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</si>
  <si>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</si>
  <si>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</si>
  <si>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</si>
  <si>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</si>
  <si>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</si>
  <si>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</si>
  <si>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</si>
  <si>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</si>
  <si>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</si>
  <si>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</si>
  <si>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</si>
  <si>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</si>
  <si>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</si>
  <si>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</si>
  <si>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</si>
  <si>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</si>
  <si>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</si>
  <si>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</si>
  <si>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</si>
  <si>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</si>
  <si>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</si>
  <si>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</si>
  <si>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</si>
  <si>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</si>
  <si>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</si>
  <si>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</si>
  <si>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</si>
  <si>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</si>
  <si>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</si>
  <si>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</si>
  <si>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</si>
  <si>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</si>
  <si>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</si>
  <si>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</si>
  <si>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</si>
  <si>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</si>
  <si>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</si>
  <si>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</si>
  <si>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</si>
  <si>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</si>
  <si>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</si>
  <si>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</si>
  <si>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</si>
  <si>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</si>
  <si>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</si>
  <si>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</si>
  <si>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</si>
  <si>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</si>
  <si>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</si>
  <si>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</si>
  <si>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</si>
  <si>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</si>
  <si>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</si>
  <si>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</si>
  <si>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</si>
  <si>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</si>
  <si>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</si>
  <si>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</si>
  <si>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</si>
  <si>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</si>
  <si>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</si>
  <si>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</si>
  <si>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</si>
  <si>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</si>
  <si>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</si>
  <si>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</si>
  <si>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</si>
  <si>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</si>
  <si>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</si>
  <si>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</si>
  <si>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</si>
  <si>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</si>
  <si>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</si>
  <si>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</si>
  <si>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</si>
  <si>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</si>
  <si>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</si>
  <si>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</si>
  <si>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</si>
  <si>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</si>
  <si>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</si>
  <si>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</si>
  <si>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</si>
  <si>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</si>
  <si>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</si>
  <si>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</si>
  <si>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</si>
  <si>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</si>
  <si>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</si>
  <si>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</si>
  <si>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</si>
  <si>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</si>
  <si>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</si>
  <si>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</si>
  <si>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</si>
  <si>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</si>
  <si>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</si>
  <si>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</si>
  <si>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</si>
  <si>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</si>
  <si>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</si>
  <si>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</si>
  <si>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</si>
  <si>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</si>
  <si>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</si>
  <si>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</si>
  <si>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</si>
  <si>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</si>
  <si>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</si>
  <si>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</si>
  <si>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</si>
  <si>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</si>
  <si>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</si>
  <si>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</si>
  <si>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</si>
  <si>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</si>
  <si>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</si>
  <si>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</si>
  <si>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</si>
  <si>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</si>
  <si>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</si>
  <si>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</si>
  <si>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</si>
  <si>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</si>
  <si>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</si>
  <si>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</si>
  <si>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</si>
  <si>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</si>
  <si>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</si>
  <si>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</si>
  <si>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</si>
  <si>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</si>
  <si>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</si>
  <si>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</si>
  <si>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</si>
  <si>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</si>
  <si>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</si>
  <si>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</si>
  <si>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</si>
  <si>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</si>
  <si>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</si>
  <si>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</si>
  <si>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</si>
  <si>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</si>
  <si>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</si>
  <si>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</si>
  <si>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</si>
  <si>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</si>
  <si>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</si>
  <si>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</si>
  <si>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</si>
  <si>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</si>
  <si>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</si>
  <si>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</si>
  <si>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</si>
  <si>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</si>
  <si>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</si>
  <si>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</si>
  <si>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</si>
  <si>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</si>
  <si>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</si>
  <si>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</si>
  <si>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</si>
  <si>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</si>
  <si>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</si>
  <si>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</si>
  <si>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</si>
  <si>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</si>
  <si>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</si>
  <si>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</si>
  <si>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</si>
  <si>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</si>
  <si>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</si>
  <si>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</si>
  <si>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</si>
  <si>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</si>
  <si>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</si>
  <si>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</si>
  <si>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</si>
  <si>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</si>
  <si>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</si>
  <si>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</si>
  <si>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</si>
  <si>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</si>
  <si>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</si>
  <si>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</si>
  <si>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</si>
  <si>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</si>
  <si>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</si>
  <si>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</si>
  <si>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</si>
  <si>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</si>
  <si>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</si>
  <si>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</si>
  <si>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</si>
  <si>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</si>
  <si>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</si>
  <si>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</si>
  <si>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</si>
  <si>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</si>
  <si>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</si>
  <si>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</si>
  <si>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</si>
  <si>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</si>
  <si>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</si>
  <si>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</si>
  <si>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</si>
  <si>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</si>
  <si>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</si>
  <si>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</si>
  <si>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</si>
  <si>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</si>
  <si>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</si>
  <si>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</si>
  <si>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</si>
  <si>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</si>
  <si>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</si>
  <si>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</si>
  <si>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</si>
  <si>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</si>
  <si>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</si>
  <si>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</si>
  <si>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</si>
  <si>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</si>
  <si>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</si>
  <si>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</si>
  <si>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</si>
  <si>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</si>
  <si>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</si>
  <si>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</si>
  <si>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</si>
  <si>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</si>
  <si>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</si>
  <si>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</si>
  <si>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</si>
  <si>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</si>
  <si>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</si>
  <si>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</si>
  <si>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</si>
  <si>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</si>
  <si>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</si>
  <si>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</si>
  <si>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</si>
  <si>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</si>
  <si>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</si>
  <si>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</si>
  <si>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</si>
  <si>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</si>
  <si>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</si>
  <si>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</si>
  <si>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</si>
  <si>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</si>
  <si>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</si>
  <si>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</si>
  <si>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</si>
  <si>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</si>
  <si>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</si>
  <si>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</si>
  <si>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</si>
  <si>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</si>
  <si>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</si>
  <si>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</si>
  <si>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</si>
  <si>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</si>
  <si>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</si>
  <si>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</si>
  <si>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</si>
  <si>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</si>
  <si>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</si>
  <si>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</si>
  <si>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</si>
  <si>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</si>
  <si>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</si>
  <si>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</si>
  <si>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</si>
  <si>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</si>
  <si>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</si>
  <si>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</si>
  <si>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</si>
  <si>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</si>
  <si>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</si>
  <si>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</si>
  <si>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</si>
  <si>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</si>
  <si>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</si>
  <si>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</si>
  <si>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</si>
  <si>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</si>
  <si>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</si>
  <si>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</si>
  <si>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</si>
  <si>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</si>
  <si>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</si>
  <si>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</si>
  <si>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</si>
  <si>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</si>
  <si>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</si>
  <si>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</si>
  <si>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</si>
  <si>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</si>
  <si>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</si>
  <si>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</si>
  <si>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</si>
  <si>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</si>
  <si>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</si>
  <si>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</si>
  <si>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</si>
  <si>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</si>
  <si>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</si>
  <si>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</si>
  <si>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</si>
  <si>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</si>
  <si>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</si>
  <si>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</si>
  <si>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</si>
  <si>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</si>
  <si>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</si>
  <si>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</si>
  <si>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</si>
  <si>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</si>
  <si>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</si>
  <si>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</si>
  <si>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</si>
  <si>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</si>
  <si>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</si>
  <si>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</si>
  <si>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</si>
  <si>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</si>
  <si>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</si>
  <si>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</si>
  <si>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</si>
  <si>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</si>
  <si>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</si>
  <si>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</si>
  <si>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</si>
  <si>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</si>
  <si>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</si>
  <si>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</si>
  <si>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</si>
  <si>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</si>
  <si>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</si>
  <si>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</si>
  <si>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</si>
  <si>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</si>
  <si>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</si>
  <si>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</si>
  <si>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</si>
  <si>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</si>
  <si>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</si>
  <si>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</si>
  <si>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</si>
  <si>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</si>
  <si>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</si>
  <si>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</si>
  <si>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</si>
  <si>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</si>
  <si>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</si>
  <si>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</si>
  <si>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</si>
  <si>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</si>
  <si>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</si>
  <si>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</si>
  <si>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</si>
  <si>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</si>
  <si>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</si>
  <si>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</si>
  <si>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</si>
  <si>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</si>
  <si>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</si>
  <si>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</si>
  <si>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</si>
  <si>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</si>
  <si>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</si>
  <si>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</si>
  <si>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</si>
  <si>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</si>
  <si>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</si>
  <si>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</si>
  <si>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</si>
  <si>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</si>
  <si>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</si>
  <si>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</si>
  <si>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</si>
  <si>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</si>
  <si>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</si>
  <si>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</si>
  <si>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</si>
  <si>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</si>
  <si>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</si>
  <si>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</si>
  <si>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</si>
  <si>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</si>
  <si>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</si>
  <si>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</si>
  <si>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</si>
  <si>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</si>
  <si>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</si>
  <si>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</si>
  <si>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</si>
  <si>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</si>
  <si>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</si>
  <si>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</si>
  <si>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</si>
  <si>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</si>
  <si>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</si>
  <si>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</si>
  <si>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</si>
  <si>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</si>
  <si>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</si>
  <si>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</si>
  <si>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</si>
  <si>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</si>
  <si>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</si>
  <si>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</si>
  <si>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</si>
  <si>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</si>
  <si>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</si>
  <si>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</si>
  <si>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</si>
  <si>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</si>
  <si>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</si>
  <si>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</si>
  <si>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</si>
  <si>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</si>
  <si>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</si>
  <si>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</si>
  <si>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</si>
  <si>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</si>
  <si>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</si>
  <si>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</si>
  <si>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</si>
  <si>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</si>
  <si>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</si>
  <si>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</si>
  <si>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</si>
  <si>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</si>
  <si>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</si>
  <si>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</si>
  <si>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</si>
  <si>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</si>
  <si>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</si>
  <si>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</si>
  <si>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</si>
  <si>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</si>
  <si>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</si>
  <si>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</si>
  <si>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</si>
  <si>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</si>
  <si>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</si>
  <si>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</si>
  <si>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</si>
  <si>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</si>
  <si>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</si>
  <si>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</si>
  <si>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</si>
  <si>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</si>
  <si>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</si>
  <si>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</si>
  <si>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</si>
  <si>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</si>
  <si>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</si>
  <si>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</si>
  <si>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</si>
  <si>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</si>
  <si>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</si>
  <si>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</si>
  <si>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</si>
  <si>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</si>
  <si>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</si>
  <si>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</si>
  <si>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</si>
  <si>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</si>
  <si>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</si>
  <si>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</si>
  <si>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</si>
  <si>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</si>
  <si>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</si>
  <si>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</si>
  <si>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</si>
  <si>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</si>
  <si>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</si>
  <si>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</si>
  <si>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</si>
  <si>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</si>
  <si>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</si>
  <si>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</si>
  <si>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</si>
  <si>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</si>
  <si>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</si>
  <si>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</si>
  <si>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</si>
  <si>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</si>
  <si>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</si>
  <si>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</si>
  <si>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</si>
  <si>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</si>
  <si>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</si>
  <si>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</si>
  <si>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</si>
  <si>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</si>
  <si>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</si>
  <si>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</si>
  <si>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</si>
  <si>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</si>
  <si>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</si>
  <si>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</si>
  <si>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</si>
  <si>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</si>
  <si>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</si>
  <si>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</si>
  <si>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</si>
  <si>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</si>
  <si>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</si>
  <si>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</si>
  <si>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</si>
  <si>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</si>
  <si>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</si>
  <si>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</si>
  <si>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</si>
  <si>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</si>
  <si>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</si>
  <si>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</si>
  <si>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</si>
  <si>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</si>
  <si>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</si>
  <si>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</si>
  <si>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</si>
  <si>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</si>
  <si>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</si>
  <si>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</si>
  <si>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</si>
  <si>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</si>
  <si>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</si>
  <si>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</si>
  <si>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</si>
  <si>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</si>
  <si>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</si>
  <si>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</si>
  <si>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</si>
  <si>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</si>
  <si>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</si>
  <si>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</si>
  <si>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</si>
  <si>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</si>
  <si>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</si>
  <si>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</si>
  <si>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</si>
  <si>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</si>
  <si>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</si>
  <si>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</si>
  <si>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</si>
  <si>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</si>
  <si>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</si>
  <si>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</si>
  <si>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</si>
  <si>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</si>
  <si>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</si>
  <si>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</si>
  <si>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</si>
  <si>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</si>
  <si>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</si>
  <si>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</si>
  <si>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</si>
  <si>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</si>
  <si>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</si>
  <si>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</si>
  <si>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</si>
  <si>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</si>
  <si>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</si>
  <si>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</si>
  <si>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</si>
  <si>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</si>
  <si>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</si>
  <si>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</si>
  <si>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</si>
  <si>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</si>
  <si>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</si>
  <si>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</si>
  <si>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</si>
  <si>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</si>
  <si>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</si>
  <si>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</si>
  <si>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</si>
  <si>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</si>
  <si>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</si>
  <si>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</si>
  <si>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</si>
  <si>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</si>
  <si>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</si>
  <si>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</si>
  <si>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</si>
  <si>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</si>
  <si>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</si>
  <si>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</si>
  <si>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</si>
  <si>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</si>
  <si>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</si>
  <si>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</si>
  <si>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</si>
  <si>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</si>
  <si>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</si>
  <si>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</si>
  <si>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</si>
  <si>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</si>
  <si>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</si>
  <si>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</si>
  <si>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</si>
  <si>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</si>
  <si>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</si>
  <si>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</si>
  <si>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</si>
  <si>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</si>
  <si>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</si>
  <si>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</si>
  <si>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</si>
  <si>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</si>
  <si>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</si>
  <si>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</si>
  <si>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</si>
  <si>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</si>
  <si>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</si>
  <si>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</si>
  <si>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</si>
  <si>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</si>
  <si>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</si>
  <si>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</si>
  <si>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</si>
  <si>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</si>
  <si>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</si>
  <si>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</si>
  <si>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</si>
  <si>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</si>
  <si>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</si>
  <si>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</si>
  <si>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</si>
  <si>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</si>
  <si>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</si>
  <si>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</si>
  <si>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</si>
  <si>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</si>
  <si>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</si>
  <si>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</si>
  <si>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</si>
  <si>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</si>
  <si>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</si>
  <si>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</si>
  <si>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</si>
  <si>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</si>
  <si>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</si>
  <si>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</si>
  <si>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</si>
  <si>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</si>
  <si>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</si>
  <si>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</si>
  <si>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</si>
  <si>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</si>
  <si>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</si>
  <si>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</si>
  <si>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</si>
  <si>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</si>
  <si>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</si>
  <si>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</si>
  <si>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</si>
  <si>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</si>
  <si>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</si>
  <si>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</si>
  <si>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</si>
  <si>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</si>
  <si>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</si>
  <si>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</si>
  <si>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</si>
  <si>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</si>
  <si>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</si>
  <si>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</si>
  <si>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</si>
  <si>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</si>
  <si>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</si>
  <si>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</si>
  <si>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</si>
  <si>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</si>
  <si>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</si>
  <si>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</si>
  <si>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</si>
  <si>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</si>
  <si>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</si>
  <si>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</si>
  <si>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</si>
  <si>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</si>
  <si>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</si>
  <si>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</si>
  <si>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</si>
  <si>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</si>
  <si>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</si>
  <si>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</si>
  <si>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</si>
  <si>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</si>
  <si>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</si>
  <si>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</si>
  <si>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</si>
  <si>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</si>
  <si>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</si>
  <si>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</si>
  <si>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</si>
  <si>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</si>
  <si>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</si>
  <si>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</si>
  <si>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</si>
  <si>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</si>
  <si>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</si>
  <si>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</si>
  <si>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</si>
  <si>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</si>
  <si>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</si>
  <si>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</si>
  <si>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</si>
  <si>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</si>
  <si>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</si>
  <si>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</si>
  <si>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</si>
  <si>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</si>
  <si>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</si>
  <si>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</si>
  <si>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</si>
  <si>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</si>
  <si>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</si>
  <si>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</si>
  <si>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</si>
  <si>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</si>
  <si>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</si>
  <si>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</si>
  <si>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</si>
  <si>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</si>
  <si>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</si>
  <si>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</si>
  <si>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</si>
  <si>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</si>
  <si>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</si>
  <si>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</si>
  <si>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</si>
  <si>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</si>
  <si>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</si>
  <si>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</si>
  <si>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</si>
  <si>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</si>
  <si>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</si>
  <si>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</si>
  <si>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</si>
  <si>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</si>
  <si>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</si>
  <si>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</si>
  <si>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</si>
  <si>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</si>
  <si>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</si>
  <si>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</si>
  <si>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</si>
  <si>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</si>
  <si>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</si>
  <si>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</si>
  <si>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</si>
  <si>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</si>
  <si>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</si>
  <si>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</si>
  <si>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</si>
  <si>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</si>
  <si>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</si>
  <si>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</si>
  <si>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</si>
  <si>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</si>
  <si>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</si>
  <si>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</si>
  <si>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</si>
  <si>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</si>
  <si>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</si>
  <si>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</si>
  <si>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</si>
  <si>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</si>
  <si>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</si>
  <si>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</si>
  <si>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</si>
  <si>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</si>
  <si>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</si>
  <si>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</si>
  <si>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</si>
  <si>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</si>
  <si>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</si>
  <si>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</si>
  <si>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</si>
  <si>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</si>
  <si>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</si>
  <si>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</si>
  <si>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</si>
  <si>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</si>
  <si>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</si>
  <si>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</si>
  <si>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</si>
  <si>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</si>
  <si>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</si>
  <si>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</si>
  <si>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</si>
  <si>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</si>
  <si>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</si>
  <si>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</si>
  <si>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</si>
  <si>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</si>
  <si>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</si>
  <si>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</si>
  <si>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</si>
  <si>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</si>
  <si>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</si>
  <si>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</si>
  <si>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</si>
  <si>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</si>
  <si>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</si>
  <si>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</si>
  <si>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</si>
  <si>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</si>
  <si>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</si>
  <si>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</si>
  <si>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</si>
  <si>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</si>
  <si>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</si>
  <si>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</si>
  <si>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</si>
  <si>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</si>
  <si>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</si>
  <si>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</si>
  <si>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</si>
  <si>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</si>
  <si>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</si>
  <si>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</si>
  <si>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</si>
  <si>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</si>
  <si>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</si>
  <si>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</si>
  <si>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</si>
  <si>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</si>
  <si>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</si>
  <si>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</si>
  <si>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</si>
  <si>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</si>
  <si>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</si>
  <si>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</si>
  <si>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</si>
  <si>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</si>
  <si>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</si>
  <si>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</si>
  <si>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</si>
  <si>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</si>
  <si>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</si>
  <si>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</si>
  <si>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</si>
  <si>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</si>
  <si>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</si>
  <si>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</si>
  <si>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</si>
  <si>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</si>
  <si>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</si>
  <si>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</si>
  <si>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</si>
  <si>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</si>
  <si>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</si>
  <si>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</si>
  <si>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</si>
  <si>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</si>
  <si>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</si>
  <si>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</si>
  <si>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</si>
  <si>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</si>
  <si>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</si>
  <si>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</si>
  <si>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</si>
  <si>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</si>
  <si>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</si>
  <si>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</si>
  <si>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</si>
  <si>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</si>
  <si>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</si>
  <si>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</si>
  <si>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</si>
  <si>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</si>
  <si>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</si>
  <si>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</si>
  <si>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</si>
  <si>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</si>
  <si>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</si>
  <si>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</si>
  <si>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</si>
  <si>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</si>
  <si>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</si>
  <si>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</si>
  <si>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</si>
  <si>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</si>
  <si>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</si>
  <si>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</si>
  <si>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</si>
  <si>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</si>
  <si>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</si>
  <si>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</si>
  <si>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</si>
  <si>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</si>
  <si>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</si>
  <si>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</si>
  <si>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</si>
  <si>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</si>
  <si>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</si>
  <si>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</si>
  <si>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</si>
  <si>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</si>
  <si>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</si>
  <si>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</si>
  <si>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</si>
  <si>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</si>
  <si>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</si>
  <si>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</si>
  <si>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</si>
  <si>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</si>
  <si>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</si>
  <si>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</si>
  <si>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</si>
  <si>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</si>
  <si>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</si>
  <si>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</si>
  <si>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</si>
  <si>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</si>
  <si>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</si>
  <si>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</si>
  <si>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</si>
  <si>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</si>
  <si>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</si>
  <si>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</si>
  <si>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</si>
  <si>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</si>
  <si>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</si>
  <si>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</si>
  <si>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</si>
  <si>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</si>
  <si>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</si>
  <si>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</si>
  <si>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</si>
  <si>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</si>
  <si>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</si>
  <si>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</si>
  <si>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</si>
  <si>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</si>
  <si>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</si>
  <si>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</si>
  <si>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</si>
  <si>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</si>
  <si>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</si>
  <si>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</si>
  <si>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</si>
  <si>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</si>
  <si>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</si>
  <si>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</si>
  <si>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</si>
  <si>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</si>
  <si>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</si>
  <si>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</si>
  <si>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</si>
  <si>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</si>
  <si>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</si>
  <si>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</si>
  <si>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</si>
  <si>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</si>
  <si>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</si>
  <si>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</si>
  <si>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</si>
  <si>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</si>
  <si>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</si>
  <si>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</si>
  <si>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</si>
  <si>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</si>
  <si>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</si>
  <si>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</si>
  <si>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</si>
  <si>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</si>
  <si>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</si>
  <si>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</si>
  <si>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</si>
  <si>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</si>
  <si>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</si>
  <si>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</si>
  <si>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</si>
  <si>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</si>
  <si>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</si>
  <si>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</si>
  <si>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</si>
  <si>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</si>
  <si>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</si>
  <si>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</si>
  <si>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</si>
  <si>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</si>
  <si>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</si>
  <si>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</si>
  <si>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</si>
  <si>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</si>
  <si>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</si>
  <si>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</si>
  <si>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</si>
  <si>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</si>
  <si>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</si>
  <si>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</si>
  <si>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</si>
  <si>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</si>
  <si>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</si>
  <si>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</si>
  <si>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</si>
  <si>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</si>
  <si>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</si>
  <si>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</si>
  <si>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</si>
  <si>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</si>
  <si>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</si>
  <si>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</si>
  <si>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</si>
  <si>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</si>
  <si>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</si>
  <si>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</si>
  <si>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</si>
  <si>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</si>
  <si>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</si>
  <si>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</si>
  <si>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</si>
  <si>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</si>
  <si>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</si>
  <si>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</si>
  <si>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</si>
  <si>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</si>
  <si>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</si>
  <si>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</si>
  <si>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</si>
  <si>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</si>
  <si>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</si>
  <si>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</si>
  <si>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</si>
  <si>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</si>
  <si>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</si>
  <si>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</si>
  <si>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</si>
  <si>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</si>
  <si>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</si>
  <si>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</si>
  <si>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</si>
  <si>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</si>
  <si>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</si>
  <si>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</si>
  <si>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</si>
  <si>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</si>
  <si>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</si>
  <si>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</si>
  <si>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</si>
  <si>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</si>
  <si>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</si>
  <si>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</si>
  <si>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</si>
  <si>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</si>
  <si>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</si>
  <si>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</si>
  <si>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</si>
  <si>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</si>
  <si>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</si>
  <si>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</si>
  <si>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</si>
  <si>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</si>
  <si>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</si>
  <si>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</si>
  <si>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</si>
  <si>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</si>
  <si>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</si>
  <si>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</si>
  <si>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</si>
  <si>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</si>
  <si>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</si>
  <si>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</si>
  <si>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</si>
  <si>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</si>
  <si>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</si>
  <si>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</si>
  <si>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</si>
  <si>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</si>
  <si>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</si>
  <si>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</si>
  <si>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</si>
  <si>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</si>
  <si>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</si>
  <si>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</si>
  <si>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</si>
  <si>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</si>
  <si>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</si>
  <si>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</si>
  <si>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</si>
  <si>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</si>
  <si>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</si>
  <si>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</si>
  <si>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</si>
  <si>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</si>
  <si>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</si>
  <si>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</si>
  <si>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</si>
  <si>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</si>
  <si>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</si>
  <si>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</si>
  <si>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</si>
  <si>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</si>
  <si>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</si>
  <si>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</si>
  <si>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</si>
  <si>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</si>
  <si>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</si>
  <si>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</si>
  <si>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</si>
  <si>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</si>
  <si>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</si>
  <si>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</si>
  <si>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</si>
  <si>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</si>
  <si>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</si>
  <si>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</si>
  <si>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</si>
  <si>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</si>
  <si>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</si>
  <si>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</si>
  <si>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</si>
  <si>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</si>
  <si>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</si>
  <si>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</si>
  <si>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</si>
  <si>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</si>
  <si>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</si>
  <si>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</si>
  <si>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</si>
  <si>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</si>
  <si>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</si>
  <si>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</si>
  <si>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</si>
  <si>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</si>
  <si>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</si>
  <si>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</si>
  <si>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</si>
  <si>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</si>
  <si>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</si>
  <si>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</si>
  <si>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</si>
  <si>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</si>
  <si>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</si>
  <si>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</si>
  <si>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</si>
  <si>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</si>
  <si>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</si>
  <si>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</si>
  <si>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</si>
  <si>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</si>
  <si>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</si>
  <si>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</si>
  <si>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</si>
  <si>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</si>
  <si>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</si>
  <si>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</si>
  <si>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</si>
  <si>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</si>
  <si>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</si>
  <si>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</si>
  <si>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</si>
  <si>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</si>
  <si>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</si>
  <si>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</si>
  <si>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</si>
  <si>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</si>
  <si>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</si>
  <si>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</si>
  <si>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</si>
  <si>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</si>
  <si>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</si>
  <si>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</si>
  <si>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</si>
  <si>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</si>
  <si>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</si>
  <si>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</si>
  <si>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</si>
  <si>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</si>
  <si>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</si>
  <si>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</si>
  <si>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</si>
  <si>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</si>
  <si>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</si>
  <si>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</si>
  <si>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</si>
  <si>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</si>
  <si>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</si>
  <si>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</si>
  <si>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</si>
  <si>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</si>
  <si>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</si>
  <si>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</si>
  <si>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</si>
  <si>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</si>
  <si>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</si>
  <si>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</si>
  <si>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</si>
  <si>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</si>
  <si>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</si>
  <si>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</si>
  <si>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</si>
  <si>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</si>
  <si>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</si>
  <si>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</si>
  <si>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</si>
  <si>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</si>
  <si>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</si>
  <si>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</si>
  <si>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</si>
  <si>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</si>
  <si>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</si>
  <si>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</si>
  <si>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</si>
  <si>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</si>
  <si>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</si>
  <si>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</si>
  <si>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</si>
  <si>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</si>
  <si>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</si>
  <si>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</si>
  <si>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</si>
  <si>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</si>
  <si>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</si>
  <si>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</si>
  <si>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</si>
  <si>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</si>
  <si>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</si>
  <si>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</si>
  <si>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</si>
  <si>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</si>
  <si>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</si>
  <si>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</si>
  <si>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</si>
  <si>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</si>
  <si>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</si>
  <si>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</si>
  <si>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</si>
  <si>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</si>
  <si>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</si>
  <si>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</si>
  <si>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</si>
  <si>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</si>
  <si>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</si>
  <si>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</si>
  <si>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</si>
  <si>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</si>
  <si>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</si>
  <si>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</si>
  <si>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</si>
  <si>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</si>
  <si>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</si>
  <si>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</si>
  <si>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</si>
  <si>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</si>
  <si>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</si>
  <si>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</si>
  <si>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</si>
  <si>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</si>
  <si>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</si>
  <si>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</si>
  <si>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</si>
  <si>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</si>
  <si>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</si>
  <si>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</si>
  <si>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</si>
  <si>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</si>
  <si>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</si>
  <si>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</si>
  <si>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</si>
  <si>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</si>
  <si>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</si>
  <si>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</si>
  <si>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</si>
  <si>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</si>
  <si>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</si>
  <si>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</si>
  <si>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</si>
  <si>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</si>
  <si>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</si>
  <si>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</si>
  <si>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</si>
  <si>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</si>
  <si>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</si>
  <si>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</si>
  <si>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</si>
  <si>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</si>
  <si>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</si>
  <si>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</si>
  <si>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</si>
  <si>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</si>
  <si>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</si>
  <si>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</si>
  <si>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</si>
  <si>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</si>
  <si>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</si>
  <si>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</si>
  <si>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</si>
  <si>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</si>
  <si>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</si>
  <si>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</si>
  <si>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</si>
  <si>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</si>
  <si>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</si>
  <si>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</si>
  <si>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</si>
  <si>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</si>
  <si>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</si>
  <si>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</si>
  <si>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</si>
  <si>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</si>
  <si>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</si>
  <si>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</si>
  <si>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</si>
  <si>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</si>
  <si>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</si>
  <si>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</si>
  <si>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</si>
  <si>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</si>
  <si>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</si>
  <si>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</si>
  <si>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</si>
  <si>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</si>
  <si>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</si>
  <si>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</si>
  <si>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</si>
  <si>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</si>
  <si>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</si>
  <si>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</si>
  <si>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</si>
  <si>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</si>
  <si>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</si>
  <si>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</si>
  <si>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</si>
  <si>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</si>
  <si>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</si>
  <si>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</si>
  <si>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</si>
  <si>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</si>
  <si>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</si>
  <si>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</si>
  <si>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</si>
  <si>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</si>
  <si>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</si>
  <si>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</si>
  <si>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</si>
  <si>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</si>
  <si>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</si>
  <si>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</si>
  <si>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</si>
  <si>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</si>
  <si>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</si>
  <si>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</si>
  <si>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</si>
  <si>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</si>
  <si>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</si>
  <si>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</si>
  <si>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</si>
  <si>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</si>
  <si>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</si>
  <si>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</si>
  <si>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</si>
  <si>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</si>
  <si>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</si>
  <si>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</si>
  <si>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</si>
  <si>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</si>
  <si>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</si>
  <si>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</si>
  <si>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</si>
  <si>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</si>
  <si>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</si>
  <si>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</si>
  <si>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</si>
  <si>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</si>
  <si>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</si>
  <si>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</si>
  <si>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</si>
  <si>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</si>
  <si>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</si>
  <si>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</si>
  <si>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</si>
  <si>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</si>
  <si>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</si>
  <si>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</si>
  <si>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</si>
  <si>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</si>
  <si>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</si>
  <si>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</si>
  <si>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</si>
  <si>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</si>
  <si>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</si>
  <si>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</si>
  <si>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</si>
  <si>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</si>
  <si>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</si>
  <si>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</si>
  <si>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</si>
  <si>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</si>
  <si>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</si>
  <si>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</si>
  <si>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</si>
  <si>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</si>
  <si>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</si>
  <si>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</si>
  <si>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</si>
  <si>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</si>
  <si>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</si>
  <si>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</si>
  <si>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</si>
  <si>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</si>
  <si>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</si>
  <si>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</si>
  <si>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</si>
  <si>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</si>
  <si>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</si>
  <si>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</si>
  <si>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</si>
  <si>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</si>
  <si>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</si>
  <si>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</si>
  <si>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</si>
  <si>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</si>
  <si>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</si>
  <si>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</si>
  <si>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</si>
  <si>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</si>
  <si>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</si>
  <si>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</si>
  <si>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</si>
  <si>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</si>
  <si>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</si>
  <si>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</si>
  <si>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</si>
  <si>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</si>
  <si>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</si>
  <si>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</si>
  <si>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</si>
  <si>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</si>
  <si>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</si>
  <si>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</si>
  <si>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</si>
  <si>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</si>
  <si>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</si>
  <si>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</si>
  <si>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</si>
  <si>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</si>
  <si>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</si>
  <si>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</si>
  <si>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</si>
  <si>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</si>
  <si>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</si>
  <si>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</si>
  <si>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</si>
  <si>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</si>
  <si>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</si>
  <si>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</si>
  <si>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</si>
  <si>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</si>
  <si>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</si>
  <si>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</si>
  <si>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</si>
  <si>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</si>
  <si>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</si>
  <si>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</si>
  <si>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</si>
  <si>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</si>
  <si>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</si>
  <si>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</si>
  <si>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</si>
  <si>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</si>
  <si>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</si>
  <si>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</si>
  <si>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</si>
  <si>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</si>
  <si>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</si>
  <si>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</si>
  <si>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</si>
  <si>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</si>
  <si>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</si>
  <si>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</si>
  <si>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</si>
  <si>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</si>
  <si>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</si>
  <si>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</si>
  <si>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</si>
  <si>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</si>
  <si>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</si>
  <si>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</si>
  <si>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</si>
  <si>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</si>
  <si>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</si>
  <si>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</si>
  <si>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</si>
  <si>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</si>
  <si>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</si>
  <si>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</si>
  <si>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</si>
  <si>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</si>
  <si>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</si>
  <si>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</si>
  <si>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</si>
  <si>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</si>
  <si>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</si>
  <si>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</si>
  <si>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</si>
  <si>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</si>
  <si>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</si>
  <si>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</si>
  <si>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</si>
  <si>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</si>
  <si>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</si>
  <si>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</si>
  <si>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</si>
  <si>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</si>
  <si>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</si>
  <si>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</si>
  <si>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</si>
  <si>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</si>
  <si>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</si>
  <si>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</si>
  <si>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</si>
  <si>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</si>
  <si>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</si>
  <si>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</si>
  <si>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</si>
  <si>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</si>
  <si>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</si>
  <si>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</si>
  <si>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</si>
  <si>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</si>
  <si>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</si>
  <si>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</si>
  <si>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</si>
  <si>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</si>
  <si>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</si>
  <si>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</si>
  <si>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</si>
  <si>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</si>
  <si>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</si>
  <si>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</si>
  <si>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</si>
  <si>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</si>
  <si>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</si>
  <si>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</si>
  <si>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</si>
  <si>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</si>
  <si>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</si>
  <si>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</si>
  <si>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</si>
  <si>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</si>
  <si>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</si>
  <si>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</si>
  <si>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</si>
  <si>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</si>
  <si>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</si>
  <si>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</si>
  <si>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</si>
  <si>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</si>
  <si>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</si>
  <si>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</si>
  <si>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</si>
  <si>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</si>
  <si>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</si>
  <si>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</si>
  <si>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</si>
  <si>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</si>
  <si>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</si>
  <si>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</si>
  <si>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</si>
  <si>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</si>
  <si>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</si>
  <si>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</si>
  <si>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</si>
  <si>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</si>
  <si>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</si>
  <si>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</si>
  <si>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</si>
  <si>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</si>
  <si>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</si>
  <si>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</si>
  <si>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</si>
  <si>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</si>
  <si>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</si>
  <si>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</si>
  <si>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</si>
  <si>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</si>
  <si>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</si>
  <si>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</si>
  <si>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</si>
  <si>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</si>
  <si>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</si>
  <si>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</si>
  <si>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</si>
  <si>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</si>
  <si>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</si>
  <si>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</si>
  <si>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</si>
  <si>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</si>
  <si>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</si>
  <si>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</si>
  <si>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</si>
  <si>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</si>
  <si>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</si>
  <si>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</si>
  <si>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</si>
  <si>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</si>
  <si>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</si>
  <si>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</si>
  <si>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</si>
  <si>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</si>
  <si>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</si>
  <si>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</si>
  <si>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</si>
  <si>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</si>
  <si>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</si>
  <si>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</si>
  <si>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</si>
  <si>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</si>
  <si>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</si>
  <si>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</si>
  <si>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</si>
  <si>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</si>
  <si>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</si>
  <si>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</si>
  <si>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</si>
  <si>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</si>
  <si>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</si>
  <si>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</si>
  <si>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</si>
  <si>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</si>
  <si>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</si>
  <si>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</si>
  <si>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</si>
  <si>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</si>
  <si>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</si>
  <si>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</si>
  <si>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</si>
  <si>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</si>
  <si>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</si>
  <si>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</si>
  <si>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</si>
  <si>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</si>
  <si>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</si>
  <si>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</si>
  <si>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</si>
  <si>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</si>
  <si>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</si>
  <si>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</si>
  <si>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</si>
  <si>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</si>
  <si>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</si>
  <si>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</si>
  <si>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</si>
  <si>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</si>
  <si>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</si>
  <si>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</si>
  <si>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</si>
  <si>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</si>
  <si>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</si>
  <si>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</si>
  <si>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</si>
  <si>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</si>
  <si>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</si>
  <si>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</si>
  <si>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</si>
  <si>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</si>
  <si>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</si>
  <si>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</si>
  <si>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</si>
  <si>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</si>
  <si>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</si>
  <si>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</si>
  <si>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</si>
  <si>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</si>
  <si>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</si>
  <si>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</si>
  <si>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</si>
  <si>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</si>
  <si>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</si>
  <si>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</si>
  <si>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</si>
  <si>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</si>
  <si>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</si>
  <si>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</si>
  <si>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</si>
  <si>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</si>
  <si>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</si>
  <si>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</si>
  <si>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</si>
  <si>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</si>
  <si>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</si>
  <si>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</si>
  <si>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</si>
  <si>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</si>
  <si>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</si>
  <si>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</si>
  <si>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</si>
  <si>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</si>
  <si>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</si>
  <si>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</si>
  <si>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</si>
  <si>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</si>
  <si>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</si>
  <si>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</si>
  <si>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</si>
  <si>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</si>
  <si>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</si>
  <si>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</si>
  <si>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</si>
  <si>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</si>
  <si>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</si>
  <si>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</si>
  <si>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</si>
  <si>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</si>
  <si>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</si>
  <si>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</si>
  <si>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</si>
  <si>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</si>
  <si>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</si>
  <si>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</si>
  <si>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</si>
  <si>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</si>
  <si>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</si>
  <si>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</si>
  <si>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</si>
  <si>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</si>
  <si>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</si>
  <si>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</si>
  <si>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</si>
  <si>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</si>
  <si>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</si>
  <si>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</si>
  <si>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</si>
  <si>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</si>
  <si>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</si>
  <si>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</si>
  <si>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</si>
  <si>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</si>
  <si>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</si>
  <si>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</si>
  <si>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</si>
  <si>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</si>
  <si>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</si>
  <si>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</si>
  <si>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</si>
  <si>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</si>
  <si>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</si>
  <si>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</si>
  <si>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</si>
  <si>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</si>
  <si>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</si>
  <si>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</si>
  <si>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</si>
  <si>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</si>
  <si>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</si>
  <si>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</si>
  <si>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</si>
  <si>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</si>
  <si>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</si>
  <si>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</si>
  <si>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</si>
  <si>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</si>
  <si>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</si>
  <si>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</si>
  <si>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</si>
  <si>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</si>
  <si>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</si>
  <si>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</si>
  <si>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</si>
  <si>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</si>
  <si>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</si>
  <si>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</si>
  <si>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</si>
  <si>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</si>
  <si>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</si>
  <si>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</si>
  <si>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</si>
  <si>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</si>
  <si>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</si>
  <si>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</si>
  <si>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</si>
  <si>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</si>
  <si>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</si>
  <si>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</si>
  <si>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</si>
  <si>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</si>
  <si>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</si>
  <si>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</si>
  <si>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</si>
  <si>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</si>
  <si>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</si>
  <si>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</si>
  <si>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</si>
  <si>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</si>
  <si>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</si>
  <si>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</si>
  <si>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</si>
  <si>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</si>
  <si>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</si>
  <si>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</si>
  <si>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</si>
  <si>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</si>
  <si>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</si>
  <si>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</si>
  <si>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</si>
  <si>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</si>
  <si>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</si>
  <si>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</si>
  <si>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</si>
  <si>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</si>
  <si>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</si>
  <si>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</si>
  <si>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</si>
  <si>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</si>
  <si>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</si>
  <si>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</si>
  <si>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</si>
  <si>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</si>
  <si>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</si>
  <si>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</si>
  <si>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</si>
  <si>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</si>
  <si>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</si>
  <si>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</si>
  <si>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</si>
  <si>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</si>
  <si>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</si>
  <si>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</si>
  <si>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</si>
  <si>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</si>
  <si>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</si>
  <si>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</si>
  <si>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</si>
  <si>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</si>
  <si>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</si>
  <si>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</si>
  <si>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</si>
  <si>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</si>
  <si>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</si>
  <si>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</si>
  <si>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</si>
  <si>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</si>
  <si>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</si>
  <si>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</si>
  <si>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</si>
  <si>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</si>
  <si>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</si>
  <si>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</si>
  <si>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</si>
  <si>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</si>
  <si>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</si>
  <si>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</si>
  <si>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</si>
  <si>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</si>
  <si>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</si>
  <si>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</si>
  <si>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</si>
  <si>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</si>
  <si>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</si>
  <si>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</si>
  <si>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</si>
  <si>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</si>
  <si>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</si>
  <si>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</si>
  <si>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</si>
  <si>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</si>
  <si>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</si>
  <si>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</si>
  <si>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</si>
  <si>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</si>
  <si>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</si>
  <si>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</si>
  <si>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</si>
  <si>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</si>
  <si>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</si>
  <si>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</si>
  <si>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</si>
  <si>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</si>
  <si>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</si>
  <si>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</si>
  <si>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</si>
  <si>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</si>
  <si>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</si>
  <si>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</si>
  <si>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</si>
  <si>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</si>
  <si>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</si>
  <si>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</si>
  <si>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</si>
  <si>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</si>
  <si>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</si>
  <si>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</si>
  <si>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</si>
  <si>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</si>
  <si>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</si>
  <si>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</si>
  <si>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</si>
  <si>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</si>
  <si>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</si>
  <si>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</si>
  <si>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</si>
  <si>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</si>
  <si>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</si>
  <si>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</si>
  <si>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</si>
  <si>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</si>
  <si>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</si>
  <si>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</si>
  <si>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</si>
  <si>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</si>
  <si>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</si>
  <si>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</si>
  <si>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</si>
  <si>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</si>
  <si>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</si>
  <si>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</si>
  <si>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</si>
  <si>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</si>
  <si>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</si>
  <si>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</si>
  <si>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</si>
  <si>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</si>
  <si>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</si>
  <si>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</si>
  <si>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</si>
  <si>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</si>
  <si>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</si>
  <si>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</si>
  <si>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</si>
  <si>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</si>
  <si>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</si>
  <si>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</si>
  <si>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</si>
  <si>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</si>
  <si>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</si>
  <si>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</si>
  <si>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</si>
  <si>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</si>
  <si>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</si>
  <si>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</si>
  <si>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</si>
  <si>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</si>
  <si>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</si>
  <si>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</si>
  <si>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</si>
  <si>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</si>
  <si>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</si>
  <si>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</si>
  <si>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</si>
  <si>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</si>
  <si>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</si>
  <si>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</si>
  <si>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</si>
  <si>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</si>
  <si>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</si>
  <si>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</si>
  <si>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</si>
  <si>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</si>
  <si>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</si>
  <si>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</si>
  <si>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</si>
  <si>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</si>
  <si>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</si>
  <si>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</si>
  <si>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</si>
  <si>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</si>
  <si>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</si>
  <si>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</si>
  <si>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</si>
  <si>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</si>
  <si>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</si>
  <si>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</si>
  <si>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</si>
  <si>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</si>
  <si>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</si>
  <si>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</si>
  <si>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</si>
  <si>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</si>
  <si>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</si>
  <si>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</si>
  <si>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</si>
  <si>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</si>
  <si>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</si>
  <si>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</si>
  <si>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</si>
  <si>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</si>
  <si>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Precentage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</si>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</sst>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A-1D42-A2BC-66C967A63D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A-1D42-A2BC-66C967A63D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2A-1D42-A2BC-66C967A6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09007"/>
        <c:axId val="151810655"/>
      </c:lineChart>
      <c:catAx>
        <c:axId val="151809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0655"/>
        <c:crosses val="autoZero"/>
        <c:auto val="1"/>
        <c:lblAlgn val="ctr"/>
        <c:lblOffset val="100"/>
        <c:noMultiLvlLbl val="0"/>
      </c:catAx>
      <c:valAx>
        <c:axId val="15181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F-254B-A436-8A0BCE0C0F3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F-254B-A436-8A0BCE0C0F3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0F-254B-A436-8A0BCE0C0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023568"/>
        <c:axId val="1871010384"/>
      </c:lineChart>
      <c:catAx>
        <c:axId val="187102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010384"/>
        <c:crosses val="autoZero"/>
        <c:auto val="1"/>
        <c:lblAlgn val="ctr"/>
        <c:lblOffset val="100"/>
        <c:noMultiLvlLbl val="0"/>
      </c:catAx>
      <c:valAx>
        <c:axId val="187101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02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Parent 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3-6B4E-8D35-63F72F93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2120127"/>
        <c:axId val="2082120527"/>
      </c:barChart>
      <c:catAx>
        <c:axId val="208212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20527"/>
        <c:crosses val="autoZero"/>
        <c:auto val="1"/>
        <c:lblAlgn val="ctr"/>
        <c:lblOffset val="100"/>
        <c:noMultiLvlLbl val="0"/>
      </c:catAx>
      <c:valAx>
        <c:axId val="20821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2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Subcategories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0-DC4B-B291-E2F5CCB1B3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60-DC4B-B291-E2F5CCB1B3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60-DC4B-B291-E2F5CCB1B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8134639"/>
        <c:axId val="2098136287"/>
      </c:barChart>
      <c:catAx>
        <c:axId val="209813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136287"/>
        <c:crosses val="autoZero"/>
        <c:auto val="1"/>
        <c:lblAlgn val="ctr"/>
        <c:lblOffset val="100"/>
        <c:noMultiLvlLbl val="0"/>
      </c:catAx>
      <c:valAx>
        <c:axId val="209813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13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copy.xlsx]Stats by date.time!PivotTable3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'Stats by date.time'!$B$4:$B$5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D-5544-8432-4239CA488B11}"/>
            </c:ext>
          </c:extLst>
        </c:ser>
        <c:ser>
          <c:idx val="1"/>
          <c:order val="1"/>
          <c:tx>
            <c:strRef>
              <c:f>'Stats by date.time'!$C$4:$C$5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D-5544-8432-4239CA488B11}"/>
            </c:ext>
          </c:extLst>
        </c:ser>
        <c:ser>
          <c:idx val="2"/>
          <c:order val="2"/>
          <c:tx>
            <c:strRef>
              <c:f>'Stats by date.time'!$D$4:$D$5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D-5544-8432-4239CA488B11}"/>
            </c:ext>
          </c:extLst>
        </c:ser>
        <c:ser>
          <c:idx val="3"/>
          <c:order val="3"/>
          <c:tx>
            <c:strRef>
              <c:f>'Stats by date.time'!$E$4:$E$5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D-5544-8432-4239CA488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552"/>
        <c:axId val="6571200"/>
      </c:lineChart>
      <c:catAx>
        <c:axId val="65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200"/>
        <c:crosses val="autoZero"/>
        <c:auto val="1"/>
        <c:lblAlgn val="ctr"/>
        <c:lblOffset val="100"/>
        <c:noMultiLvlLbl val="0"/>
      </c:catAx>
      <c:valAx>
        <c:axId val="657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4</xdr:row>
      <xdr:rowOff>101600</xdr:rowOff>
    </xdr:from>
    <xdr:to>
      <xdr:col>11</xdr:col>
      <xdr:colOff>1333500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4928A-76D3-5041-87F6-5CA0285E1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463550</xdr:colOff>
      <xdr:row>2</xdr:row>
      <xdr:rowOff>88900</xdr:rowOff>
    </xdr:from>
    <xdr:to>
      <xdr:col>18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8A6A6-9222-7B46-A00C-6855A95EE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12</xdr:row>
      <xdr:rowOff>25400</xdr:rowOff>
    </xdr:from>
    <xdr:to>
      <xdr:col>13</xdr:col>
      <xdr:colOff>1193800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7A903-6B3B-074E-9E67-44BEE67D0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38100</xdr:rowOff>
    </xdr:from>
    <xdr:to>
      <xdr:col>14</xdr:col>
      <xdr:colOff>114300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68E5E-17CF-984F-912C-D8BFF19D0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139700</xdr:rowOff>
    </xdr:from>
    <xdr:to>
      <xdr:col>12</xdr:col>
      <xdr:colOff>596900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6B393-553D-CF42-825E-8A10EF920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626336805559" createdVersion="7" refreshedVersion="7" minRefreshableVersion="3" recordCount="4114" xr:uid="{54FADDE6-7FFD-7B40-B9B2-38C0376095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671715509263" createdVersion="7" refreshedVersion="7" minRefreshableVersion="3" recordCount="4114" xr:uid="{0C129B50-D666-F149-8397-6029FE02FE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0.48911076389" createdVersion="7" refreshedVersion="7" minRefreshableVersion="3" recordCount="4115" xr:uid="{CB84D0EB-C53D-4146-BD0C-BDA38881FB0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CA9AF-1D1A-2A48-B6F4-3F77A39CE2E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7A6F3-C43D-8B45-8CBF-9CCA89A8CC8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7F73F-F4D3-8845-9363-6CB4E9AE053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67284-B46F-8F40-8069-32168F869B4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1" ySplit="1" topLeftCell="B122" activePane="bottomRight" state="frozen"/>
      <selection pane="topRight" activeCell="B1" sqref="B1"/>
      <selection pane="bottomLeft" activeCell="A2" sqref="A2"/>
      <selection pane="bottomRight" activeCell="Q126" sqref="Q12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B2">
    <cfRule type="containsText" dxfId="4" priority="9" operator="containsText" text="live">
      <formula>NOT(ISERROR(SEARCH("live",B2)))</formula>
    </cfRule>
  </conditionalFormatting>
  <conditionalFormatting sqref="B871">
    <cfRule type="containsText" dxfId="3" priority="8" operator="containsText" text="successful">
      <formula>NOT(ISERROR(SEARCH("successful",B871)))</formula>
    </cfRule>
  </conditionalFormatting>
  <conditionalFormatting sqref="F1:F1048576">
    <cfRule type="containsText" dxfId="2" priority="4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E512A-5AD2-BE47-B533-82B0EC65C934}">
  <dimension ref="A1:E18"/>
  <sheetViews>
    <sheetView tabSelected="1" workbookViewId="0">
      <selection activeCell="B31" sqref="B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27.6640625" bestFit="1" customWidth="1"/>
    <col min="11" max="11" width="20" bestFit="1" customWidth="1"/>
    <col min="12" max="12" width="32" bestFit="1" customWidth="1"/>
    <col min="13" max="13" width="20.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8363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6590C-0E67-9149-8A12-92720476FEEC}">
  <dimension ref="A1:H13"/>
  <sheetViews>
    <sheetView workbookViewId="0">
      <selection activeCell="K45" sqref="K45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B2/(B2+C2+D2)</f>
        <v>0.75806451612903225</v>
      </c>
      <c r="G2" s="19">
        <f>C2/(B2+C2+D2)</f>
        <v>0.24193548387096775</v>
      </c>
      <c r="H2" s="19">
        <f>D2/(B2+C2+D2)</f>
        <v>0</v>
      </c>
    </row>
    <row r="3" spans="1:8" x14ac:dyDescent="0.2">
      <c r="A3" t="s">
        <v>8406</v>
      </c>
      <c r="B3">
        <f>COUNTIFS(Kickstarter!$D:$D,"&gt;=1000", Kickstarter!$D:$D,"&lt;=4999",Kickstarter!$F:$F,"successful",Kickstarter!$R:$R,"plays")</f>
        <v>388</v>
      </c>
      <c r="C3">
        <f>COUNTIFS(Kickstarter!$D:$D,"&gt;=1000", Kickstarter!$D:$D,"&lt;=4999",Kickstarter!$F:$F,"failed",Kickstarter!$R:$R,"plays")</f>
        <v>146</v>
      </c>
      <c r="D3">
        <f>COUNTIFS(Kickstarter!$D:$D,"&gt;=1000", Kickstarter!$D:$D,"&lt;=4999",Kickstarter!$F:$F,"canceled",Kickstarter!$R:$R,"plays")</f>
        <v>0</v>
      </c>
      <c r="E3">
        <f t="shared" ref="E3:E13" si="0">SUM(B3:D3)</f>
        <v>534</v>
      </c>
      <c r="F3" s="20">
        <f t="shared" ref="F3:F12" si="1">B3/(B3+C3+D3)</f>
        <v>0.72659176029962547</v>
      </c>
      <c r="G3" s="19">
        <f t="shared" ref="G3:G12" si="2">C3/(B3+C3+D3)</f>
        <v>0.27340823970037453</v>
      </c>
      <c r="H3" s="19">
        <f t="shared" ref="H3:H12" si="3">D3/(B3+C3+D3)</f>
        <v>0</v>
      </c>
    </row>
    <row r="4" spans="1:8" x14ac:dyDescent="0.2">
      <c r="A4" t="s">
        <v>8407</v>
      </c>
      <c r="B4">
        <f>COUNTIFS(Kickstarter!$D:$D,"&gt;=5000", Kickstarter!$D:$D,"&lt;=9999",Kickstarter!$F:$F,"successful",Kickstarter!$R:$R,"plays")</f>
        <v>93</v>
      </c>
      <c r="C4">
        <f>COUNTIFS(Kickstarter!$D:$D,"&gt;=5000", Kickstarter!$D:$D,"&lt;=9999",Kickstarter!$F:$F,"failed",Kickstarter!$R:$R,"plays")</f>
        <v>76</v>
      </c>
      <c r="D4">
        <f>COUNTIFS(Kickstarter!$D:$D,"&gt;=5000", Kickstarter!$D:$D,"&lt;=9999",Kickstarter!$F:$F,"canceled",Kickstarter!$R:$R,"plays")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8408</v>
      </c>
      <c r="B5">
        <f>COUNTIFS(Kickstarter!$D:$D,"&gt;=10000", Kickstarter!$D:$D,"&lt;=14999",Kickstarter!$F:$F,"successful",Kickstarter!$R:$R,"plays")</f>
        <v>39</v>
      </c>
      <c r="C5">
        <f>COUNTIFS(Kickstarter!$D:$D,"&gt;=10000", Kickstarter!$D:$D,"&lt;=14999",Kickstarter!$F:$F,"failed",Kickstarter!$R:$R,"plays")</f>
        <v>33</v>
      </c>
      <c r="D5">
        <f>COUNTIFS(Kickstarter!$D:$D,"&gt;=10000", Kickstarter!$D:$D,"&lt;=14999",Kickstarter!$F:$F,"canceled",Kickstarter!$R:$R,"plays")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8409</v>
      </c>
      <c r="B6">
        <f>COUNTIFS(Kickstarter!$D:$D,"&gt;=15000", Kickstarter!$D:$D,"&lt;=19999",Kickstarter!$F:$F,"successful",Kickstarter!$R:$R,"plays")</f>
        <v>12</v>
      </c>
      <c r="C6">
        <f>COUNTIFS(Kickstarter!$D:$D,"&gt;=15000", Kickstarter!$D:$D,"&lt;=19999",Kickstarter!$F:$F,"failed",Kickstarter!$R:$R,"plays")</f>
        <v>12</v>
      </c>
      <c r="D6">
        <f>COUNTIFS(Kickstarter!$D:$D,"&gt;=15000", Kickstarter!$D:$D,"&lt;=19999",Kickstarter!$F:$F,"canceled",Kickstarter!$R:$R,"plays")</f>
        <v>0</v>
      </c>
      <c r="E6">
        <f t="shared" si="0"/>
        <v>24</v>
      </c>
      <c r="F6" s="20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8410</v>
      </c>
      <c r="B7">
        <f>COUNTIFS(Kickstarter!$D:$D,"&gt;=20000", Kickstarter!$D:$D,"&lt;=24999",Kickstarter!$F:$F,"successful",Kickstarter!$R:$R,"plays")</f>
        <v>9</v>
      </c>
      <c r="C7">
        <f>COUNTIFS(Kickstarter!$D:$D,"&gt;=20000", Kickstarter!$D:$D,"&lt;=24999",Kickstarter!$F:$F,"failed",Kickstarter!$R:$R,"plays")</f>
        <v>11</v>
      </c>
      <c r="D7">
        <f>COUNTIFS(Kickstarter!$D:$D,"&gt;=20000", Kickstarter!$D:$D,"&lt;=24999",Kickstarter!$F:$F,"canceled",Kickstarter!$R:$R,"plays")</f>
        <v>0</v>
      </c>
      <c r="E7">
        <f t="shared" si="0"/>
        <v>20</v>
      </c>
      <c r="F7" s="20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8411</v>
      </c>
      <c r="B8">
        <f>COUNTIFS(Kickstarter!$D:$D,"&gt;=25000", Kickstarter!$D:$D,"&lt;=29999",Kickstarter!$F:$F,"successful",Kickstarter!$R:$R,"plays")</f>
        <v>1</v>
      </c>
      <c r="C8">
        <f>COUNTIFS(Kickstarter!$D:$D,"&gt;=25000", Kickstarter!$D:$D,"&lt;=29999",Kickstarter!$F:$F,"failed",Kickstarter!$R:$R,"plays")</f>
        <v>4</v>
      </c>
      <c r="D8">
        <f>COUNTIFS(Kickstarter!$D:$D,"&gt;=25000", Kickstarter!$D:$D,"&lt;=29999",Kickstarter!$F:$F,"canceled",Kickstarter!$R:$R,"plays")</f>
        <v>0</v>
      </c>
      <c r="E8">
        <f t="shared" si="0"/>
        <v>5</v>
      </c>
      <c r="F8" s="20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8412</v>
      </c>
      <c r="B9">
        <f>COUNTIFS(Kickstarter!$D:$D,"&gt;=30000", Kickstarter!$D:$D,"&lt;=34999",Kickstarter!$F:$F,"successful",Kickstarter!$R:$R,"plays")</f>
        <v>3</v>
      </c>
      <c r="C9">
        <f>COUNTIFS(Kickstarter!$D:$D,"&gt;=30000", Kickstarter!$D:$D,"&lt;=34999",Kickstarter!$F:$F,"failed",Kickstarter!$R:$R,"plays")</f>
        <v>8</v>
      </c>
      <c r="D9">
        <f>COUNTIFS(Kickstarter!$D:$D,"&gt;=30000", Kickstarter!$D:$D,"&lt;=34999",Kickstarter!$F:$F,"canceled",Kickstarter!$R:$R,"plays")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8413</v>
      </c>
      <c r="B10">
        <f>COUNTIFS(Kickstarter!$D:$D,"&gt;=35000", Kickstarter!$D:$D,"&lt;=39999",Kickstarter!$F:$F,"successful",Kickstarter!$R:$R,"plays")</f>
        <v>4</v>
      </c>
      <c r="C10">
        <f>COUNTIFS(Kickstarter!$D:$D,"&gt;=35000", Kickstarter!$D:$D,"&lt;=39999",Kickstarter!$F:$F,"failed",Kickstarter!$R:$R,"plays")</f>
        <v>2</v>
      </c>
      <c r="D10">
        <f>COUNTIFS(Kickstarter!$D:$D,"&gt;=35000", Kickstarter!$D:$D,"&lt;=39999",Kickstarter!$F:$F,"canceled",Kickstarter!$R:$R,"plays")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8414</v>
      </c>
      <c r="B11">
        <f>COUNTIFS(Kickstarter!$D:$D,"&gt;=40000", Kickstarter!$D:$D,"&lt;=44999",Kickstarter!$F:$F,"successful",Kickstarter!$R:$R,"plays")</f>
        <v>2</v>
      </c>
      <c r="C11">
        <f>COUNTIFS(Kickstarter!$D:$D,"&gt;=40000", Kickstarter!$D:$D,"&lt;=44999",Kickstarter!$F:$F,"failed",Kickstarter!$R:$R,"plays")</f>
        <v>1</v>
      </c>
      <c r="D11">
        <f>COUNTIFS(Kickstarter!$D:$D,"&gt;=40000", Kickstarter!$D:$D,"&lt;=44999",Kickstarter!$F:$F,"canceled",Kickstarter!$R:$R,"plays")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8415</v>
      </c>
      <c r="B12">
        <f>COUNTIFS(Kickstarter!$D:$D,"&gt;=45000", Kickstarter!$D:$D,"&lt;=49999",Kickstarter!$F:$F,"successful",Kickstarter!$R:$R,"plays")</f>
        <v>0</v>
      </c>
      <c r="C12">
        <f>COUNTIFS(Kickstarter!$D:$D,"&gt;=45000", Kickstarter!$D:$D,"&lt;=49999",Kickstarter!$F:$F,"failed",Kickstarter!$R:$R,"plays")</f>
        <v>1</v>
      </c>
      <c r="D12">
        <f>COUNTIFS(Kickstarter!$D:$D,"&gt;=45000", 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8416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0">
        <f>IFERROR(B13/(B13+C13+D13),0)</f>
        <v>0.16666666666666666</v>
      </c>
      <c r="G13" s="19">
        <f>IFERROR(C13/(B13+C13+D13),0)</f>
        <v>0.83333333333333337</v>
      </c>
      <c r="H13" s="19">
        <f>IFERROR(D13/(B13+C13+D13),0)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8DAB1-C229-AC49-BDAF-D50DC105BA21}">
  <dimension ref="A1:C9"/>
  <sheetViews>
    <sheetView workbookViewId="0">
      <selection activeCell="F19" sqref="F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4" bestFit="1" customWidth="1"/>
    <col min="13" max="13" width="14.83203125" bestFit="1" customWidth="1"/>
    <col min="14" max="14" width="20" bestFit="1" customWidth="1"/>
    <col min="15" max="15" width="18.33203125" bestFit="1" customWidth="1"/>
    <col min="16" max="16" width="19.1640625" bestFit="1" customWidth="1"/>
  </cols>
  <sheetData>
    <row r="1" spans="1:3" x14ac:dyDescent="0.2">
      <c r="A1" s="13" t="s">
        <v>8222</v>
      </c>
      <c r="B1" t="s">
        <v>8223</v>
      </c>
    </row>
    <row r="3" spans="1:3" x14ac:dyDescent="0.2">
      <c r="A3" s="13" t="s">
        <v>8360</v>
      </c>
      <c r="B3" s="13" t="s">
        <v>8361</v>
      </c>
    </row>
    <row r="4" spans="1:3" x14ac:dyDescent="0.2">
      <c r="A4" s="13" t="s">
        <v>8364</v>
      </c>
      <c r="B4" t="s">
        <v>8315</v>
      </c>
      <c r="C4" t="s">
        <v>8362</v>
      </c>
    </row>
    <row r="5" spans="1:3" x14ac:dyDescent="0.2">
      <c r="A5" s="14" t="s">
        <v>8219</v>
      </c>
      <c r="B5" s="12">
        <v>26</v>
      </c>
      <c r="C5" s="12">
        <v>26</v>
      </c>
    </row>
    <row r="6" spans="1:3" x14ac:dyDescent="0.2">
      <c r="A6" s="14" t="s">
        <v>8220</v>
      </c>
      <c r="B6" s="12">
        <v>349</v>
      </c>
      <c r="C6" s="12">
        <v>349</v>
      </c>
    </row>
    <row r="7" spans="1:3" x14ac:dyDescent="0.2">
      <c r="A7" s="14" t="s">
        <v>8221</v>
      </c>
      <c r="B7" s="12">
        <v>12</v>
      </c>
      <c r="C7" s="12">
        <v>12</v>
      </c>
    </row>
    <row r="8" spans="1:3" x14ac:dyDescent="0.2">
      <c r="A8" s="14" t="s">
        <v>8218</v>
      </c>
      <c r="B8" s="12">
        <v>525</v>
      </c>
      <c r="C8" s="12">
        <v>525</v>
      </c>
    </row>
    <row r="9" spans="1:3" x14ac:dyDescent="0.2">
      <c r="A9" s="14" t="s">
        <v>8362</v>
      </c>
      <c r="B9" s="12">
        <v>912</v>
      </c>
      <c r="C9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0FEBF-71AD-C545-9C37-AC2714ACAE80}">
  <dimension ref="A1:E7"/>
  <sheetViews>
    <sheetView topLeftCell="A2" zoomScale="97" workbookViewId="0">
      <selection activeCell="E20" sqref="E20"/>
    </sheetView>
  </sheetViews>
  <sheetFormatPr baseColWidth="10" defaultRowHeight="15" x14ac:dyDescent="0.2"/>
  <cols>
    <col min="1" max="1" width="16.1640625" bestFit="1" customWidth="1"/>
    <col min="2" max="2" width="15.33203125" bestFit="1" customWidth="1"/>
    <col min="3" max="3" width="4.1640625" bestFit="1" customWidth="1"/>
    <col min="4" max="4" width="9.1640625" bestFit="1" customWidth="1"/>
    <col min="5" max="5" width="10.3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  <col min="12" max="12" width="4" bestFit="1" customWidth="1"/>
    <col min="13" max="13" width="8.83203125" bestFit="1" customWidth="1"/>
    <col min="14" max="14" width="15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22" bestFit="1" customWidth="1"/>
    <col min="19" max="19" width="18.33203125" bestFit="1" customWidth="1"/>
    <col min="20" max="20" width="19.1640625" bestFit="1" customWidth="1"/>
    <col min="21" max="21" width="20" bestFit="1" customWidth="1"/>
  </cols>
  <sheetData>
    <row r="1" spans="1:5" x14ac:dyDescent="0.2">
      <c r="A1" s="13" t="s">
        <v>8222</v>
      </c>
      <c r="B1" t="s">
        <v>8363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710D8-7996-104C-A4A6-EA9D14BEB31C}">
  <dimension ref="A1:F18"/>
  <sheetViews>
    <sheetView workbookViewId="0">
      <selection activeCell="L34" sqref="L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95759-50D8-1D46-8463-756BD9470CBC}">
  <dimension ref="A1:K15"/>
  <sheetViews>
    <sheetView zoomScale="120" zoomScaleNormal="120" workbookViewId="0">
      <selection activeCell="E19" sqref="E19"/>
    </sheetView>
  </sheetViews>
  <sheetFormatPr baseColWidth="10" defaultRowHeight="15" x14ac:dyDescent="0.2"/>
  <cols>
    <col min="1" max="1" width="24.1640625" bestFit="1" customWidth="1"/>
    <col min="2" max="3" width="11.1640625" style="18" bestFit="1" customWidth="1"/>
    <col min="5" max="5" width="12.83203125" customWidth="1"/>
  </cols>
  <sheetData>
    <row r="1" spans="1:11" x14ac:dyDescent="0.2">
      <c r="B1" s="18" t="s">
        <v>8384</v>
      </c>
      <c r="C1" s="18" t="s">
        <v>8385</v>
      </c>
      <c r="F1" s="18" t="s">
        <v>8384</v>
      </c>
      <c r="G1" s="18" t="s">
        <v>8385</v>
      </c>
      <c r="J1" s="18" t="s">
        <v>8384</v>
      </c>
      <c r="K1" s="18" t="s">
        <v>8385</v>
      </c>
    </row>
    <row r="2" spans="1:11" x14ac:dyDescent="0.2">
      <c r="A2" t="s">
        <v>8386</v>
      </c>
      <c r="B2" s="18" t="e">
        <f>AVERAGE(#REF!)</f>
        <v>#REF!</v>
      </c>
      <c r="C2" s="18" t="e">
        <f>AVERAGE(#REF!)</f>
        <v>#REF!</v>
      </c>
      <c r="E2" t="s">
        <v>8386</v>
      </c>
      <c r="F2" s="18" t="e">
        <f>AVERAGE(#REF!)</f>
        <v>#REF!</v>
      </c>
      <c r="G2" s="18" t="e">
        <f>AVERAGE(#REF!)</f>
        <v>#REF!</v>
      </c>
      <c r="I2" t="s">
        <v>8386</v>
      </c>
      <c r="J2" s="18" t="e">
        <f>AVERAGE(#REF!)</f>
        <v>#REF!</v>
      </c>
      <c r="K2" s="18" t="e">
        <f>AVERAGE(#REF!)</f>
        <v>#REF!</v>
      </c>
    </row>
    <row r="3" spans="1:11" x14ac:dyDescent="0.2">
      <c r="A3" t="s">
        <v>8387</v>
      </c>
      <c r="B3" s="18" t="e">
        <f>MEDIAN(#REF!)</f>
        <v>#REF!</v>
      </c>
      <c r="C3" s="18" t="e">
        <f>MEDIAN(#REF!)</f>
        <v>#REF!</v>
      </c>
      <c r="E3" t="s">
        <v>8387</v>
      </c>
      <c r="F3" s="18" t="e">
        <f>MEDIAN(#REF!)</f>
        <v>#REF!</v>
      </c>
      <c r="G3" s="18" t="e">
        <f>MEDIAN(#REF!)</f>
        <v>#REF!</v>
      </c>
      <c r="I3" t="s">
        <v>8387</v>
      </c>
      <c r="J3" s="18" t="e">
        <f>MEDIAN(#REF!)</f>
        <v>#REF!</v>
      </c>
      <c r="K3" s="18" t="e">
        <f>MEDIAN(#REF!)</f>
        <v>#REF!</v>
      </c>
    </row>
    <row r="4" spans="1:11" x14ac:dyDescent="0.2">
      <c r="A4" t="s">
        <v>8390</v>
      </c>
      <c r="B4" s="18" t="e">
        <f>_xlfn.STDEV.P(#REF!)</f>
        <v>#REF!</v>
      </c>
      <c r="C4" s="18" t="e">
        <f>_xlfn.STDEV.P(#REF!)</f>
        <v>#REF!</v>
      </c>
      <c r="F4" s="18"/>
      <c r="G4" s="18"/>
      <c r="J4" s="18"/>
      <c r="K4" s="18"/>
    </row>
    <row r="5" spans="1:11" x14ac:dyDescent="0.2">
      <c r="A5" t="s">
        <v>8391</v>
      </c>
      <c r="B5" s="18" t="e">
        <f>_xlfn.QUARTILE.EXC(#REF!,3)</f>
        <v>#REF!</v>
      </c>
      <c r="C5" s="18" t="e">
        <f>_xlfn.QUARTILE.EXC(#REF!,3)</f>
        <v>#REF!</v>
      </c>
      <c r="E5" t="s">
        <v>8388</v>
      </c>
      <c r="F5" s="18" t="e">
        <f>AVERAGE(#REF!)</f>
        <v>#REF!</v>
      </c>
      <c r="G5" s="18" t="e">
        <f>AVERAGE(#REF!)</f>
        <v>#REF!</v>
      </c>
      <c r="I5" t="s">
        <v>8388</v>
      </c>
      <c r="J5" s="18" t="e">
        <f>AVERAGE(#REF!)</f>
        <v>#REF!</v>
      </c>
      <c r="K5" s="18" t="e">
        <f>AVERAGE(#REF!)</f>
        <v>#REF!</v>
      </c>
    </row>
    <row r="6" spans="1:11" x14ac:dyDescent="0.2">
      <c r="A6" t="s">
        <v>8392</v>
      </c>
      <c r="B6" s="18" t="e">
        <f>_xlfn.QUARTILE.EXC(#REF!,1)</f>
        <v>#REF!</v>
      </c>
      <c r="C6" s="18" t="e">
        <f>_xlfn.QUARTILE.EXC(#REF!,1)</f>
        <v>#REF!</v>
      </c>
      <c r="E6" t="s">
        <v>8389</v>
      </c>
      <c r="F6" s="18" t="e">
        <f>MEDIAN(#REF!)</f>
        <v>#REF!</v>
      </c>
      <c r="G6" s="18" t="e">
        <f>MEDIAN(#REF!)</f>
        <v>#REF!</v>
      </c>
      <c r="I6" t="s">
        <v>8389</v>
      </c>
      <c r="J6" s="18" t="e">
        <f>MEDIAN(#REF!)</f>
        <v>#REF!</v>
      </c>
      <c r="K6" s="18" t="e">
        <f>MEDIAN(#REF!)</f>
        <v>#REF!</v>
      </c>
    </row>
    <row r="7" spans="1:11" x14ac:dyDescent="0.2">
      <c r="A7" t="s">
        <v>8393</v>
      </c>
      <c r="B7" s="18" t="e">
        <f>B5-B6</f>
        <v>#REF!</v>
      </c>
      <c r="C7" s="18" t="e">
        <f>C5-C6</f>
        <v>#REF!</v>
      </c>
    </row>
    <row r="10" spans="1:11" x14ac:dyDescent="0.2">
      <c r="A10" t="s">
        <v>8388</v>
      </c>
      <c r="B10" s="18" t="e">
        <f>AVERAGE(#REF!)</f>
        <v>#REF!</v>
      </c>
      <c r="C10" s="18" t="e">
        <f>AVERAGE(#REF!)</f>
        <v>#REF!</v>
      </c>
    </row>
    <row r="11" spans="1:11" x14ac:dyDescent="0.2">
      <c r="A11" t="s">
        <v>8389</v>
      </c>
      <c r="B11" s="18" t="e">
        <f>MEDIAN(#REF!)</f>
        <v>#REF!</v>
      </c>
      <c r="C11" s="18" t="e">
        <f>MEDIAN(#REF!)</f>
        <v>#REF!</v>
      </c>
    </row>
    <row r="12" spans="1:11" x14ac:dyDescent="0.2">
      <c r="A12" t="s">
        <v>8394</v>
      </c>
      <c r="B12" s="18" t="e">
        <f>_xlfn.STDEV.P(#REF!)</f>
        <v>#REF!</v>
      </c>
      <c r="C12" s="18" t="e">
        <f>_xlfn.STDEV.P(#REF!)</f>
        <v>#REF!</v>
      </c>
    </row>
    <row r="13" spans="1:11" x14ac:dyDescent="0.2">
      <c r="A13" t="s">
        <v>8395</v>
      </c>
      <c r="B13" s="18" t="e">
        <f>_xlfn.QUARTILE.EXC(#REF!,3)</f>
        <v>#REF!</v>
      </c>
      <c r="C13" s="18" t="e">
        <f>_xlfn.QUARTILE.EXC(#REF!,3)</f>
        <v>#REF!</v>
      </c>
    </row>
    <row r="14" spans="1:11" x14ac:dyDescent="0.2">
      <c r="A14" t="s">
        <v>8396</v>
      </c>
      <c r="B14" s="18" t="e">
        <f>_xlfn.QUARTILE.EXC(#REF!,1)</f>
        <v>#REF!</v>
      </c>
      <c r="C14" s="18" t="e">
        <f>_xlfn.QUARTILE.EXC(#REF!,1)</f>
        <v>#REF!</v>
      </c>
    </row>
    <row r="15" spans="1:11" x14ac:dyDescent="0.2">
      <c r="A15" t="s">
        <v>8397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6F86E-267F-864B-8FC8-1D8B7E97F641}">
  <dimension ref="A1:F6"/>
  <sheetViews>
    <sheetView zoomScale="120" zoomScaleNormal="120" workbookViewId="0">
      <pane ySplit="1" topLeftCell="A2" activePane="bottomLeft" state="frozen"/>
      <selection pane="bottomLeft" activeCell="F16" sqref="F1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4" max="4" width="7.5" bestFit="1" customWidth="1"/>
    <col min="5" max="5" width="15" bestFit="1" customWidth="1"/>
  </cols>
  <sheetData>
    <row r="1" spans="1:6" s="17" customFormat="1" x14ac:dyDescent="0.2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Stats by date.time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2022-02-21T19:38:56Z</dcterms:modified>
</cp:coreProperties>
</file>