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1_GIT_PRO\coms_pro\coms-service\src\main\webapp\WEB-INF\doc-template\"/>
    </mc:Choice>
  </mc:AlternateContent>
  <bookViews>
    <workbookView xWindow="0" yWindow="600" windowWidth="20490" windowHeight="6840" tabRatio="784"/>
  </bookViews>
  <sheets>
    <sheet name="Template tram" sheetId="4" r:id="rId1"/>
    <sheet name="Chào giá" sheetId="8" r:id="rId2"/>
    <sheet name="Sheet4" sheetId="18" state="hidden" r:id="rId3"/>
    <sheet name="Sheet5" sheetId="25" state="hidden" r:id="rId4"/>
    <sheet name="WACC" sheetId="13" state="hidden" r:id="rId5"/>
    <sheet name="OPEX" sheetId="2" state="hidden" r:id="rId6"/>
    <sheet name="TH CPXL" sheetId="3" state="hidden" r:id="rId7"/>
    <sheet name="Đầu vào" sheetId="20" r:id="rId8"/>
    <sheet name="Hiệu quả" sheetId="22" r:id="rId9"/>
    <sheet name="Gui VTNet" sheetId="24" r:id="rId10"/>
    <sheet name="Khấu hao" sheetId="16" state="hidden" r:id="rId11"/>
    <sheet name="Capex_VCC cũ" sheetId="23" state="hidden" r:id="rId12"/>
    <sheet name="Capex_VCC" sheetId="1" state="hidden" r:id="rId13"/>
    <sheet name="Capex VTNet 100521" sheetId="17" state="hidden" r:id="rId14"/>
    <sheet name="Sheet3" sheetId="19" state="hidden" r:id="rId15"/>
    <sheet name="Dgia thue VTNet" sheetId="6" state="hidden" r:id="rId16"/>
    <sheet name="Giá Thuê TTr theo 1477" sheetId="11" state="hidden" r:id="rId17"/>
    <sheet name="Chi phi xin đấu nối điện + GPMB" sheetId="10" state="hidden" r:id="rId18"/>
    <sheet name="Tỷ lệ giao khoán" sheetId="14" state="hidden" r:id="rId19"/>
    <sheet name="Capex nguon" sheetId="7" state="hidden" r:id="rId20"/>
    <sheet name="Sheet2" sheetId="12" state="hidden" r:id="rId21"/>
    <sheet name="Sheet1" sheetId="15" state="hidden" r:id="rId22"/>
  </sheets>
  <externalReferences>
    <externalReference r:id="rId23"/>
    <externalReference r:id="rId24"/>
  </externalReferences>
  <definedNames>
    <definedName name="_xlnm._FilterDatabase" localSheetId="16" hidden="1">'Giá Thuê TTr theo 1477'!$A$3:$C$225</definedName>
    <definedName name="_xlnm._FilterDatabase" localSheetId="18" hidden="1">'Tỷ lệ giao khoán'!$M$3:$N$578</definedName>
    <definedName name="_xlnm.Print_Area" localSheetId="1">'Chào giá'!$A$1:$H$34</definedName>
    <definedName name="_xlnm.Print_Area" localSheetId="7">'Đầu vào'!$A$1:$N$50</definedName>
    <definedName name="_xlnm.Print_Area" localSheetId="0">'Template tram'!$B$2:$N$95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24" l="1"/>
  <c r="O3" i="24" l="1"/>
  <c r="P3" i="24"/>
  <c r="N3" i="24"/>
  <c r="R3" i="24" l="1"/>
  <c r="M3" i="24"/>
  <c r="Q3" i="24"/>
  <c r="L3" i="24"/>
  <c r="K3" i="24"/>
  <c r="I3" i="24"/>
  <c r="J3" i="24"/>
  <c r="G3" i="24"/>
  <c r="H3" i="24"/>
  <c r="B3" i="24"/>
  <c r="C3" i="24"/>
  <c r="F3" i="24"/>
  <c r="E3" i="24"/>
  <c r="D3" i="24"/>
  <c r="Q225" i="12" l="1"/>
  <c r="Q224" i="12"/>
  <c r="Q223" i="12"/>
  <c r="Q222" i="12"/>
  <c r="Q221" i="12"/>
  <c r="Q220" i="12"/>
  <c r="Q219" i="12"/>
  <c r="Q218" i="12"/>
  <c r="Q217" i="12"/>
  <c r="Q216" i="12"/>
  <c r="Q215" i="12"/>
  <c r="Q214" i="12"/>
  <c r="Q213" i="12"/>
  <c r="Q212" i="12"/>
  <c r="Q211" i="12"/>
  <c r="Q210" i="12"/>
  <c r="Q209" i="12"/>
  <c r="Q208" i="12"/>
  <c r="Q207" i="12"/>
  <c r="Q206" i="12"/>
  <c r="Q205" i="12"/>
  <c r="Q204" i="12"/>
  <c r="Q203" i="12"/>
  <c r="Q202" i="12"/>
  <c r="Q201" i="12"/>
  <c r="Q200" i="12"/>
  <c r="Q199" i="12"/>
  <c r="Q198" i="12"/>
  <c r="Q197" i="12"/>
  <c r="Q196" i="12"/>
  <c r="Q195" i="12"/>
  <c r="Q194" i="12"/>
  <c r="Q193" i="12"/>
  <c r="Q192" i="12"/>
  <c r="Q191" i="12"/>
  <c r="Q190" i="12"/>
  <c r="Q189" i="12"/>
  <c r="Q188" i="12"/>
  <c r="Q187" i="12"/>
  <c r="Q186" i="12"/>
  <c r="Q185" i="12"/>
  <c r="Q184" i="12"/>
  <c r="Q183" i="12"/>
  <c r="Q182" i="12"/>
  <c r="Q181" i="12"/>
  <c r="Q180" i="12"/>
  <c r="Q179" i="12"/>
  <c r="Q178" i="12"/>
  <c r="Q177" i="12"/>
  <c r="Q176" i="12"/>
  <c r="Q175" i="12"/>
  <c r="Q174" i="12"/>
  <c r="Q173" i="12"/>
  <c r="Q172" i="12"/>
  <c r="Q171" i="12"/>
  <c r="Q170" i="12"/>
  <c r="Q169" i="12"/>
  <c r="Q168" i="12"/>
  <c r="Q167" i="12"/>
  <c r="Q166" i="12"/>
  <c r="Q165" i="12"/>
  <c r="Q164" i="12"/>
  <c r="Q163" i="12"/>
  <c r="Q162" i="12"/>
  <c r="Q161" i="12"/>
  <c r="Q160" i="12"/>
  <c r="Q159" i="12"/>
  <c r="Q158" i="12"/>
  <c r="Q157" i="12"/>
  <c r="Q156" i="12"/>
  <c r="Q155" i="12"/>
  <c r="Q154" i="12"/>
  <c r="Q153" i="12"/>
  <c r="Q152" i="12"/>
  <c r="Q151" i="12"/>
  <c r="Q150" i="12"/>
  <c r="Q149" i="12"/>
  <c r="Q148" i="12"/>
  <c r="Q147" i="12"/>
  <c r="Q146" i="12"/>
  <c r="Q145" i="12"/>
  <c r="Q144" i="12"/>
  <c r="Q143" i="12"/>
  <c r="Q142" i="12"/>
  <c r="Q141" i="12"/>
  <c r="Q140" i="12"/>
  <c r="Q139" i="12"/>
  <c r="Q138" i="12"/>
  <c r="Q137" i="12"/>
  <c r="Q136" i="12"/>
  <c r="Q135" i="12"/>
  <c r="Q134" i="12"/>
  <c r="Q133" i="12"/>
  <c r="Q132" i="12"/>
  <c r="Q131" i="12"/>
  <c r="Q130" i="12"/>
  <c r="Q129" i="12"/>
  <c r="Q128" i="12"/>
  <c r="Q127" i="12"/>
  <c r="Q126" i="12"/>
  <c r="Q125" i="12"/>
  <c r="Q124" i="12"/>
  <c r="Q123" i="12"/>
  <c r="Q122" i="12"/>
  <c r="Q121" i="12"/>
  <c r="Q120" i="12"/>
  <c r="Q119" i="12"/>
  <c r="Q118" i="12"/>
  <c r="Q117" i="12"/>
  <c r="Q116" i="12"/>
  <c r="Q115" i="12"/>
  <c r="Q114" i="12"/>
  <c r="Q113" i="12"/>
  <c r="Q112" i="12"/>
  <c r="Q111" i="12"/>
  <c r="Q110" i="12"/>
  <c r="Q109" i="12"/>
  <c r="Q108" i="12"/>
  <c r="Q107" i="12"/>
  <c r="Q106" i="12"/>
  <c r="Q105" i="12"/>
  <c r="Q104" i="12"/>
  <c r="Q103" i="12"/>
  <c r="Q102" i="12"/>
  <c r="Q101" i="12"/>
  <c r="Q100" i="12"/>
  <c r="Q99" i="12"/>
  <c r="Q98" i="12"/>
  <c r="Q97" i="12"/>
  <c r="Q96" i="12"/>
  <c r="Q95" i="12"/>
  <c r="Q94" i="12"/>
  <c r="Q93" i="12"/>
  <c r="Q92" i="12"/>
  <c r="Q91" i="12"/>
  <c r="Q90" i="12"/>
  <c r="Q89" i="12"/>
  <c r="Q88" i="12"/>
  <c r="Q87" i="12"/>
  <c r="Q86" i="12"/>
  <c r="Q85" i="12"/>
  <c r="Q84" i="12"/>
  <c r="Q83" i="12"/>
  <c r="Q82" i="12"/>
  <c r="Q81" i="12"/>
  <c r="Q80" i="12"/>
  <c r="Q79" i="12"/>
  <c r="Q78" i="12"/>
  <c r="Q77" i="12"/>
  <c r="Q76" i="12"/>
  <c r="Q75" i="12"/>
  <c r="Q74" i="12"/>
  <c r="Q73" i="12"/>
  <c r="Q72" i="12"/>
  <c r="Q71" i="12"/>
  <c r="Q70" i="12"/>
  <c r="Q69" i="12"/>
  <c r="Q68" i="12"/>
  <c r="Q67" i="12"/>
  <c r="Q66" i="12"/>
  <c r="Q65" i="12"/>
  <c r="Q64" i="12"/>
  <c r="Q63" i="12"/>
  <c r="Q62" i="12"/>
  <c r="Q61" i="12"/>
  <c r="Q60" i="12"/>
  <c r="Q59" i="12"/>
  <c r="Q58" i="12"/>
  <c r="Q57" i="12"/>
  <c r="Q56" i="12"/>
  <c r="Q55" i="12"/>
  <c r="Q54" i="12"/>
  <c r="Q53" i="12"/>
  <c r="Q52" i="12"/>
  <c r="Q51" i="12"/>
  <c r="Q50" i="12"/>
  <c r="Q49" i="12"/>
  <c r="Q48" i="12"/>
  <c r="Q47" i="12"/>
  <c r="Q46" i="12"/>
  <c r="Q45" i="12"/>
  <c r="Q44" i="12"/>
  <c r="Q43" i="12"/>
  <c r="Q42" i="12"/>
  <c r="Q41" i="12"/>
  <c r="Q40" i="12"/>
  <c r="Q39" i="12"/>
  <c r="Q38" i="12"/>
  <c r="Q37" i="12"/>
  <c r="Q36" i="12"/>
  <c r="Q35" i="12"/>
  <c r="Q34" i="12"/>
  <c r="Q33" i="12"/>
  <c r="Q32" i="12"/>
  <c r="Q31" i="12"/>
  <c r="Q30" i="12"/>
  <c r="Q29" i="12"/>
  <c r="Q28" i="12"/>
  <c r="Q27" i="12"/>
  <c r="Q26" i="12"/>
  <c r="Q25" i="12"/>
  <c r="Q24" i="12"/>
  <c r="Q23" i="12"/>
  <c r="Q22" i="12"/>
  <c r="Q21" i="12"/>
  <c r="Q20" i="12"/>
  <c r="Q19" i="12"/>
  <c r="Q18" i="12"/>
  <c r="Q17" i="12"/>
  <c r="Q16" i="12"/>
  <c r="Q15" i="12"/>
  <c r="Q14" i="12"/>
  <c r="Q13" i="12"/>
  <c r="Q12" i="12"/>
  <c r="Q11" i="12"/>
  <c r="Q10" i="12"/>
  <c r="Q9" i="12"/>
  <c r="Q8" i="12"/>
  <c r="Q7" i="12"/>
  <c r="Q6" i="12"/>
  <c r="Q5" i="12"/>
  <c r="Q4" i="12"/>
  <c r="A65" i="14"/>
  <c r="A64" i="14"/>
  <c r="A63" i="14"/>
  <c r="A62" i="14"/>
  <c r="A61" i="14"/>
  <c r="A60" i="14"/>
  <c r="A59" i="14"/>
  <c r="A58" i="14"/>
  <c r="A57" i="14"/>
  <c r="A56" i="14"/>
  <c r="A67" i="10"/>
  <c r="A66" i="10"/>
  <c r="A65" i="10"/>
  <c r="A64" i="10"/>
  <c r="A63" i="10"/>
  <c r="A62" i="10"/>
  <c r="C61" i="10"/>
  <c r="A61" i="10"/>
  <c r="A60" i="10"/>
  <c r="A59" i="10"/>
  <c r="A58" i="10"/>
  <c r="C57" i="10"/>
  <c r="A57" i="10"/>
  <c r="A56" i="10"/>
  <c r="C55" i="10"/>
  <c r="A55" i="10"/>
  <c r="A54" i="10"/>
  <c r="A53" i="10"/>
  <c r="A52" i="10"/>
  <c r="C51" i="10"/>
  <c r="A51" i="10"/>
  <c r="C50" i="10"/>
  <c r="A50" i="10"/>
  <c r="A49" i="10"/>
  <c r="A48" i="10"/>
  <c r="A47" i="10"/>
  <c r="C46" i="10"/>
  <c r="A46" i="10"/>
  <c r="A45" i="10"/>
  <c r="C44" i="10"/>
  <c r="A44" i="10"/>
  <c r="C43" i="10"/>
  <c r="A43" i="10"/>
  <c r="C42" i="10"/>
  <c r="A42" i="10"/>
  <c r="A41" i="10"/>
  <c r="A40" i="10"/>
  <c r="A39" i="10"/>
  <c r="C38" i="10"/>
  <c r="A38" i="10"/>
  <c r="C37" i="10"/>
  <c r="A37" i="10"/>
  <c r="A36" i="10"/>
  <c r="C35" i="10"/>
  <c r="A35" i="10"/>
  <c r="A34" i="10"/>
  <c r="C33" i="10"/>
  <c r="A33" i="10"/>
  <c r="A32" i="10"/>
  <c r="A31" i="10"/>
  <c r="A30" i="10"/>
  <c r="C29" i="10"/>
  <c r="A29" i="10"/>
  <c r="C28" i="10"/>
  <c r="A28" i="10"/>
  <c r="A27" i="10"/>
  <c r="B26" i="10"/>
  <c r="C25" i="10"/>
  <c r="B25" i="10"/>
  <c r="A25" i="10"/>
  <c r="C24" i="10"/>
  <c r="A24" i="10"/>
  <c r="A23" i="10"/>
  <c r="A22" i="10"/>
  <c r="C21" i="10"/>
  <c r="A21" i="10"/>
  <c r="A20" i="10"/>
  <c r="A19" i="10"/>
  <c r="C18" i="10"/>
  <c r="A18" i="10"/>
  <c r="A17" i="10"/>
  <c r="A16" i="10"/>
  <c r="A15" i="10"/>
  <c r="C14" i="10"/>
  <c r="A14" i="10"/>
  <c r="C13" i="10"/>
  <c r="A13" i="10"/>
  <c r="A12" i="10"/>
  <c r="A11" i="10"/>
  <c r="A10" i="10"/>
  <c r="A9" i="10"/>
  <c r="C8" i="10"/>
  <c r="A8" i="10"/>
  <c r="C7" i="10"/>
  <c r="A7" i="10"/>
  <c r="A6" i="10"/>
  <c r="A5" i="10"/>
  <c r="C3" i="10"/>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F159"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E8" i="11"/>
  <c r="A8" i="11"/>
  <c r="A7" i="11"/>
  <c r="A6" i="11"/>
  <c r="A5" i="11"/>
  <c r="F18" i="6"/>
  <c r="E18" i="6"/>
  <c r="F17" i="6"/>
  <c r="E17" i="6"/>
  <c r="D16" i="6"/>
  <c r="F11" i="6"/>
  <c r="E11" i="6"/>
  <c r="F10" i="6"/>
  <c r="E10" i="6"/>
  <c r="F9" i="6"/>
  <c r="E9" i="6"/>
  <c r="F8" i="6"/>
  <c r="E8" i="6"/>
  <c r="A207" i="19"/>
  <c r="A204" i="19"/>
  <c r="A203" i="19"/>
  <c r="A202" i="19"/>
  <c r="A201" i="19"/>
  <c r="A200" i="19"/>
  <c r="A187" i="19"/>
  <c r="A186" i="19"/>
  <c r="A185" i="19"/>
  <c r="A184" i="19"/>
  <c r="A183" i="19"/>
  <c r="A182" i="19"/>
  <c r="A181" i="19"/>
  <c r="A178" i="19"/>
  <c r="A177" i="19"/>
  <c r="A176" i="19"/>
  <c r="A175" i="19"/>
  <c r="A172" i="19"/>
  <c r="A171" i="19"/>
  <c r="A170" i="19"/>
  <c r="A169" i="19"/>
  <c r="A161" i="19"/>
  <c r="C154" i="19"/>
  <c r="C153" i="19"/>
  <c r="C152" i="19"/>
  <c r="C149" i="19"/>
  <c r="C148" i="19"/>
  <c r="C147" i="19"/>
  <c r="C146" i="19"/>
  <c r="C145" i="19"/>
  <c r="C143" i="19"/>
  <c r="C142" i="19"/>
  <c r="C141" i="19"/>
  <c r="A137" i="19"/>
  <c r="C136" i="19"/>
  <c r="A136" i="19"/>
  <c r="C135" i="19"/>
  <c r="A135" i="19"/>
  <c r="C134" i="19"/>
  <c r="A134" i="19"/>
  <c r="C133" i="19"/>
  <c r="A133" i="19"/>
  <c r="C132" i="19"/>
  <c r="A132" i="19"/>
  <c r="C131" i="19"/>
  <c r="A131" i="19"/>
  <c r="C130" i="19"/>
  <c r="A130" i="19"/>
  <c r="A129" i="19"/>
  <c r="A128" i="19"/>
  <c r="A123" i="19"/>
  <c r="A122" i="19"/>
  <c r="A121" i="19"/>
  <c r="A120" i="19"/>
  <c r="A110" i="19"/>
  <c r="A109" i="19"/>
  <c r="A108" i="19"/>
  <c r="A107" i="19"/>
  <c r="A106" i="19"/>
  <c r="A105" i="19"/>
  <c r="A104" i="19"/>
  <c r="A101" i="19"/>
  <c r="A100" i="19"/>
  <c r="A99" i="19"/>
  <c r="A98" i="19"/>
  <c r="A97" i="19"/>
  <c r="A96" i="19"/>
  <c r="A95" i="19"/>
  <c r="A94" i="19"/>
  <c r="A93" i="19"/>
  <c r="A90" i="19"/>
  <c r="A89" i="19"/>
  <c r="A88" i="19"/>
  <c r="A87" i="19"/>
  <c r="A86" i="19"/>
  <c r="A85" i="19"/>
  <c r="A84" i="19"/>
  <c r="A83" i="19"/>
  <c r="A80" i="19"/>
  <c r="A79" i="19"/>
  <c r="A78" i="19"/>
  <c r="A75" i="19"/>
  <c r="A74" i="19"/>
  <c r="A73" i="19"/>
  <c r="A72" i="19"/>
  <c r="A71" i="19"/>
  <c r="A70" i="19"/>
  <c r="A69" i="19"/>
  <c r="C66" i="19"/>
  <c r="C65" i="19"/>
  <c r="C64" i="19"/>
  <c r="A64" i="19"/>
  <c r="C63" i="19"/>
  <c r="C60" i="19"/>
  <c r="C59" i="19"/>
  <c r="A59" i="19"/>
  <c r="C58" i="19"/>
  <c r="C57" i="19"/>
  <c r="A57" i="19"/>
  <c r="C52" i="19"/>
  <c r="A52" i="19"/>
  <c r="C51" i="19"/>
  <c r="A51" i="19"/>
  <c r="A50" i="19"/>
  <c r="A49" i="19"/>
  <c r="A48" i="19"/>
  <c r="A47" i="19"/>
  <c r="A46" i="19"/>
  <c r="C43" i="19"/>
  <c r="A43" i="19"/>
  <c r="C42" i="19"/>
  <c r="A42" i="19"/>
  <c r="C41" i="19"/>
  <c r="A41" i="19"/>
  <c r="C40" i="19"/>
  <c r="A40" i="19"/>
  <c r="A39" i="19"/>
  <c r="A38" i="19"/>
  <c r="C37" i="19"/>
  <c r="A37" i="19"/>
  <c r="C36" i="19"/>
  <c r="A36" i="19"/>
  <c r="C35" i="19"/>
  <c r="A35" i="19"/>
  <c r="C33" i="19"/>
  <c r="C31" i="19"/>
  <c r="A31" i="19"/>
  <c r="C30" i="19"/>
  <c r="A30" i="19"/>
  <c r="C29" i="19"/>
  <c r="A29" i="19"/>
  <c r="C28" i="19"/>
  <c r="A28" i="19"/>
  <c r="C27" i="19"/>
  <c r="A27" i="19"/>
  <c r="C26" i="19"/>
  <c r="A26" i="19"/>
  <c r="C25" i="19"/>
  <c r="A25" i="19"/>
  <c r="C24" i="19"/>
  <c r="C21" i="19"/>
  <c r="C20" i="19"/>
  <c r="C19" i="19"/>
  <c r="C18" i="19"/>
  <c r="A18" i="19"/>
  <c r="C17" i="19"/>
  <c r="A17" i="19"/>
  <c r="C16" i="19"/>
  <c r="A16" i="19"/>
  <c r="C15" i="19"/>
  <c r="A15" i="19"/>
  <c r="C14" i="19"/>
  <c r="A14" i="19"/>
  <c r="C13" i="19"/>
  <c r="A13" i="19"/>
  <c r="C12" i="19"/>
  <c r="A12" i="19"/>
  <c r="C11" i="19"/>
  <c r="A11" i="19"/>
  <c r="C10" i="19"/>
  <c r="A10" i="19"/>
  <c r="C9" i="19"/>
  <c r="A9" i="19"/>
  <c r="C8" i="19"/>
  <c r="A8" i="19"/>
  <c r="C7" i="19"/>
  <c r="E69" i="17"/>
  <c r="E68" i="17"/>
  <c r="E67" i="17"/>
  <c r="E66" i="17"/>
  <c r="A216" i="1"/>
  <c r="Z214" i="1"/>
  <c r="Y214" i="1"/>
  <c r="BO213" i="1"/>
  <c r="BN213" i="1"/>
  <c r="BM213" i="1"/>
  <c r="BL213" i="1"/>
  <c r="BK213" i="1"/>
  <c r="BJ213" i="1"/>
  <c r="BI213" i="1"/>
  <c r="BH213" i="1"/>
  <c r="BG213" i="1"/>
  <c r="BF213" i="1"/>
  <c r="BE213" i="1"/>
  <c r="BD213" i="1"/>
  <c r="BB213" i="1"/>
  <c r="BA213" i="1"/>
  <c r="AZ213" i="1"/>
  <c r="AY213" i="1"/>
  <c r="AX213" i="1"/>
  <c r="AV213" i="1"/>
  <c r="AU213" i="1"/>
  <c r="AT213" i="1"/>
  <c r="AS213" i="1"/>
  <c r="AR213" i="1"/>
  <c r="AQ213" i="1"/>
  <c r="AP213" i="1"/>
  <c r="AO213" i="1"/>
  <c r="AM213" i="1"/>
  <c r="AL213" i="1"/>
  <c r="AK213" i="1"/>
  <c r="AJ213" i="1"/>
  <c r="AI213" i="1"/>
  <c r="AG213" i="1"/>
  <c r="AD213" i="1"/>
  <c r="Z213" i="1"/>
  <c r="Y213" i="1"/>
  <c r="W213" i="1"/>
  <c r="V213" i="1"/>
  <c r="U213" i="1"/>
  <c r="S213" i="1"/>
  <c r="R213" i="1"/>
  <c r="Q213" i="1"/>
  <c r="P213" i="1"/>
  <c r="O213" i="1"/>
  <c r="N213" i="1"/>
  <c r="M213" i="1"/>
  <c r="L213" i="1"/>
  <c r="K213" i="1"/>
  <c r="J213" i="1"/>
  <c r="I213" i="1"/>
  <c r="H213" i="1"/>
  <c r="G213" i="1"/>
  <c r="F213" i="1"/>
  <c r="E213" i="1"/>
  <c r="A213" i="1"/>
  <c r="BO212" i="1"/>
  <c r="BN212" i="1"/>
  <c r="BM212" i="1"/>
  <c r="BL212" i="1"/>
  <c r="BK212" i="1"/>
  <c r="BJ212" i="1"/>
  <c r="BI212" i="1"/>
  <c r="BH212" i="1"/>
  <c r="BG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T212" i="1"/>
  <c r="S212" i="1"/>
  <c r="R212" i="1"/>
  <c r="Q212" i="1"/>
  <c r="P212" i="1"/>
  <c r="O212" i="1"/>
  <c r="N212" i="1"/>
  <c r="M212" i="1"/>
  <c r="L212" i="1"/>
  <c r="K212" i="1"/>
  <c r="J212" i="1"/>
  <c r="I212" i="1"/>
  <c r="H212" i="1"/>
  <c r="G212" i="1"/>
  <c r="F212" i="1"/>
  <c r="E212" i="1"/>
  <c r="D212" i="1"/>
  <c r="A212" i="1"/>
  <c r="BO211" i="1"/>
  <c r="BN211" i="1"/>
  <c r="BM211" i="1"/>
  <c r="BL211" i="1"/>
  <c r="BK211" i="1"/>
  <c r="BJ211" i="1"/>
  <c r="BI211" i="1"/>
  <c r="BH211" i="1"/>
  <c r="BG211" i="1"/>
  <c r="BF211" i="1"/>
  <c r="BE211" i="1"/>
  <c r="BD211" i="1"/>
  <c r="BB211" i="1"/>
  <c r="BA211" i="1"/>
  <c r="AZ211" i="1"/>
  <c r="AY211" i="1"/>
  <c r="AX211" i="1"/>
  <c r="AV211" i="1"/>
  <c r="AU211" i="1"/>
  <c r="AT211" i="1"/>
  <c r="AS211" i="1"/>
  <c r="AR211" i="1"/>
  <c r="AQ211" i="1"/>
  <c r="AP211" i="1"/>
  <c r="AO211" i="1"/>
  <c r="AM211" i="1"/>
  <c r="AL211" i="1"/>
  <c r="AK211" i="1"/>
  <c r="AJ211" i="1"/>
  <c r="AI211" i="1"/>
  <c r="AG211" i="1"/>
  <c r="AD211" i="1"/>
  <c r="Z211" i="1"/>
  <c r="Y211" i="1"/>
  <c r="W211" i="1"/>
  <c r="V211" i="1"/>
  <c r="U211" i="1"/>
  <c r="S211" i="1"/>
  <c r="R211" i="1"/>
  <c r="Q211" i="1"/>
  <c r="P211" i="1"/>
  <c r="O211" i="1"/>
  <c r="N211" i="1"/>
  <c r="M211" i="1"/>
  <c r="L211" i="1"/>
  <c r="K211" i="1"/>
  <c r="J211" i="1"/>
  <c r="I211" i="1"/>
  <c r="H211" i="1"/>
  <c r="G211" i="1"/>
  <c r="F211" i="1"/>
  <c r="E211" i="1"/>
  <c r="A211" i="1"/>
  <c r="BO210" i="1"/>
  <c r="BN210" i="1"/>
  <c r="BM210" i="1"/>
  <c r="BL210" i="1"/>
  <c r="BK210" i="1"/>
  <c r="BJ210" i="1"/>
  <c r="BI210" i="1"/>
  <c r="BH210" i="1"/>
  <c r="BG210" i="1"/>
  <c r="BF210" i="1"/>
  <c r="BE210" i="1"/>
  <c r="BD210" i="1"/>
  <c r="BB210" i="1"/>
  <c r="BA210" i="1"/>
  <c r="AZ210" i="1"/>
  <c r="AY210" i="1"/>
  <c r="AX210" i="1"/>
  <c r="AV210" i="1"/>
  <c r="AU210" i="1"/>
  <c r="AT210" i="1"/>
  <c r="AS210" i="1"/>
  <c r="AR210" i="1"/>
  <c r="AQ210" i="1"/>
  <c r="AP210" i="1"/>
  <c r="AO210" i="1"/>
  <c r="AM210" i="1"/>
  <c r="AL210" i="1"/>
  <c r="AK210" i="1"/>
  <c r="AJ210" i="1"/>
  <c r="AI210" i="1"/>
  <c r="AG210" i="1"/>
  <c r="AD210" i="1"/>
  <c r="Z210" i="1"/>
  <c r="Y210" i="1"/>
  <c r="W210" i="1"/>
  <c r="V210" i="1"/>
  <c r="U210" i="1"/>
  <c r="S210" i="1"/>
  <c r="R210" i="1"/>
  <c r="Q210" i="1"/>
  <c r="P210" i="1"/>
  <c r="O210" i="1"/>
  <c r="N210" i="1"/>
  <c r="M210" i="1"/>
  <c r="L210" i="1"/>
  <c r="K210" i="1"/>
  <c r="J210" i="1"/>
  <c r="I210" i="1"/>
  <c r="H210" i="1"/>
  <c r="G210" i="1"/>
  <c r="F210" i="1"/>
  <c r="E210" i="1"/>
  <c r="A210" i="1"/>
  <c r="BO209" i="1"/>
  <c r="BN209" i="1"/>
  <c r="BM209" i="1"/>
  <c r="BL209" i="1"/>
  <c r="BK209" i="1"/>
  <c r="BJ209" i="1"/>
  <c r="BI209" i="1"/>
  <c r="BH209" i="1"/>
  <c r="BG209" i="1"/>
  <c r="BF209" i="1"/>
  <c r="BE209" i="1"/>
  <c r="BD209" i="1"/>
  <c r="BB209" i="1"/>
  <c r="BA209" i="1"/>
  <c r="AZ209" i="1"/>
  <c r="AY209" i="1"/>
  <c r="AX209" i="1"/>
  <c r="AV209" i="1"/>
  <c r="AU209" i="1"/>
  <c r="AT209" i="1"/>
  <c r="AS209" i="1"/>
  <c r="AR209" i="1"/>
  <c r="AQ209" i="1"/>
  <c r="AP209" i="1"/>
  <c r="AO209" i="1"/>
  <c r="AM209" i="1"/>
  <c r="AL209" i="1"/>
  <c r="AK209" i="1"/>
  <c r="AJ209" i="1"/>
  <c r="AI209" i="1"/>
  <c r="AG209" i="1"/>
  <c r="AD209" i="1"/>
  <c r="Z209" i="1"/>
  <c r="Y209" i="1"/>
  <c r="W209" i="1"/>
  <c r="V209" i="1"/>
  <c r="U209" i="1"/>
  <c r="S209" i="1"/>
  <c r="R209" i="1"/>
  <c r="Q209" i="1"/>
  <c r="P209" i="1"/>
  <c r="O209" i="1"/>
  <c r="N209" i="1"/>
  <c r="M209" i="1"/>
  <c r="L209" i="1"/>
  <c r="K209" i="1"/>
  <c r="J209" i="1"/>
  <c r="I209" i="1"/>
  <c r="H209" i="1"/>
  <c r="G209" i="1"/>
  <c r="F209" i="1"/>
  <c r="E209" i="1"/>
  <c r="A209" i="1"/>
  <c r="BO208" i="1"/>
  <c r="BN208" i="1"/>
  <c r="BM208" i="1"/>
  <c r="BL208" i="1"/>
  <c r="BK208" i="1"/>
  <c r="BJ208" i="1"/>
  <c r="BI208" i="1"/>
  <c r="BH208" i="1"/>
  <c r="BG208" i="1"/>
  <c r="BF208" i="1"/>
  <c r="BE208" i="1"/>
  <c r="BD208" i="1"/>
  <c r="BB208" i="1"/>
  <c r="BA208" i="1"/>
  <c r="AZ208" i="1"/>
  <c r="AY208" i="1"/>
  <c r="AX208" i="1"/>
  <c r="AV208" i="1"/>
  <c r="AU208" i="1"/>
  <c r="AT208" i="1"/>
  <c r="AS208" i="1"/>
  <c r="AR208" i="1"/>
  <c r="AQ208" i="1"/>
  <c r="AP208" i="1"/>
  <c r="AO208" i="1"/>
  <c r="AM208" i="1"/>
  <c r="AL208" i="1"/>
  <c r="AK208" i="1"/>
  <c r="AJ208" i="1"/>
  <c r="AI208" i="1"/>
  <c r="AG208" i="1"/>
  <c r="AD208" i="1"/>
  <c r="Z208" i="1"/>
  <c r="Y208" i="1"/>
  <c r="W208" i="1"/>
  <c r="V208" i="1"/>
  <c r="U208" i="1"/>
  <c r="S208" i="1"/>
  <c r="R208" i="1"/>
  <c r="Q208" i="1"/>
  <c r="P208" i="1"/>
  <c r="O208" i="1"/>
  <c r="N208" i="1"/>
  <c r="M208" i="1"/>
  <c r="L208" i="1"/>
  <c r="K208" i="1"/>
  <c r="J208" i="1"/>
  <c r="I208" i="1"/>
  <c r="H208" i="1"/>
  <c r="G208" i="1"/>
  <c r="F208" i="1"/>
  <c r="E208" i="1"/>
  <c r="BO207" i="1"/>
  <c r="BN207" i="1"/>
  <c r="BM207" i="1"/>
  <c r="BL207" i="1"/>
  <c r="BK207" i="1"/>
  <c r="BJ207" i="1"/>
  <c r="BI207" i="1"/>
  <c r="BH207" i="1"/>
  <c r="BG207" i="1"/>
  <c r="BF207" i="1"/>
  <c r="BE207" i="1"/>
  <c r="BD207" i="1"/>
  <c r="BB207" i="1"/>
  <c r="BA207" i="1"/>
  <c r="AZ207" i="1"/>
  <c r="AY207" i="1"/>
  <c r="AX207" i="1"/>
  <c r="AV207" i="1"/>
  <c r="AU207" i="1"/>
  <c r="AT207" i="1"/>
  <c r="AS207" i="1"/>
  <c r="AR207" i="1"/>
  <c r="AQ207" i="1"/>
  <c r="AP207" i="1"/>
  <c r="AO207" i="1"/>
  <c r="AM207" i="1"/>
  <c r="AL207" i="1"/>
  <c r="AK207" i="1"/>
  <c r="AJ207" i="1"/>
  <c r="AI207" i="1"/>
  <c r="AG207" i="1"/>
  <c r="AD207" i="1"/>
  <c r="Z207" i="1"/>
  <c r="Y207" i="1"/>
  <c r="W207" i="1"/>
  <c r="V207" i="1"/>
  <c r="U207" i="1"/>
  <c r="S207" i="1"/>
  <c r="R207" i="1"/>
  <c r="Q207" i="1"/>
  <c r="P207" i="1"/>
  <c r="O207" i="1"/>
  <c r="N207" i="1"/>
  <c r="M207" i="1"/>
  <c r="L207" i="1"/>
  <c r="BO206" i="1"/>
  <c r="BN206" i="1"/>
  <c r="BM206" i="1"/>
  <c r="BL206" i="1"/>
  <c r="BK206" i="1"/>
  <c r="BJ206" i="1"/>
  <c r="BI206" i="1"/>
  <c r="BH206" i="1"/>
  <c r="BG206" i="1"/>
  <c r="BF206" i="1"/>
  <c r="BE206" i="1"/>
  <c r="BD206" i="1"/>
  <c r="BB206" i="1"/>
  <c r="BA206" i="1"/>
  <c r="AZ206" i="1"/>
  <c r="AY206" i="1"/>
  <c r="AX206" i="1"/>
  <c r="AV206" i="1"/>
  <c r="AU206" i="1"/>
  <c r="AT206" i="1"/>
  <c r="AS206" i="1"/>
  <c r="AR206" i="1"/>
  <c r="AQ206" i="1"/>
  <c r="AP206" i="1"/>
  <c r="AO206" i="1"/>
  <c r="AM206" i="1"/>
  <c r="AL206" i="1"/>
  <c r="AK206" i="1"/>
  <c r="AJ206" i="1"/>
  <c r="AI206" i="1"/>
  <c r="AG206" i="1"/>
  <c r="AD206" i="1"/>
  <c r="Z206" i="1"/>
  <c r="Y206" i="1"/>
  <c r="W206" i="1"/>
  <c r="V206" i="1"/>
  <c r="U206" i="1"/>
  <c r="S206" i="1"/>
  <c r="R206" i="1"/>
  <c r="Q206" i="1"/>
  <c r="P206" i="1"/>
  <c r="O206" i="1"/>
  <c r="N206" i="1"/>
  <c r="M206" i="1"/>
  <c r="L206" i="1"/>
  <c r="J206" i="1"/>
  <c r="I206" i="1"/>
  <c r="H206" i="1"/>
  <c r="G206" i="1"/>
  <c r="F206" i="1"/>
  <c r="E206" i="1"/>
  <c r="BO205" i="1"/>
  <c r="BN205" i="1"/>
  <c r="BM205" i="1"/>
  <c r="BL205" i="1"/>
  <c r="BK205" i="1"/>
  <c r="BJ205" i="1"/>
  <c r="BI205" i="1"/>
  <c r="BH205" i="1"/>
  <c r="BG205" i="1"/>
  <c r="BF205" i="1"/>
  <c r="BE205" i="1"/>
  <c r="BD205" i="1"/>
  <c r="BB205" i="1"/>
  <c r="BA205" i="1"/>
  <c r="AZ205" i="1"/>
  <c r="AY205" i="1"/>
  <c r="AX205" i="1"/>
  <c r="AV205" i="1"/>
  <c r="AU205" i="1"/>
  <c r="AT205" i="1"/>
  <c r="AS205" i="1"/>
  <c r="AR205" i="1"/>
  <c r="AQ205" i="1"/>
  <c r="AP205" i="1"/>
  <c r="AO205" i="1"/>
  <c r="AM205" i="1"/>
  <c r="AL205" i="1"/>
  <c r="AK205" i="1"/>
  <c r="AJ205" i="1"/>
  <c r="AI205" i="1"/>
  <c r="AG205" i="1"/>
  <c r="AD205" i="1"/>
  <c r="Z205" i="1"/>
  <c r="Y205" i="1"/>
  <c r="W205" i="1"/>
  <c r="V205" i="1"/>
  <c r="U205" i="1"/>
  <c r="S205" i="1"/>
  <c r="R205" i="1"/>
  <c r="Q205" i="1"/>
  <c r="P205" i="1"/>
  <c r="O205" i="1"/>
  <c r="N205" i="1"/>
  <c r="M205" i="1"/>
  <c r="L205" i="1"/>
  <c r="J205" i="1"/>
  <c r="I205" i="1"/>
  <c r="H205" i="1"/>
  <c r="G205" i="1"/>
  <c r="F205" i="1"/>
  <c r="E205" i="1"/>
  <c r="BO204" i="1"/>
  <c r="BN204" i="1"/>
  <c r="BM204" i="1"/>
  <c r="BL204" i="1"/>
  <c r="BK204" i="1"/>
  <c r="BJ204" i="1"/>
  <c r="BI204" i="1"/>
  <c r="BH204" i="1"/>
  <c r="BG204" i="1"/>
  <c r="BF204" i="1"/>
  <c r="BE204" i="1"/>
  <c r="BD204" i="1"/>
  <c r="BB204" i="1"/>
  <c r="BA204" i="1"/>
  <c r="AZ204" i="1"/>
  <c r="AY204" i="1"/>
  <c r="AX204" i="1"/>
  <c r="AV204" i="1"/>
  <c r="AU204" i="1"/>
  <c r="AT204" i="1"/>
  <c r="AS204" i="1"/>
  <c r="AR204" i="1"/>
  <c r="AQ204" i="1"/>
  <c r="AP204" i="1"/>
  <c r="AO204" i="1"/>
  <c r="AM204" i="1"/>
  <c r="AL204" i="1"/>
  <c r="AK204" i="1"/>
  <c r="AJ204" i="1"/>
  <c r="AI204" i="1"/>
  <c r="AG204" i="1"/>
  <c r="AD204" i="1"/>
  <c r="Z204" i="1"/>
  <c r="Y204" i="1"/>
  <c r="W204" i="1"/>
  <c r="V204" i="1"/>
  <c r="U204" i="1"/>
  <c r="S204" i="1"/>
  <c r="R204" i="1"/>
  <c r="Q204" i="1"/>
  <c r="P204" i="1"/>
  <c r="O204" i="1"/>
  <c r="N204" i="1"/>
  <c r="M204" i="1"/>
  <c r="L204" i="1"/>
  <c r="J204" i="1"/>
  <c r="I204" i="1"/>
  <c r="H204" i="1"/>
  <c r="G204" i="1"/>
  <c r="F204" i="1"/>
  <c r="E204" i="1"/>
  <c r="BO203" i="1"/>
  <c r="BN203" i="1"/>
  <c r="BM203" i="1"/>
  <c r="BL203" i="1"/>
  <c r="BK203" i="1"/>
  <c r="BJ203" i="1"/>
  <c r="BI203" i="1"/>
  <c r="BH203" i="1"/>
  <c r="BG203" i="1"/>
  <c r="BF203" i="1"/>
  <c r="BE203" i="1"/>
  <c r="BD203" i="1"/>
  <c r="BB203" i="1"/>
  <c r="BA203" i="1"/>
  <c r="AZ203" i="1"/>
  <c r="AY203" i="1"/>
  <c r="AX203" i="1"/>
  <c r="AV203" i="1"/>
  <c r="AU203" i="1"/>
  <c r="AT203" i="1"/>
  <c r="AS203" i="1"/>
  <c r="AR203" i="1"/>
  <c r="AQ203" i="1"/>
  <c r="AP203" i="1"/>
  <c r="AO203" i="1"/>
  <c r="AM203" i="1"/>
  <c r="AL203" i="1"/>
  <c r="AK203" i="1"/>
  <c r="AJ203" i="1"/>
  <c r="AI203" i="1"/>
  <c r="AG203" i="1"/>
  <c r="AD203" i="1"/>
  <c r="Z203" i="1"/>
  <c r="Y203" i="1"/>
  <c r="W203" i="1"/>
  <c r="V203" i="1"/>
  <c r="U203" i="1"/>
  <c r="S203" i="1"/>
  <c r="R203" i="1"/>
  <c r="Q203" i="1"/>
  <c r="P203" i="1"/>
  <c r="O203" i="1"/>
  <c r="N203" i="1"/>
  <c r="M203" i="1"/>
  <c r="L203" i="1"/>
  <c r="BO202" i="1"/>
  <c r="BN202"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T202" i="1"/>
  <c r="S202" i="1"/>
  <c r="R202" i="1"/>
  <c r="Q202" i="1"/>
  <c r="P202" i="1"/>
  <c r="O202" i="1"/>
  <c r="N202" i="1"/>
  <c r="M202" i="1"/>
  <c r="L202" i="1"/>
  <c r="K202" i="1"/>
  <c r="J202" i="1"/>
  <c r="I202" i="1"/>
  <c r="H202" i="1"/>
  <c r="G202" i="1"/>
  <c r="F202" i="1"/>
  <c r="E202"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M201" i="1"/>
  <c r="L201" i="1"/>
  <c r="K201" i="1"/>
  <c r="J201" i="1"/>
  <c r="I201" i="1"/>
  <c r="H201" i="1"/>
  <c r="G201" i="1"/>
  <c r="F201" i="1"/>
  <c r="E201"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T200" i="1"/>
  <c r="S200" i="1"/>
  <c r="R200" i="1"/>
  <c r="Q200" i="1"/>
  <c r="P200" i="1"/>
  <c r="O200" i="1"/>
  <c r="N200" i="1"/>
  <c r="M200" i="1"/>
  <c r="L200" i="1"/>
  <c r="K200" i="1"/>
  <c r="J200" i="1"/>
  <c r="I200" i="1"/>
  <c r="H200" i="1"/>
  <c r="G200" i="1"/>
  <c r="F200" i="1"/>
  <c r="E200" i="1"/>
  <c r="BO199" i="1"/>
  <c r="BN199" i="1"/>
  <c r="BM199" i="1"/>
  <c r="BL199" i="1"/>
  <c r="BK199" i="1"/>
  <c r="BJ199" i="1"/>
  <c r="BI199" i="1"/>
  <c r="BH199" i="1"/>
  <c r="BG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T199" i="1"/>
  <c r="S199" i="1"/>
  <c r="R199" i="1"/>
  <c r="Q199" i="1"/>
  <c r="P199" i="1"/>
  <c r="O199" i="1"/>
  <c r="N199" i="1"/>
  <c r="M199" i="1"/>
  <c r="L199" i="1"/>
  <c r="K199" i="1"/>
  <c r="J199" i="1"/>
  <c r="I199" i="1"/>
  <c r="H199" i="1"/>
  <c r="G199" i="1"/>
  <c r="F199" i="1"/>
  <c r="E199"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M198" i="1"/>
  <c r="L198" i="1"/>
  <c r="K198" i="1"/>
  <c r="J198" i="1"/>
  <c r="I198" i="1"/>
  <c r="H198" i="1"/>
  <c r="G198" i="1"/>
  <c r="F198" i="1"/>
  <c r="E198" i="1"/>
  <c r="BO197" i="1"/>
  <c r="BN197" i="1"/>
  <c r="BM197" i="1"/>
  <c r="BL197" i="1"/>
  <c r="BK197" i="1"/>
  <c r="BJ197" i="1"/>
  <c r="BI197" i="1"/>
  <c r="BH197" i="1"/>
  <c r="BG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T197" i="1"/>
  <c r="S197" i="1"/>
  <c r="R197" i="1"/>
  <c r="Q197" i="1"/>
  <c r="P197" i="1"/>
  <c r="O197" i="1"/>
  <c r="N197" i="1"/>
  <c r="M197" i="1"/>
  <c r="L197" i="1"/>
  <c r="K197" i="1"/>
  <c r="J197" i="1"/>
  <c r="I197" i="1"/>
  <c r="H197" i="1"/>
  <c r="G197" i="1"/>
  <c r="F197" i="1"/>
  <c r="E197" i="1"/>
  <c r="BO196" i="1"/>
  <c r="BN196" i="1"/>
  <c r="BM196" i="1"/>
  <c r="BL196" i="1"/>
  <c r="BK196" i="1"/>
  <c r="BJ196" i="1"/>
  <c r="BI196" i="1"/>
  <c r="BH196" i="1"/>
  <c r="BG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T196" i="1"/>
  <c r="S196" i="1"/>
  <c r="R196" i="1"/>
  <c r="Q196" i="1"/>
  <c r="P196" i="1"/>
  <c r="O196" i="1"/>
  <c r="N196" i="1"/>
  <c r="M196" i="1"/>
  <c r="L196" i="1"/>
  <c r="K196" i="1"/>
  <c r="J196" i="1"/>
  <c r="I196" i="1"/>
  <c r="H196" i="1"/>
  <c r="G196" i="1"/>
  <c r="F196" i="1"/>
  <c r="E196"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M195" i="1"/>
  <c r="L195" i="1"/>
  <c r="K195" i="1"/>
  <c r="J195" i="1"/>
  <c r="I195" i="1"/>
  <c r="H195" i="1"/>
  <c r="G195" i="1"/>
  <c r="F195" i="1"/>
  <c r="E195" i="1"/>
  <c r="BO194" i="1"/>
  <c r="BN194" i="1"/>
  <c r="BM194" i="1"/>
  <c r="BL194" i="1"/>
  <c r="BK194" i="1"/>
  <c r="BJ194" i="1"/>
  <c r="BI194" i="1"/>
  <c r="BH194" i="1"/>
  <c r="BG194" i="1"/>
  <c r="BF194" i="1"/>
  <c r="BE194" i="1"/>
  <c r="BD194" i="1"/>
  <c r="BB194" i="1"/>
  <c r="BA194" i="1"/>
  <c r="AZ194" i="1"/>
  <c r="AY194" i="1"/>
  <c r="AX194" i="1"/>
  <c r="AV194" i="1"/>
  <c r="AU194" i="1"/>
  <c r="AT194" i="1"/>
  <c r="AS194" i="1"/>
  <c r="AR194" i="1"/>
  <c r="AQ194" i="1"/>
  <c r="AP194" i="1"/>
  <c r="AO194" i="1"/>
  <c r="AM194" i="1"/>
  <c r="AL194" i="1"/>
  <c r="AK194" i="1"/>
  <c r="AJ194" i="1"/>
  <c r="AI194" i="1"/>
  <c r="AG194" i="1"/>
  <c r="AD194" i="1"/>
  <c r="Z194" i="1"/>
  <c r="Y194" i="1"/>
  <c r="W194" i="1"/>
  <c r="V194" i="1"/>
  <c r="U194" i="1"/>
  <c r="BO193" i="1"/>
  <c r="BN193" i="1"/>
  <c r="BM193" i="1"/>
  <c r="BL193" i="1"/>
  <c r="BK193" i="1"/>
  <c r="BJ193" i="1"/>
  <c r="BI193" i="1"/>
  <c r="BH193" i="1"/>
  <c r="BG193" i="1"/>
  <c r="BF193" i="1"/>
  <c r="BE193" i="1"/>
  <c r="BD193" i="1"/>
  <c r="BB193" i="1"/>
  <c r="BA193" i="1"/>
  <c r="AZ193" i="1"/>
  <c r="AY193" i="1"/>
  <c r="AX193" i="1"/>
  <c r="AV193" i="1"/>
  <c r="AU193" i="1"/>
  <c r="AT193" i="1"/>
  <c r="AS193" i="1"/>
  <c r="AR193" i="1"/>
  <c r="AQ193" i="1"/>
  <c r="AP193" i="1"/>
  <c r="AO193" i="1"/>
  <c r="AM193" i="1"/>
  <c r="AL193" i="1"/>
  <c r="AK193" i="1"/>
  <c r="AJ193" i="1"/>
  <c r="AI193" i="1"/>
  <c r="AG193" i="1"/>
  <c r="AD193" i="1"/>
  <c r="Z193" i="1"/>
  <c r="Y193" i="1"/>
  <c r="W193" i="1"/>
  <c r="V193" i="1"/>
  <c r="U193" i="1"/>
  <c r="S193" i="1"/>
  <c r="R193" i="1"/>
  <c r="Q193" i="1"/>
  <c r="P193" i="1"/>
  <c r="O193" i="1"/>
  <c r="N193" i="1"/>
  <c r="M193" i="1"/>
  <c r="L193" i="1"/>
  <c r="J193" i="1"/>
  <c r="I193" i="1"/>
  <c r="H193" i="1"/>
  <c r="G193" i="1"/>
  <c r="F193" i="1"/>
  <c r="E193" i="1"/>
  <c r="A193" i="1"/>
  <c r="BO192" i="1"/>
  <c r="BN192" i="1"/>
  <c r="BM192" i="1"/>
  <c r="BL192" i="1"/>
  <c r="BK192" i="1"/>
  <c r="BJ192" i="1"/>
  <c r="BI192" i="1"/>
  <c r="BH192" i="1"/>
  <c r="BG192" i="1"/>
  <c r="BF192" i="1"/>
  <c r="BE192" i="1"/>
  <c r="BD192" i="1"/>
  <c r="BB192" i="1"/>
  <c r="BA192" i="1"/>
  <c r="AZ192" i="1"/>
  <c r="AY192" i="1"/>
  <c r="AX192" i="1"/>
  <c r="AV192" i="1"/>
  <c r="AU192" i="1"/>
  <c r="AT192" i="1"/>
  <c r="AS192" i="1"/>
  <c r="AR192" i="1"/>
  <c r="AQ192" i="1"/>
  <c r="AP192" i="1"/>
  <c r="AO192" i="1"/>
  <c r="AM192" i="1"/>
  <c r="AL192" i="1"/>
  <c r="AK192" i="1"/>
  <c r="AJ192" i="1"/>
  <c r="AI192" i="1"/>
  <c r="AG192" i="1"/>
  <c r="AD192" i="1"/>
  <c r="Z192" i="1"/>
  <c r="Y192" i="1"/>
  <c r="W192" i="1"/>
  <c r="V192" i="1"/>
  <c r="U192" i="1"/>
  <c r="S192" i="1"/>
  <c r="R192" i="1"/>
  <c r="Q192" i="1"/>
  <c r="P192" i="1"/>
  <c r="O192" i="1"/>
  <c r="N192" i="1"/>
  <c r="M192" i="1"/>
  <c r="L192" i="1"/>
  <c r="J192" i="1"/>
  <c r="I192" i="1"/>
  <c r="H192" i="1"/>
  <c r="G192" i="1"/>
  <c r="F192" i="1"/>
  <c r="E192" i="1"/>
  <c r="A192" i="1"/>
  <c r="BO191" i="1"/>
  <c r="BN191" i="1"/>
  <c r="BM191" i="1"/>
  <c r="BL191" i="1"/>
  <c r="BK191" i="1"/>
  <c r="BJ191" i="1"/>
  <c r="BI191" i="1"/>
  <c r="BH191" i="1"/>
  <c r="BG191" i="1"/>
  <c r="BF191" i="1"/>
  <c r="BE191" i="1"/>
  <c r="BD191" i="1"/>
  <c r="BB191" i="1"/>
  <c r="BA191" i="1"/>
  <c r="AZ191" i="1"/>
  <c r="AY191" i="1"/>
  <c r="AX191" i="1"/>
  <c r="AV191" i="1"/>
  <c r="AU191" i="1"/>
  <c r="AT191" i="1"/>
  <c r="AS191" i="1"/>
  <c r="AR191" i="1"/>
  <c r="AQ191" i="1"/>
  <c r="AP191" i="1"/>
  <c r="AO191" i="1"/>
  <c r="AM191" i="1"/>
  <c r="AL191" i="1"/>
  <c r="AK191" i="1"/>
  <c r="AJ191" i="1"/>
  <c r="AI191" i="1"/>
  <c r="AG191" i="1"/>
  <c r="AD191" i="1"/>
  <c r="Z191" i="1"/>
  <c r="Y191" i="1"/>
  <c r="W191" i="1"/>
  <c r="V191" i="1"/>
  <c r="U191" i="1"/>
  <c r="S191" i="1"/>
  <c r="R191" i="1"/>
  <c r="Q191" i="1"/>
  <c r="P191" i="1"/>
  <c r="O191" i="1"/>
  <c r="N191" i="1"/>
  <c r="M191" i="1"/>
  <c r="L191" i="1"/>
  <c r="J191" i="1"/>
  <c r="I191" i="1"/>
  <c r="H191" i="1"/>
  <c r="G191" i="1"/>
  <c r="F191" i="1"/>
  <c r="E191" i="1"/>
  <c r="A191" i="1"/>
  <c r="BO190" i="1"/>
  <c r="BN190" i="1"/>
  <c r="BM190" i="1"/>
  <c r="BL190" i="1"/>
  <c r="BK190" i="1"/>
  <c r="BJ190" i="1"/>
  <c r="BI190" i="1"/>
  <c r="BH190" i="1"/>
  <c r="BG190" i="1"/>
  <c r="BF190" i="1"/>
  <c r="BE190" i="1"/>
  <c r="BD190" i="1"/>
  <c r="BB190" i="1"/>
  <c r="BA190" i="1"/>
  <c r="AZ190" i="1"/>
  <c r="AY190" i="1"/>
  <c r="AX190" i="1"/>
  <c r="AV190" i="1"/>
  <c r="AU190" i="1"/>
  <c r="AT190" i="1"/>
  <c r="AS190" i="1"/>
  <c r="AR190" i="1"/>
  <c r="AQ190" i="1"/>
  <c r="AP190" i="1"/>
  <c r="AO190" i="1"/>
  <c r="AM190" i="1"/>
  <c r="AL190" i="1"/>
  <c r="AK190" i="1"/>
  <c r="AJ190" i="1"/>
  <c r="AI190" i="1"/>
  <c r="AG190" i="1"/>
  <c r="AD190" i="1"/>
  <c r="Z190" i="1"/>
  <c r="Y190" i="1"/>
  <c r="W190" i="1"/>
  <c r="V190" i="1"/>
  <c r="U190" i="1"/>
  <c r="S190" i="1"/>
  <c r="R190" i="1"/>
  <c r="Q190" i="1"/>
  <c r="P190" i="1"/>
  <c r="O190" i="1"/>
  <c r="N190" i="1"/>
  <c r="M190" i="1"/>
  <c r="L190" i="1"/>
  <c r="J190" i="1"/>
  <c r="I190" i="1"/>
  <c r="H190" i="1"/>
  <c r="G190" i="1"/>
  <c r="F190" i="1"/>
  <c r="E190" i="1"/>
  <c r="A190" i="1"/>
  <c r="BO189" i="1"/>
  <c r="BN189" i="1"/>
  <c r="BM189" i="1"/>
  <c r="BL189" i="1"/>
  <c r="BK189" i="1"/>
  <c r="BJ189" i="1"/>
  <c r="BI189" i="1"/>
  <c r="BH189" i="1"/>
  <c r="BG189" i="1"/>
  <c r="BF189" i="1"/>
  <c r="BE189" i="1"/>
  <c r="BD189" i="1"/>
  <c r="BB189" i="1"/>
  <c r="BA189" i="1"/>
  <c r="AZ189" i="1"/>
  <c r="AY189" i="1"/>
  <c r="AX189" i="1"/>
  <c r="AV189" i="1"/>
  <c r="AU189" i="1"/>
  <c r="AT189" i="1"/>
  <c r="AS189" i="1"/>
  <c r="AR189" i="1"/>
  <c r="AQ189" i="1"/>
  <c r="AP189" i="1"/>
  <c r="AO189" i="1"/>
  <c r="AM189" i="1"/>
  <c r="AL189" i="1"/>
  <c r="AK189" i="1"/>
  <c r="AJ189" i="1"/>
  <c r="AI189" i="1"/>
  <c r="AG189" i="1"/>
  <c r="AD189" i="1"/>
  <c r="Z189" i="1"/>
  <c r="Y189" i="1"/>
  <c r="W189" i="1"/>
  <c r="V189" i="1"/>
  <c r="U189" i="1"/>
  <c r="S189" i="1"/>
  <c r="R189" i="1"/>
  <c r="Q189" i="1"/>
  <c r="P189" i="1"/>
  <c r="O189" i="1"/>
  <c r="N189" i="1"/>
  <c r="M189" i="1"/>
  <c r="L189" i="1"/>
  <c r="J189" i="1"/>
  <c r="I189" i="1"/>
  <c r="H189" i="1"/>
  <c r="G189" i="1"/>
  <c r="F189" i="1"/>
  <c r="E189" i="1"/>
  <c r="A189" i="1"/>
  <c r="BO188" i="1"/>
  <c r="BN188" i="1"/>
  <c r="BM188" i="1"/>
  <c r="BL188" i="1"/>
  <c r="BK188" i="1"/>
  <c r="BJ188" i="1"/>
  <c r="BI188" i="1"/>
  <c r="BH188" i="1"/>
  <c r="BG188" i="1"/>
  <c r="BF188" i="1"/>
  <c r="BE188" i="1"/>
  <c r="BD188" i="1"/>
  <c r="BB188" i="1"/>
  <c r="BA188" i="1"/>
  <c r="AZ188" i="1"/>
  <c r="AY188" i="1"/>
  <c r="AX188" i="1"/>
  <c r="AV188" i="1"/>
  <c r="AU188" i="1"/>
  <c r="AT188" i="1"/>
  <c r="AS188" i="1"/>
  <c r="AR188" i="1"/>
  <c r="AQ188" i="1"/>
  <c r="AP188" i="1"/>
  <c r="AO188" i="1"/>
  <c r="AM188" i="1"/>
  <c r="AL188" i="1"/>
  <c r="AK188" i="1"/>
  <c r="AJ188" i="1"/>
  <c r="AI188" i="1"/>
  <c r="AG188" i="1"/>
  <c r="AD188" i="1"/>
  <c r="Z188" i="1"/>
  <c r="Y188" i="1"/>
  <c r="W188" i="1"/>
  <c r="V188" i="1"/>
  <c r="U188" i="1"/>
  <c r="S188" i="1"/>
  <c r="R188" i="1"/>
  <c r="Q188" i="1"/>
  <c r="P188" i="1"/>
  <c r="O188" i="1"/>
  <c r="N188" i="1"/>
  <c r="M188" i="1"/>
  <c r="L188" i="1"/>
  <c r="J188" i="1"/>
  <c r="I188" i="1"/>
  <c r="H188" i="1"/>
  <c r="G188" i="1"/>
  <c r="F188" i="1"/>
  <c r="E188" i="1"/>
  <c r="A188" i="1"/>
  <c r="BO187" i="1"/>
  <c r="BN187" i="1"/>
  <c r="BM187" i="1"/>
  <c r="BL187" i="1"/>
  <c r="BK187" i="1"/>
  <c r="BJ187" i="1"/>
  <c r="BI187" i="1"/>
  <c r="BH187" i="1"/>
  <c r="BG187" i="1"/>
  <c r="BF187" i="1"/>
  <c r="BE187" i="1"/>
  <c r="BD187" i="1"/>
  <c r="BB187" i="1"/>
  <c r="BA187" i="1"/>
  <c r="AZ187" i="1"/>
  <c r="AY187" i="1"/>
  <c r="AX187" i="1"/>
  <c r="AV187" i="1"/>
  <c r="AU187" i="1"/>
  <c r="AT187" i="1"/>
  <c r="AS187" i="1"/>
  <c r="AR187" i="1"/>
  <c r="AQ187" i="1"/>
  <c r="AP187" i="1"/>
  <c r="AO187" i="1"/>
  <c r="AM187" i="1"/>
  <c r="AL187" i="1"/>
  <c r="AK187" i="1"/>
  <c r="AJ187" i="1"/>
  <c r="AI187" i="1"/>
  <c r="AG187" i="1"/>
  <c r="AD187" i="1"/>
  <c r="Z187" i="1"/>
  <c r="Y187" i="1"/>
  <c r="W187" i="1"/>
  <c r="V187" i="1"/>
  <c r="U187" i="1"/>
  <c r="S187" i="1"/>
  <c r="R187" i="1"/>
  <c r="Q187" i="1"/>
  <c r="P187" i="1"/>
  <c r="O187" i="1"/>
  <c r="N187" i="1"/>
  <c r="M187" i="1"/>
  <c r="L187" i="1"/>
  <c r="J187" i="1"/>
  <c r="I187" i="1"/>
  <c r="H187" i="1"/>
  <c r="G187" i="1"/>
  <c r="F187" i="1"/>
  <c r="E187" i="1"/>
  <c r="A187" i="1"/>
  <c r="BO186" i="1"/>
  <c r="BN186" i="1"/>
  <c r="BM186" i="1"/>
  <c r="BL186" i="1"/>
  <c r="BK186" i="1"/>
  <c r="BJ186" i="1"/>
  <c r="BI186" i="1"/>
  <c r="BH186" i="1"/>
  <c r="BG186" i="1"/>
  <c r="BF186" i="1"/>
  <c r="BE186" i="1"/>
  <c r="BD186" i="1"/>
  <c r="BB186" i="1"/>
  <c r="BA186" i="1"/>
  <c r="AZ186" i="1"/>
  <c r="AY186" i="1"/>
  <c r="AX186" i="1"/>
  <c r="AV186" i="1"/>
  <c r="AU186" i="1"/>
  <c r="AT186" i="1"/>
  <c r="AS186" i="1"/>
  <c r="AR186" i="1"/>
  <c r="AQ186" i="1"/>
  <c r="AP186" i="1"/>
  <c r="AO186" i="1"/>
  <c r="AM186" i="1"/>
  <c r="AL186" i="1"/>
  <c r="AK186" i="1"/>
  <c r="AJ186" i="1"/>
  <c r="AI186" i="1"/>
  <c r="AG186" i="1"/>
  <c r="AD186" i="1"/>
  <c r="Z186" i="1"/>
  <c r="Y186" i="1"/>
  <c r="W186" i="1"/>
  <c r="V186" i="1"/>
  <c r="U186" i="1"/>
  <c r="S186" i="1"/>
  <c r="R186" i="1"/>
  <c r="Q186" i="1"/>
  <c r="P186" i="1"/>
  <c r="O186" i="1"/>
  <c r="N186" i="1"/>
  <c r="M186" i="1"/>
  <c r="L186" i="1"/>
  <c r="J186" i="1"/>
  <c r="I186" i="1"/>
  <c r="H186" i="1"/>
  <c r="G186" i="1"/>
  <c r="F186" i="1"/>
  <c r="E186" i="1"/>
  <c r="BO185" i="1"/>
  <c r="BN185" i="1"/>
  <c r="BM185" i="1"/>
  <c r="BL185" i="1"/>
  <c r="BK185" i="1"/>
  <c r="BJ185" i="1"/>
  <c r="BI185" i="1"/>
  <c r="BH185" i="1"/>
  <c r="BG185" i="1"/>
  <c r="BF185" i="1"/>
  <c r="BE185" i="1"/>
  <c r="BD185" i="1"/>
  <c r="BB185" i="1"/>
  <c r="BA185" i="1"/>
  <c r="AZ185" i="1"/>
  <c r="AY185" i="1"/>
  <c r="AX185" i="1"/>
  <c r="AV185" i="1"/>
  <c r="AU185" i="1"/>
  <c r="AT185" i="1"/>
  <c r="AS185" i="1"/>
  <c r="AR185" i="1"/>
  <c r="AQ185" i="1"/>
  <c r="AP185" i="1"/>
  <c r="AO185" i="1"/>
  <c r="AM185" i="1"/>
  <c r="AL185" i="1"/>
  <c r="AK185" i="1"/>
  <c r="AJ185" i="1"/>
  <c r="AI185" i="1"/>
  <c r="AG185" i="1"/>
  <c r="AD185" i="1"/>
  <c r="Z185" i="1"/>
  <c r="Y185" i="1"/>
  <c r="W185" i="1"/>
  <c r="V185" i="1"/>
  <c r="U185" i="1"/>
  <c r="S185" i="1"/>
  <c r="R185" i="1"/>
  <c r="Q185" i="1"/>
  <c r="P185" i="1"/>
  <c r="O185" i="1"/>
  <c r="N185" i="1"/>
  <c r="M185" i="1"/>
  <c r="L185" i="1"/>
  <c r="J185" i="1"/>
  <c r="I185" i="1"/>
  <c r="H185" i="1"/>
  <c r="G185" i="1"/>
  <c r="F185" i="1"/>
  <c r="E185" i="1"/>
  <c r="BO184" i="1"/>
  <c r="BN184" i="1"/>
  <c r="BM184" i="1"/>
  <c r="BL184" i="1"/>
  <c r="BK184" i="1"/>
  <c r="BJ184" i="1"/>
  <c r="BI184" i="1"/>
  <c r="BH184" i="1"/>
  <c r="BG184" i="1"/>
  <c r="BF184" i="1"/>
  <c r="BE184" i="1"/>
  <c r="BD184" i="1"/>
  <c r="BB184" i="1"/>
  <c r="BA184" i="1"/>
  <c r="AZ184" i="1"/>
  <c r="AY184" i="1"/>
  <c r="AX184" i="1"/>
  <c r="AV184" i="1"/>
  <c r="AU184" i="1"/>
  <c r="AT184" i="1"/>
  <c r="AS184" i="1"/>
  <c r="AR184" i="1"/>
  <c r="AQ184" i="1"/>
  <c r="AP184" i="1"/>
  <c r="AO184" i="1"/>
  <c r="AM184" i="1"/>
  <c r="AL184" i="1"/>
  <c r="AK184" i="1"/>
  <c r="AJ184" i="1"/>
  <c r="AI184" i="1"/>
  <c r="AG184" i="1"/>
  <c r="AD184" i="1"/>
  <c r="Z184" i="1"/>
  <c r="Y184" i="1"/>
  <c r="W184" i="1"/>
  <c r="V184" i="1"/>
  <c r="U184" i="1"/>
  <c r="S184" i="1"/>
  <c r="R184" i="1"/>
  <c r="Q184" i="1"/>
  <c r="P184" i="1"/>
  <c r="O184" i="1"/>
  <c r="N184" i="1"/>
  <c r="M184" i="1"/>
  <c r="L184" i="1"/>
  <c r="K184" i="1"/>
  <c r="J184" i="1"/>
  <c r="I184" i="1"/>
  <c r="H184" i="1"/>
  <c r="G184" i="1"/>
  <c r="F184" i="1"/>
  <c r="E184" i="1"/>
  <c r="A184" i="1"/>
  <c r="BO183" i="1"/>
  <c r="BN183" i="1"/>
  <c r="BM183" i="1"/>
  <c r="BL183" i="1"/>
  <c r="BK183" i="1"/>
  <c r="BJ183" i="1"/>
  <c r="BI183" i="1"/>
  <c r="BH183" i="1"/>
  <c r="BG183" i="1"/>
  <c r="BF183" i="1"/>
  <c r="BE183" i="1"/>
  <c r="BD183" i="1"/>
  <c r="BB183" i="1"/>
  <c r="BA183" i="1"/>
  <c r="AZ183" i="1"/>
  <c r="AY183" i="1"/>
  <c r="AX183" i="1"/>
  <c r="AV183" i="1"/>
  <c r="AU183" i="1"/>
  <c r="AT183" i="1"/>
  <c r="AS183" i="1"/>
  <c r="AR183" i="1"/>
  <c r="AQ183" i="1"/>
  <c r="AP183" i="1"/>
  <c r="AO183" i="1"/>
  <c r="AM183" i="1"/>
  <c r="AL183" i="1"/>
  <c r="AK183" i="1"/>
  <c r="AJ183" i="1"/>
  <c r="AI183" i="1"/>
  <c r="AG183" i="1"/>
  <c r="AD183" i="1"/>
  <c r="Z183" i="1"/>
  <c r="Y183" i="1"/>
  <c r="W183" i="1"/>
  <c r="V183" i="1"/>
  <c r="U183" i="1"/>
  <c r="S183" i="1"/>
  <c r="R183" i="1"/>
  <c r="Q183" i="1"/>
  <c r="P183" i="1"/>
  <c r="O183" i="1"/>
  <c r="N183" i="1"/>
  <c r="M183" i="1"/>
  <c r="L183" i="1"/>
  <c r="K183" i="1"/>
  <c r="J183" i="1"/>
  <c r="I183" i="1"/>
  <c r="H183" i="1"/>
  <c r="G183" i="1"/>
  <c r="F183" i="1"/>
  <c r="E183" i="1"/>
  <c r="A183" i="1"/>
  <c r="BO182" i="1"/>
  <c r="BN182" i="1"/>
  <c r="BM182" i="1"/>
  <c r="BL182" i="1"/>
  <c r="BK182" i="1"/>
  <c r="BJ182" i="1"/>
  <c r="BI182" i="1"/>
  <c r="BH182" i="1"/>
  <c r="BG182" i="1"/>
  <c r="BF182" i="1"/>
  <c r="BE182" i="1"/>
  <c r="BD182" i="1"/>
  <c r="BB182" i="1"/>
  <c r="BA182" i="1"/>
  <c r="AZ182" i="1"/>
  <c r="AY182" i="1"/>
  <c r="AX182" i="1"/>
  <c r="AV182" i="1"/>
  <c r="AU182" i="1"/>
  <c r="AT182" i="1"/>
  <c r="AS182" i="1"/>
  <c r="AR182" i="1"/>
  <c r="AQ182" i="1"/>
  <c r="AP182" i="1"/>
  <c r="AO182" i="1"/>
  <c r="AM182" i="1"/>
  <c r="AL182" i="1"/>
  <c r="AK182" i="1"/>
  <c r="AJ182" i="1"/>
  <c r="AI182" i="1"/>
  <c r="AG182" i="1"/>
  <c r="AD182" i="1"/>
  <c r="Z182" i="1"/>
  <c r="Y182" i="1"/>
  <c r="W182" i="1"/>
  <c r="V182" i="1"/>
  <c r="U182" i="1"/>
  <c r="S182" i="1"/>
  <c r="R182" i="1"/>
  <c r="Q182" i="1"/>
  <c r="P182" i="1"/>
  <c r="O182" i="1"/>
  <c r="N182" i="1"/>
  <c r="M182" i="1"/>
  <c r="L182" i="1"/>
  <c r="K182" i="1"/>
  <c r="J182" i="1"/>
  <c r="I182" i="1"/>
  <c r="H182" i="1"/>
  <c r="G182" i="1"/>
  <c r="F182" i="1"/>
  <c r="E182" i="1"/>
  <c r="A182" i="1"/>
  <c r="BO181" i="1"/>
  <c r="BN181" i="1"/>
  <c r="BM181" i="1"/>
  <c r="BL181" i="1"/>
  <c r="BK181" i="1"/>
  <c r="BJ181" i="1"/>
  <c r="BI181" i="1"/>
  <c r="BH181" i="1"/>
  <c r="BG181" i="1"/>
  <c r="BF181" i="1"/>
  <c r="BE181" i="1"/>
  <c r="BD181" i="1"/>
  <c r="BB181" i="1"/>
  <c r="BA181" i="1"/>
  <c r="AZ181" i="1"/>
  <c r="AY181" i="1"/>
  <c r="AX181" i="1"/>
  <c r="AV181" i="1"/>
  <c r="AU181" i="1"/>
  <c r="AT181" i="1"/>
  <c r="AS181" i="1"/>
  <c r="AR181" i="1"/>
  <c r="AQ181" i="1"/>
  <c r="AP181" i="1"/>
  <c r="AO181" i="1"/>
  <c r="AM181" i="1"/>
  <c r="AL181" i="1"/>
  <c r="AK181" i="1"/>
  <c r="AJ181" i="1"/>
  <c r="AI181" i="1"/>
  <c r="AG181" i="1"/>
  <c r="AD181" i="1"/>
  <c r="Z181" i="1"/>
  <c r="Y181" i="1"/>
  <c r="W181" i="1"/>
  <c r="V181" i="1"/>
  <c r="U181" i="1"/>
  <c r="S181" i="1"/>
  <c r="R181" i="1"/>
  <c r="Q181" i="1"/>
  <c r="P181" i="1"/>
  <c r="O181" i="1"/>
  <c r="N181" i="1"/>
  <c r="M181" i="1"/>
  <c r="L181" i="1"/>
  <c r="K181" i="1"/>
  <c r="J181" i="1"/>
  <c r="I181" i="1"/>
  <c r="H181" i="1"/>
  <c r="G181" i="1"/>
  <c r="F181" i="1"/>
  <c r="E181" i="1"/>
  <c r="A181" i="1"/>
  <c r="BO180" i="1"/>
  <c r="BN180" i="1"/>
  <c r="BM180" i="1"/>
  <c r="BL180" i="1"/>
  <c r="BK180" i="1"/>
  <c r="BJ180" i="1"/>
  <c r="BI180" i="1"/>
  <c r="BH180" i="1"/>
  <c r="BG180" i="1"/>
  <c r="BF180" i="1"/>
  <c r="BE180" i="1"/>
  <c r="BD180" i="1"/>
  <c r="BB180" i="1"/>
  <c r="BA180" i="1"/>
  <c r="AZ180" i="1"/>
  <c r="AY180" i="1"/>
  <c r="AX180" i="1"/>
  <c r="AV180" i="1"/>
  <c r="AU180" i="1"/>
  <c r="AT180" i="1"/>
  <c r="AS180" i="1"/>
  <c r="AR180" i="1"/>
  <c r="AQ180" i="1"/>
  <c r="AP180" i="1"/>
  <c r="AO180" i="1"/>
  <c r="AM180" i="1"/>
  <c r="AL180" i="1"/>
  <c r="AK180" i="1"/>
  <c r="AJ180" i="1"/>
  <c r="AI180" i="1"/>
  <c r="AG180" i="1"/>
  <c r="AD180" i="1"/>
  <c r="Z180" i="1"/>
  <c r="Y180" i="1"/>
  <c r="W180" i="1"/>
  <c r="V180" i="1"/>
  <c r="U180" i="1"/>
  <c r="S180" i="1"/>
  <c r="R180" i="1"/>
  <c r="Q180" i="1"/>
  <c r="P180" i="1"/>
  <c r="O180" i="1"/>
  <c r="N180" i="1"/>
  <c r="M180" i="1"/>
  <c r="L180" i="1"/>
  <c r="K180" i="1"/>
  <c r="J180" i="1"/>
  <c r="I180" i="1"/>
  <c r="H180" i="1"/>
  <c r="G180" i="1"/>
  <c r="F180" i="1"/>
  <c r="E180" i="1"/>
  <c r="BO179" i="1"/>
  <c r="BN179" i="1"/>
  <c r="BM179" i="1"/>
  <c r="BL179" i="1"/>
  <c r="BK179" i="1"/>
  <c r="BJ179" i="1"/>
  <c r="BI179" i="1"/>
  <c r="BH179" i="1"/>
  <c r="BG179" i="1"/>
  <c r="BF179" i="1"/>
  <c r="BE179" i="1"/>
  <c r="BD179" i="1"/>
  <c r="BB179" i="1"/>
  <c r="BA179" i="1"/>
  <c r="AZ179" i="1"/>
  <c r="AY179" i="1"/>
  <c r="AX179" i="1"/>
  <c r="AV179" i="1"/>
  <c r="AU179" i="1"/>
  <c r="AT179" i="1"/>
  <c r="AS179" i="1"/>
  <c r="AR179" i="1"/>
  <c r="AQ179" i="1"/>
  <c r="AP179" i="1"/>
  <c r="AO179" i="1"/>
  <c r="AM179" i="1"/>
  <c r="AL179" i="1"/>
  <c r="AK179" i="1"/>
  <c r="AJ179" i="1"/>
  <c r="AI179" i="1"/>
  <c r="AG179" i="1"/>
  <c r="AD179" i="1"/>
  <c r="Z179" i="1"/>
  <c r="Y179" i="1"/>
  <c r="W179" i="1"/>
  <c r="V179" i="1"/>
  <c r="U179" i="1"/>
  <c r="S179" i="1"/>
  <c r="R179" i="1"/>
  <c r="Q179" i="1"/>
  <c r="P179" i="1"/>
  <c r="O179" i="1"/>
  <c r="N179" i="1"/>
  <c r="M179" i="1"/>
  <c r="L179" i="1"/>
  <c r="J179" i="1"/>
  <c r="I179" i="1"/>
  <c r="H179" i="1"/>
  <c r="G179" i="1"/>
  <c r="F179" i="1"/>
  <c r="E179" i="1"/>
  <c r="A178" i="1"/>
  <c r="BO176" i="1"/>
  <c r="BN176" i="1"/>
  <c r="BM176" i="1"/>
  <c r="BL176" i="1"/>
  <c r="BK176" i="1"/>
  <c r="BJ176" i="1"/>
  <c r="BI176" i="1"/>
  <c r="BH176" i="1"/>
  <c r="BG176" i="1"/>
  <c r="BF176" i="1"/>
  <c r="BE176" i="1"/>
  <c r="BD176" i="1"/>
  <c r="BB176" i="1"/>
  <c r="BA176" i="1"/>
  <c r="AZ176" i="1"/>
  <c r="AY176" i="1"/>
  <c r="AX176" i="1"/>
  <c r="AV176" i="1"/>
  <c r="AU176" i="1"/>
  <c r="AT176" i="1"/>
  <c r="AS176" i="1"/>
  <c r="AR176" i="1"/>
  <c r="AQ176" i="1"/>
  <c r="AP176" i="1"/>
  <c r="AO176" i="1"/>
  <c r="AM176" i="1"/>
  <c r="AL176" i="1"/>
  <c r="AK176" i="1"/>
  <c r="AJ176" i="1"/>
  <c r="AI176" i="1"/>
  <c r="AG176" i="1"/>
  <c r="AD176" i="1"/>
  <c r="Z176" i="1"/>
  <c r="Y176" i="1"/>
  <c r="W176" i="1"/>
  <c r="V176" i="1"/>
  <c r="U176" i="1"/>
  <c r="S176" i="1"/>
  <c r="R176" i="1"/>
  <c r="Q176" i="1"/>
  <c r="P176" i="1"/>
  <c r="O176" i="1"/>
  <c r="N176" i="1"/>
  <c r="M176" i="1"/>
  <c r="L176" i="1"/>
  <c r="K176" i="1"/>
  <c r="J176" i="1"/>
  <c r="I176" i="1"/>
  <c r="H176" i="1"/>
  <c r="G176" i="1"/>
  <c r="F176" i="1"/>
  <c r="E176" i="1"/>
  <c r="A176" i="1"/>
  <c r="BO175" i="1"/>
  <c r="BN175" i="1"/>
  <c r="BM175" i="1"/>
  <c r="BL175" i="1"/>
  <c r="BK175" i="1"/>
  <c r="BJ175" i="1"/>
  <c r="BI175" i="1"/>
  <c r="BH175" i="1"/>
  <c r="BG175" i="1"/>
  <c r="BF175" i="1"/>
  <c r="BE175" i="1"/>
  <c r="BD175" i="1"/>
  <c r="BB175" i="1"/>
  <c r="BA175" i="1"/>
  <c r="AZ175" i="1"/>
  <c r="AY175" i="1"/>
  <c r="AX175" i="1"/>
  <c r="AV175" i="1"/>
  <c r="AU175" i="1"/>
  <c r="AT175" i="1"/>
  <c r="AS175" i="1"/>
  <c r="AR175" i="1"/>
  <c r="AQ175" i="1"/>
  <c r="AP175" i="1"/>
  <c r="AO175" i="1"/>
  <c r="AM175" i="1"/>
  <c r="AL175" i="1"/>
  <c r="AK175" i="1"/>
  <c r="AJ175" i="1"/>
  <c r="AI175" i="1"/>
  <c r="AG175" i="1"/>
  <c r="AD175" i="1"/>
  <c r="Z175" i="1"/>
  <c r="Y175" i="1"/>
  <c r="W175" i="1"/>
  <c r="V175" i="1"/>
  <c r="U175" i="1"/>
  <c r="S175" i="1"/>
  <c r="R175" i="1"/>
  <c r="Q175" i="1"/>
  <c r="P175" i="1"/>
  <c r="O175" i="1"/>
  <c r="N175" i="1"/>
  <c r="M175" i="1"/>
  <c r="L175" i="1"/>
  <c r="K175" i="1"/>
  <c r="J175" i="1"/>
  <c r="I175" i="1"/>
  <c r="H175" i="1"/>
  <c r="G175" i="1"/>
  <c r="F175" i="1"/>
  <c r="E175" i="1"/>
  <c r="A175" i="1"/>
  <c r="BO174" i="1"/>
  <c r="BN174" i="1"/>
  <c r="BM174" i="1"/>
  <c r="BL174" i="1"/>
  <c r="BK174" i="1"/>
  <c r="BJ174" i="1"/>
  <c r="BI174" i="1"/>
  <c r="BH174" i="1"/>
  <c r="BG174" i="1"/>
  <c r="BF174" i="1"/>
  <c r="BE174" i="1"/>
  <c r="BD174" i="1"/>
  <c r="BB174" i="1"/>
  <c r="BA174" i="1"/>
  <c r="AZ174" i="1"/>
  <c r="AY174" i="1"/>
  <c r="AX174" i="1"/>
  <c r="AV174" i="1"/>
  <c r="AU174" i="1"/>
  <c r="AT174" i="1"/>
  <c r="AS174" i="1"/>
  <c r="AR174" i="1"/>
  <c r="AQ174" i="1"/>
  <c r="AP174" i="1"/>
  <c r="AO174" i="1"/>
  <c r="AM174" i="1"/>
  <c r="AL174" i="1"/>
  <c r="AK174" i="1"/>
  <c r="AJ174" i="1"/>
  <c r="AI174" i="1"/>
  <c r="AG174" i="1"/>
  <c r="AD174" i="1"/>
  <c r="Z174" i="1"/>
  <c r="Y174" i="1"/>
  <c r="W174" i="1"/>
  <c r="V174" i="1"/>
  <c r="U174" i="1"/>
  <c r="S174" i="1"/>
  <c r="R174" i="1"/>
  <c r="Q174" i="1"/>
  <c r="P174" i="1"/>
  <c r="O174" i="1"/>
  <c r="N174" i="1"/>
  <c r="M174" i="1"/>
  <c r="L174" i="1"/>
  <c r="K174" i="1"/>
  <c r="J174" i="1"/>
  <c r="I174" i="1"/>
  <c r="H174" i="1"/>
  <c r="G174" i="1"/>
  <c r="F174" i="1"/>
  <c r="E174" i="1"/>
  <c r="A174" i="1"/>
  <c r="BO172" i="1"/>
  <c r="BN172" i="1"/>
  <c r="BM172" i="1"/>
  <c r="BL172" i="1"/>
  <c r="BK172" i="1"/>
  <c r="BJ172" i="1"/>
  <c r="BI172" i="1"/>
  <c r="BH172" i="1"/>
  <c r="BG172" i="1"/>
  <c r="BF172" i="1"/>
  <c r="BE172" i="1"/>
  <c r="BD172" i="1"/>
  <c r="BB172" i="1"/>
  <c r="BA172" i="1"/>
  <c r="AZ172" i="1"/>
  <c r="AY172" i="1"/>
  <c r="AX172" i="1"/>
  <c r="AV172" i="1"/>
  <c r="AU172" i="1"/>
  <c r="AT172" i="1"/>
  <c r="AS172" i="1"/>
  <c r="AR172" i="1"/>
  <c r="AQ172" i="1"/>
  <c r="AP172" i="1"/>
  <c r="AO172" i="1"/>
  <c r="AM172" i="1"/>
  <c r="AL172" i="1"/>
  <c r="AK172" i="1"/>
  <c r="AJ172" i="1"/>
  <c r="AI172" i="1"/>
  <c r="AG172" i="1"/>
  <c r="AD172" i="1"/>
  <c r="Z172" i="1"/>
  <c r="Y172" i="1"/>
  <c r="W172" i="1"/>
  <c r="V172" i="1"/>
  <c r="U172" i="1"/>
  <c r="S172" i="1"/>
  <c r="R172" i="1"/>
  <c r="Q172" i="1"/>
  <c r="P172" i="1"/>
  <c r="O172" i="1"/>
  <c r="N172" i="1"/>
  <c r="M172" i="1"/>
  <c r="L172" i="1"/>
  <c r="J172" i="1"/>
  <c r="I172" i="1"/>
  <c r="H172" i="1"/>
  <c r="G172" i="1"/>
  <c r="F172" i="1"/>
  <c r="E172" i="1"/>
  <c r="BO165" i="1"/>
  <c r="BN165" i="1"/>
  <c r="BM165" i="1"/>
  <c r="BL165" i="1"/>
  <c r="BK165" i="1"/>
  <c r="BJ165" i="1"/>
  <c r="BI165" i="1"/>
  <c r="BH165" i="1"/>
  <c r="BG165" i="1"/>
  <c r="BF165" i="1"/>
  <c r="BE165" i="1"/>
  <c r="BD165" i="1"/>
  <c r="BB165" i="1"/>
  <c r="BA165" i="1"/>
  <c r="AZ165" i="1"/>
  <c r="AY165" i="1"/>
  <c r="AX165" i="1"/>
  <c r="AV165" i="1"/>
  <c r="AU165" i="1"/>
  <c r="AT165" i="1"/>
  <c r="AS165" i="1"/>
  <c r="AR165" i="1"/>
  <c r="AQ165" i="1"/>
  <c r="AP165" i="1"/>
  <c r="AO165" i="1"/>
  <c r="AM165" i="1"/>
  <c r="AL165" i="1"/>
  <c r="AK165" i="1"/>
  <c r="AJ165" i="1"/>
  <c r="AI165" i="1"/>
  <c r="AG165" i="1"/>
  <c r="AD165" i="1"/>
  <c r="Z165" i="1"/>
  <c r="Y165" i="1"/>
  <c r="W165" i="1"/>
  <c r="V165" i="1"/>
  <c r="U165" i="1"/>
  <c r="S165" i="1"/>
  <c r="R165" i="1"/>
  <c r="Q165" i="1"/>
  <c r="P165" i="1"/>
  <c r="O165" i="1"/>
  <c r="N165" i="1"/>
  <c r="M165" i="1"/>
  <c r="L165" i="1"/>
  <c r="K165" i="1"/>
  <c r="J165" i="1"/>
  <c r="I165" i="1"/>
  <c r="H165" i="1"/>
  <c r="G165" i="1"/>
  <c r="F165" i="1"/>
  <c r="E165" i="1"/>
  <c r="A165" i="1"/>
  <c r="BO164" i="1"/>
  <c r="BN164" i="1"/>
  <c r="BM164" i="1"/>
  <c r="BL164" i="1"/>
  <c r="BK164" i="1"/>
  <c r="BJ164" i="1"/>
  <c r="BI164" i="1"/>
  <c r="BH164" i="1"/>
  <c r="BG164" i="1"/>
  <c r="BF164" i="1"/>
  <c r="BE164" i="1"/>
  <c r="BD164" i="1"/>
  <c r="BB164" i="1"/>
  <c r="BA164" i="1"/>
  <c r="AZ164" i="1"/>
  <c r="AY164" i="1"/>
  <c r="AX164" i="1"/>
  <c r="AV164" i="1"/>
  <c r="AU164" i="1"/>
  <c r="AT164" i="1"/>
  <c r="AS164" i="1"/>
  <c r="AR164" i="1"/>
  <c r="AQ164" i="1"/>
  <c r="AP164" i="1"/>
  <c r="AO164" i="1"/>
  <c r="AM164" i="1"/>
  <c r="AL164" i="1"/>
  <c r="AK164" i="1"/>
  <c r="AJ164" i="1"/>
  <c r="AI164" i="1"/>
  <c r="AG164" i="1"/>
  <c r="AD164" i="1"/>
  <c r="Z164" i="1"/>
  <c r="Y164" i="1"/>
  <c r="W164" i="1"/>
  <c r="V164" i="1"/>
  <c r="U164" i="1"/>
  <c r="S164" i="1"/>
  <c r="R164" i="1"/>
  <c r="Q164" i="1"/>
  <c r="P164" i="1"/>
  <c r="O164" i="1"/>
  <c r="N164" i="1"/>
  <c r="M164" i="1"/>
  <c r="L164" i="1"/>
  <c r="K164" i="1"/>
  <c r="J164" i="1"/>
  <c r="I164" i="1"/>
  <c r="H164" i="1"/>
  <c r="G164" i="1"/>
  <c r="F164" i="1"/>
  <c r="E164" i="1"/>
  <c r="BO163" i="1"/>
  <c r="BN163" i="1"/>
  <c r="BM163" i="1"/>
  <c r="BL163" i="1"/>
  <c r="BK163" i="1"/>
  <c r="BJ163" i="1"/>
  <c r="BI163" i="1"/>
  <c r="BH163" i="1"/>
  <c r="BG163" i="1"/>
  <c r="BF163" i="1"/>
  <c r="BE163" i="1"/>
  <c r="BD163" i="1"/>
  <c r="BB163" i="1"/>
  <c r="BA163" i="1"/>
  <c r="AZ163" i="1"/>
  <c r="AY163" i="1"/>
  <c r="AX163" i="1"/>
  <c r="AV163" i="1"/>
  <c r="AU163" i="1"/>
  <c r="AT163" i="1"/>
  <c r="AS163" i="1"/>
  <c r="AR163" i="1"/>
  <c r="AQ163" i="1"/>
  <c r="AP163" i="1"/>
  <c r="AO163" i="1"/>
  <c r="AM163" i="1"/>
  <c r="AL163" i="1"/>
  <c r="AK163" i="1"/>
  <c r="AJ163" i="1"/>
  <c r="AI163" i="1"/>
  <c r="AG163" i="1"/>
  <c r="AD163" i="1"/>
  <c r="Z163" i="1"/>
  <c r="Y163" i="1"/>
  <c r="W163" i="1"/>
  <c r="V163" i="1"/>
  <c r="U163" i="1"/>
  <c r="S163" i="1"/>
  <c r="R163" i="1"/>
  <c r="Q163" i="1"/>
  <c r="P163" i="1"/>
  <c r="O163" i="1"/>
  <c r="N163" i="1"/>
  <c r="M163" i="1"/>
  <c r="L163" i="1"/>
  <c r="J163" i="1"/>
  <c r="I163" i="1"/>
  <c r="H163" i="1"/>
  <c r="G163" i="1"/>
  <c r="F163" i="1"/>
  <c r="E163" i="1"/>
  <c r="BO162" i="1"/>
  <c r="BN162" i="1"/>
  <c r="BM162" i="1"/>
  <c r="BL162" i="1"/>
  <c r="BK162" i="1"/>
  <c r="BJ162" i="1"/>
  <c r="BI162" i="1"/>
  <c r="BH162" i="1"/>
  <c r="BG162" i="1"/>
  <c r="BF162" i="1"/>
  <c r="BE162" i="1"/>
  <c r="BD162" i="1"/>
  <c r="BB162" i="1"/>
  <c r="BA162" i="1"/>
  <c r="AZ162" i="1"/>
  <c r="AY162" i="1"/>
  <c r="AX162" i="1"/>
  <c r="AV162" i="1"/>
  <c r="AU162" i="1"/>
  <c r="AT162" i="1"/>
  <c r="AS162" i="1"/>
  <c r="AR162" i="1"/>
  <c r="AQ162" i="1"/>
  <c r="AP162" i="1"/>
  <c r="AO162" i="1"/>
  <c r="AM162" i="1"/>
  <c r="AL162" i="1"/>
  <c r="AK162" i="1"/>
  <c r="AJ162" i="1"/>
  <c r="AI162" i="1"/>
  <c r="AG162" i="1"/>
  <c r="AD162" i="1"/>
  <c r="Z162" i="1"/>
  <c r="Y162" i="1"/>
  <c r="W162" i="1"/>
  <c r="V162" i="1"/>
  <c r="U162" i="1"/>
  <c r="S162" i="1"/>
  <c r="R162" i="1"/>
  <c r="Q162" i="1"/>
  <c r="P162" i="1"/>
  <c r="O162" i="1"/>
  <c r="N162" i="1"/>
  <c r="M162" i="1"/>
  <c r="L162" i="1"/>
  <c r="J162" i="1"/>
  <c r="I162" i="1"/>
  <c r="H162" i="1"/>
  <c r="G162" i="1"/>
  <c r="F162" i="1"/>
  <c r="E162" i="1"/>
  <c r="BO161" i="1"/>
  <c r="BN161" i="1"/>
  <c r="BM161" i="1"/>
  <c r="BL161" i="1"/>
  <c r="BK161" i="1"/>
  <c r="BJ161" i="1"/>
  <c r="BI161" i="1"/>
  <c r="BH161" i="1"/>
  <c r="BG161" i="1"/>
  <c r="BF161" i="1"/>
  <c r="BE161" i="1"/>
  <c r="BD161" i="1"/>
  <c r="BB161" i="1"/>
  <c r="BA161" i="1"/>
  <c r="AZ161" i="1"/>
  <c r="AY161" i="1"/>
  <c r="AX161" i="1"/>
  <c r="AV161" i="1"/>
  <c r="AU161" i="1"/>
  <c r="AT161" i="1"/>
  <c r="AS161" i="1"/>
  <c r="AR161" i="1"/>
  <c r="AQ161" i="1"/>
  <c r="AP161" i="1"/>
  <c r="AO161" i="1"/>
  <c r="AM161" i="1"/>
  <c r="AL161" i="1"/>
  <c r="AK161" i="1"/>
  <c r="AJ161" i="1"/>
  <c r="AI161" i="1"/>
  <c r="AG161" i="1"/>
  <c r="AD161" i="1"/>
  <c r="Z161" i="1"/>
  <c r="Y161" i="1"/>
  <c r="W161" i="1"/>
  <c r="V161" i="1"/>
  <c r="U161" i="1"/>
  <c r="S161" i="1"/>
  <c r="R161" i="1"/>
  <c r="Q161" i="1"/>
  <c r="P161" i="1"/>
  <c r="O161" i="1"/>
  <c r="N161" i="1"/>
  <c r="M161" i="1"/>
  <c r="L161" i="1"/>
  <c r="J161" i="1"/>
  <c r="I161" i="1"/>
  <c r="H161" i="1"/>
  <c r="G161" i="1"/>
  <c r="F161" i="1"/>
  <c r="E161" i="1"/>
  <c r="BO160" i="1"/>
  <c r="BN160" i="1"/>
  <c r="BM160" i="1"/>
  <c r="BL160" i="1"/>
  <c r="BK160" i="1"/>
  <c r="BJ160" i="1"/>
  <c r="BI160" i="1"/>
  <c r="BH160" i="1"/>
  <c r="BG160" i="1"/>
  <c r="BF160" i="1"/>
  <c r="BE160" i="1"/>
  <c r="BD160" i="1"/>
  <c r="BB160" i="1"/>
  <c r="BA160" i="1"/>
  <c r="AZ160" i="1"/>
  <c r="AY160" i="1"/>
  <c r="AX160" i="1"/>
  <c r="AV160" i="1"/>
  <c r="AU160" i="1"/>
  <c r="AT160" i="1"/>
  <c r="AS160" i="1"/>
  <c r="AR160" i="1"/>
  <c r="AQ160" i="1"/>
  <c r="AP160" i="1"/>
  <c r="AO160" i="1"/>
  <c r="AM160" i="1"/>
  <c r="AL160" i="1"/>
  <c r="AK160" i="1"/>
  <c r="AJ160" i="1"/>
  <c r="AI160" i="1"/>
  <c r="AG160" i="1"/>
  <c r="AD160" i="1"/>
  <c r="Z160" i="1"/>
  <c r="Y160" i="1"/>
  <c r="W160" i="1"/>
  <c r="V160" i="1"/>
  <c r="U160" i="1"/>
  <c r="S160" i="1"/>
  <c r="R160" i="1"/>
  <c r="Q160" i="1"/>
  <c r="P160" i="1"/>
  <c r="O160" i="1"/>
  <c r="N160" i="1"/>
  <c r="M160" i="1"/>
  <c r="L160" i="1"/>
  <c r="J160" i="1"/>
  <c r="I160" i="1"/>
  <c r="H160" i="1"/>
  <c r="G160" i="1"/>
  <c r="F160" i="1"/>
  <c r="E160" i="1"/>
  <c r="BO159" i="1"/>
  <c r="BN159" i="1"/>
  <c r="BM159" i="1"/>
  <c r="BL159" i="1"/>
  <c r="BK159" i="1"/>
  <c r="BJ159" i="1"/>
  <c r="BI159" i="1"/>
  <c r="BH159" i="1"/>
  <c r="BG159" i="1"/>
  <c r="BF159" i="1"/>
  <c r="BE159" i="1"/>
  <c r="BD159" i="1"/>
  <c r="BB159" i="1"/>
  <c r="BA159" i="1"/>
  <c r="AZ159" i="1"/>
  <c r="AY159" i="1"/>
  <c r="AX159" i="1"/>
  <c r="AV159" i="1"/>
  <c r="AU159" i="1"/>
  <c r="AT159" i="1"/>
  <c r="AS159" i="1"/>
  <c r="AR159" i="1"/>
  <c r="AQ159" i="1"/>
  <c r="AP159" i="1"/>
  <c r="AO159" i="1"/>
  <c r="AM159" i="1"/>
  <c r="AL159" i="1"/>
  <c r="AK159" i="1"/>
  <c r="AJ159" i="1"/>
  <c r="AI159" i="1"/>
  <c r="AG159" i="1"/>
  <c r="AD159" i="1"/>
  <c r="Z159" i="1"/>
  <c r="Y159" i="1"/>
  <c r="W159" i="1"/>
  <c r="V159" i="1"/>
  <c r="U159" i="1"/>
  <c r="S159" i="1"/>
  <c r="R159" i="1"/>
  <c r="Q159" i="1"/>
  <c r="P159" i="1"/>
  <c r="O159" i="1"/>
  <c r="N159" i="1"/>
  <c r="M159" i="1"/>
  <c r="L159" i="1"/>
  <c r="J159" i="1"/>
  <c r="I159" i="1"/>
  <c r="H159" i="1"/>
  <c r="G159" i="1"/>
  <c r="F159" i="1"/>
  <c r="E159" i="1"/>
  <c r="BO158" i="1"/>
  <c r="BN158" i="1"/>
  <c r="BM158" i="1"/>
  <c r="BL158" i="1"/>
  <c r="BK158" i="1"/>
  <c r="BJ158" i="1"/>
  <c r="BI158" i="1"/>
  <c r="BH158" i="1"/>
  <c r="BG158" i="1"/>
  <c r="BF158" i="1"/>
  <c r="BE158" i="1"/>
  <c r="BD158" i="1"/>
  <c r="BB158" i="1"/>
  <c r="BA158" i="1"/>
  <c r="AZ158" i="1"/>
  <c r="AY158" i="1"/>
  <c r="AX158" i="1"/>
  <c r="AV158" i="1"/>
  <c r="AU158" i="1"/>
  <c r="AT158" i="1"/>
  <c r="AS158" i="1"/>
  <c r="AR158" i="1"/>
  <c r="AQ158" i="1"/>
  <c r="AP158" i="1"/>
  <c r="AO158" i="1"/>
  <c r="AM158" i="1"/>
  <c r="AL158" i="1"/>
  <c r="AK158" i="1"/>
  <c r="AJ158" i="1"/>
  <c r="AI158" i="1"/>
  <c r="AG158" i="1"/>
  <c r="AD158" i="1"/>
  <c r="Z158" i="1"/>
  <c r="Y158" i="1"/>
  <c r="W158" i="1"/>
  <c r="V158" i="1"/>
  <c r="U158" i="1"/>
  <c r="S158" i="1"/>
  <c r="R158" i="1"/>
  <c r="Q158" i="1"/>
  <c r="P158" i="1"/>
  <c r="O158" i="1"/>
  <c r="N158" i="1"/>
  <c r="M158" i="1"/>
  <c r="L158" i="1"/>
  <c r="J158" i="1"/>
  <c r="I158" i="1"/>
  <c r="H158" i="1"/>
  <c r="G158" i="1"/>
  <c r="F158" i="1"/>
  <c r="E158" i="1"/>
  <c r="BO157" i="1"/>
  <c r="BN157" i="1"/>
  <c r="BM157" i="1"/>
  <c r="BL157" i="1"/>
  <c r="BK157" i="1"/>
  <c r="BJ157" i="1"/>
  <c r="BI157" i="1"/>
  <c r="BH157" i="1"/>
  <c r="BG157" i="1"/>
  <c r="BF157" i="1"/>
  <c r="BE157" i="1"/>
  <c r="BD157" i="1"/>
  <c r="BB157" i="1"/>
  <c r="BA157" i="1"/>
  <c r="AZ157" i="1"/>
  <c r="AY157" i="1"/>
  <c r="AX157" i="1"/>
  <c r="AV157" i="1"/>
  <c r="AU157" i="1"/>
  <c r="AT157" i="1"/>
  <c r="AS157" i="1"/>
  <c r="AR157" i="1"/>
  <c r="AQ157" i="1"/>
  <c r="AP157" i="1"/>
  <c r="AO157" i="1"/>
  <c r="AM157" i="1"/>
  <c r="AL157" i="1"/>
  <c r="AK157" i="1"/>
  <c r="AJ157" i="1"/>
  <c r="AI157" i="1"/>
  <c r="AG157" i="1"/>
  <c r="AD157" i="1"/>
  <c r="Z157" i="1"/>
  <c r="Y157" i="1"/>
  <c r="W157" i="1"/>
  <c r="V157" i="1"/>
  <c r="U157" i="1"/>
  <c r="S157" i="1"/>
  <c r="R157" i="1"/>
  <c r="Q157" i="1"/>
  <c r="P157" i="1"/>
  <c r="O157" i="1"/>
  <c r="N157" i="1"/>
  <c r="M157" i="1"/>
  <c r="L157" i="1"/>
  <c r="J157" i="1"/>
  <c r="I157" i="1"/>
  <c r="H157" i="1"/>
  <c r="G157" i="1"/>
  <c r="F157" i="1"/>
  <c r="E157" i="1"/>
  <c r="BO156" i="1"/>
  <c r="BN156" i="1"/>
  <c r="BM156" i="1"/>
  <c r="BL156" i="1"/>
  <c r="BK156" i="1"/>
  <c r="BJ156" i="1"/>
  <c r="BI156" i="1"/>
  <c r="BH156" i="1"/>
  <c r="BG156" i="1"/>
  <c r="BF156" i="1"/>
  <c r="BE156" i="1"/>
  <c r="BD156" i="1"/>
  <c r="BB156" i="1"/>
  <c r="BA156" i="1"/>
  <c r="AZ156" i="1"/>
  <c r="AY156" i="1"/>
  <c r="AX156" i="1"/>
  <c r="AV156" i="1"/>
  <c r="AU156" i="1"/>
  <c r="AT156" i="1"/>
  <c r="AS156" i="1"/>
  <c r="AR156" i="1"/>
  <c r="AQ156" i="1"/>
  <c r="AP156" i="1"/>
  <c r="AO156" i="1"/>
  <c r="AM156" i="1"/>
  <c r="AL156" i="1"/>
  <c r="AK156" i="1"/>
  <c r="AJ156" i="1"/>
  <c r="AI156" i="1"/>
  <c r="AG156" i="1"/>
  <c r="AD156" i="1"/>
  <c r="Z156" i="1"/>
  <c r="Y156" i="1"/>
  <c r="W156" i="1"/>
  <c r="V156" i="1"/>
  <c r="U156" i="1"/>
  <c r="S156" i="1"/>
  <c r="R156" i="1"/>
  <c r="Q156" i="1"/>
  <c r="P156" i="1"/>
  <c r="O156" i="1"/>
  <c r="N156" i="1"/>
  <c r="M156" i="1"/>
  <c r="L156" i="1"/>
  <c r="J156" i="1"/>
  <c r="I156" i="1"/>
  <c r="H156" i="1"/>
  <c r="G156" i="1"/>
  <c r="F156" i="1"/>
  <c r="E156" i="1"/>
  <c r="BO155" i="1"/>
  <c r="BN155" i="1"/>
  <c r="BM155" i="1"/>
  <c r="BL155" i="1"/>
  <c r="BK155" i="1"/>
  <c r="BJ155" i="1"/>
  <c r="BI155" i="1"/>
  <c r="BH155" i="1"/>
  <c r="BG155" i="1"/>
  <c r="BF155" i="1"/>
  <c r="BE155" i="1"/>
  <c r="BD155" i="1"/>
  <c r="BB155" i="1"/>
  <c r="BA155" i="1"/>
  <c r="AZ155" i="1"/>
  <c r="AY155" i="1"/>
  <c r="AX155" i="1"/>
  <c r="AV155" i="1"/>
  <c r="AU155" i="1"/>
  <c r="AT155" i="1"/>
  <c r="AS155" i="1"/>
  <c r="AR155" i="1"/>
  <c r="AQ155" i="1"/>
  <c r="AP155" i="1"/>
  <c r="AO155" i="1"/>
  <c r="AM155" i="1"/>
  <c r="AL155" i="1"/>
  <c r="AK155" i="1"/>
  <c r="AJ155" i="1"/>
  <c r="AI155" i="1"/>
  <c r="AG155" i="1"/>
  <c r="AD155" i="1"/>
  <c r="Z155" i="1"/>
  <c r="Y155" i="1"/>
  <c r="W155" i="1"/>
  <c r="V155" i="1"/>
  <c r="U155" i="1"/>
  <c r="S155" i="1"/>
  <c r="R155" i="1"/>
  <c r="Q155" i="1"/>
  <c r="P155" i="1"/>
  <c r="O155" i="1"/>
  <c r="N155" i="1"/>
  <c r="M155" i="1"/>
  <c r="L155" i="1"/>
  <c r="J155" i="1"/>
  <c r="I155" i="1"/>
  <c r="H155" i="1"/>
  <c r="G155" i="1"/>
  <c r="F155" i="1"/>
  <c r="E155" i="1"/>
  <c r="BO154" i="1"/>
  <c r="BN154" i="1"/>
  <c r="BM154" i="1"/>
  <c r="BL154" i="1"/>
  <c r="BK154" i="1"/>
  <c r="BJ154" i="1"/>
  <c r="BI154" i="1"/>
  <c r="BH154" i="1"/>
  <c r="BG154" i="1"/>
  <c r="BF154" i="1"/>
  <c r="BE154" i="1"/>
  <c r="BD154" i="1"/>
  <c r="BB154" i="1"/>
  <c r="BA154" i="1"/>
  <c r="AZ154" i="1"/>
  <c r="AY154" i="1"/>
  <c r="AX154" i="1"/>
  <c r="AM154" i="1"/>
  <c r="AL154" i="1"/>
  <c r="AK154" i="1"/>
  <c r="AJ154" i="1"/>
  <c r="AI154" i="1"/>
  <c r="AG154" i="1"/>
  <c r="AD154" i="1"/>
  <c r="Z154" i="1"/>
  <c r="Y154" i="1"/>
  <c r="W154" i="1"/>
  <c r="V154" i="1"/>
  <c r="U154" i="1"/>
  <c r="BO153" i="1"/>
  <c r="BN153" i="1"/>
  <c r="BM153" i="1"/>
  <c r="BL153" i="1"/>
  <c r="BK153" i="1"/>
  <c r="BJ153" i="1"/>
  <c r="BI153" i="1"/>
  <c r="BH153" i="1"/>
  <c r="BG153" i="1"/>
  <c r="BF153" i="1"/>
  <c r="BE153" i="1"/>
  <c r="BD153" i="1"/>
  <c r="BB153" i="1"/>
  <c r="BA153" i="1"/>
  <c r="AZ153" i="1"/>
  <c r="AY153" i="1"/>
  <c r="AX153" i="1"/>
  <c r="AV153" i="1"/>
  <c r="AU153" i="1"/>
  <c r="AT153" i="1"/>
  <c r="AS153" i="1"/>
  <c r="AR153" i="1"/>
  <c r="AQ153" i="1"/>
  <c r="AP153" i="1"/>
  <c r="AO153" i="1"/>
  <c r="AM153" i="1"/>
  <c r="AL153" i="1"/>
  <c r="AK153" i="1"/>
  <c r="AJ153" i="1"/>
  <c r="AI153" i="1"/>
  <c r="AG153" i="1"/>
  <c r="AD153" i="1"/>
  <c r="Z153" i="1"/>
  <c r="Y153" i="1"/>
  <c r="W153" i="1"/>
  <c r="V153" i="1"/>
  <c r="U153" i="1"/>
  <c r="S153" i="1"/>
  <c r="R153" i="1"/>
  <c r="Q153" i="1"/>
  <c r="P153" i="1"/>
  <c r="O153" i="1"/>
  <c r="N153" i="1"/>
  <c r="M153" i="1"/>
  <c r="L153" i="1"/>
  <c r="K153" i="1"/>
  <c r="J153" i="1"/>
  <c r="I153" i="1"/>
  <c r="H153" i="1"/>
  <c r="G153" i="1"/>
  <c r="F153" i="1"/>
  <c r="E153" i="1"/>
  <c r="BO152" i="1"/>
  <c r="BN152" i="1"/>
  <c r="BM152" i="1"/>
  <c r="BL152" i="1"/>
  <c r="BK152" i="1"/>
  <c r="BJ152" i="1"/>
  <c r="BI152" i="1"/>
  <c r="BH152" i="1"/>
  <c r="BG152" i="1"/>
  <c r="BF152" i="1"/>
  <c r="BE152" i="1"/>
  <c r="BD152" i="1"/>
  <c r="BC152" i="1"/>
  <c r="BB152" i="1"/>
  <c r="BA152" i="1"/>
  <c r="AZ152" i="1"/>
  <c r="AY152" i="1"/>
  <c r="AX152" i="1"/>
  <c r="AV152" i="1"/>
  <c r="AU152" i="1"/>
  <c r="AT152" i="1"/>
  <c r="AS152" i="1"/>
  <c r="AR152" i="1"/>
  <c r="AQ152" i="1"/>
  <c r="AP152" i="1"/>
  <c r="AO152" i="1"/>
  <c r="AM152" i="1"/>
  <c r="AL152" i="1"/>
  <c r="AK152" i="1"/>
  <c r="AJ152" i="1"/>
  <c r="AI152" i="1"/>
  <c r="AG152" i="1"/>
  <c r="AD152" i="1"/>
  <c r="Z152" i="1"/>
  <c r="Y152" i="1"/>
  <c r="W152" i="1"/>
  <c r="V152" i="1"/>
  <c r="U152" i="1"/>
  <c r="S152" i="1"/>
  <c r="R152" i="1"/>
  <c r="Q152" i="1"/>
  <c r="P152" i="1"/>
  <c r="O152" i="1"/>
  <c r="N152" i="1"/>
  <c r="M152" i="1"/>
  <c r="L152" i="1"/>
  <c r="J152" i="1"/>
  <c r="I152" i="1"/>
  <c r="H152" i="1"/>
  <c r="G152" i="1"/>
  <c r="F152" i="1"/>
  <c r="E152" i="1"/>
  <c r="BO151" i="1"/>
  <c r="BN151" i="1"/>
  <c r="BM151" i="1"/>
  <c r="BL151" i="1"/>
  <c r="BK151" i="1"/>
  <c r="BJ151" i="1"/>
  <c r="BI151" i="1"/>
  <c r="BH151" i="1"/>
  <c r="BG151" i="1"/>
  <c r="BF151" i="1"/>
  <c r="BE151" i="1"/>
  <c r="BD151" i="1"/>
  <c r="BC151" i="1"/>
  <c r="BB151" i="1"/>
  <c r="BA151" i="1"/>
  <c r="AZ151" i="1"/>
  <c r="AY151" i="1"/>
  <c r="AX151" i="1"/>
  <c r="AV151" i="1"/>
  <c r="AU151" i="1"/>
  <c r="AT151" i="1"/>
  <c r="AS151" i="1"/>
  <c r="AR151" i="1"/>
  <c r="AQ151" i="1"/>
  <c r="AP151" i="1"/>
  <c r="AO151" i="1"/>
  <c r="AM151" i="1"/>
  <c r="AL151" i="1"/>
  <c r="AK151" i="1"/>
  <c r="AJ151" i="1"/>
  <c r="AI151" i="1"/>
  <c r="AG151" i="1"/>
  <c r="AD151" i="1"/>
  <c r="Z151" i="1"/>
  <c r="Y151" i="1"/>
  <c r="W151" i="1"/>
  <c r="V151" i="1"/>
  <c r="U151" i="1"/>
  <c r="S151" i="1"/>
  <c r="R151" i="1"/>
  <c r="Q151" i="1"/>
  <c r="P151" i="1"/>
  <c r="O151" i="1"/>
  <c r="N151" i="1"/>
  <c r="M151" i="1"/>
  <c r="L151" i="1"/>
  <c r="J151" i="1"/>
  <c r="I151" i="1"/>
  <c r="H151" i="1"/>
  <c r="G151" i="1"/>
  <c r="F151" i="1"/>
  <c r="E151" i="1"/>
  <c r="BO150" i="1"/>
  <c r="BN150" i="1"/>
  <c r="BM150" i="1"/>
  <c r="BL150" i="1"/>
  <c r="BK150" i="1"/>
  <c r="BJ150" i="1"/>
  <c r="BI150" i="1"/>
  <c r="BH150" i="1"/>
  <c r="BG150" i="1"/>
  <c r="BF150" i="1"/>
  <c r="BE150" i="1"/>
  <c r="BD150" i="1"/>
  <c r="BC150" i="1"/>
  <c r="BB150" i="1"/>
  <c r="BA150" i="1"/>
  <c r="AZ150" i="1"/>
  <c r="AY150" i="1"/>
  <c r="AX150" i="1"/>
  <c r="AV150" i="1"/>
  <c r="AU150" i="1"/>
  <c r="AT150" i="1"/>
  <c r="AS150" i="1"/>
  <c r="AR150" i="1"/>
  <c r="AQ150" i="1"/>
  <c r="AP150" i="1"/>
  <c r="AO150" i="1"/>
  <c r="AM150" i="1"/>
  <c r="AL150" i="1"/>
  <c r="AK150" i="1"/>
  <c r="AJ150" i="1"/>
  <c r="AI150" i="1"/>
  <c r="AG150" i="1"/>
  <c r="AD150" i="1"/>
  <c r="Z150" i="1"/>
  <c r="Y150" i="1"/>
  <c r="W150" i="1"/>
  <c r="V150" i="1"/>
  <c r="U150" i="1"/>
  <c r="S150" i="1"/>
  <c r="R150" i="1"/>
  <c r="Q150" i="1"/>
  <c r="P150" i="1"/>
  <c r="O150" i="1"/>
  <c r="N150" i="1"/>
  <c r="M150" i="1"/>
  <c r="L150" i="1"/>
  <c r="J150" i="1"/>
  <c r="I150" i="1"/>
  <c r="H150" i="1"/>
  <c r="G150" i="1"/>
  <c r="F150" i="1"/>
  <c r="E150" i="1"/>
  <c r="BO149" i="1"/>
  <c r="BN149" i="1"/>
  <c r="BM149" i="1"/>
  <c r="BL149" i="1"/>
  <c r="BK149" i="1"/>
  <c r="BJ149" i="1"/>
  <c r="BI149" i="1"/>
  <c r="BH149" i="1"/>
  <c r="BG149" i="1"/>
  <c r="BF149" i="1"/>
  <c r="BE149" i="1"/>
  <c r="BD149" i="1"/>
  <c r="BB149" i="1"/>
  <c r="BA149" i="1"/>
  <c r="AZ149" i="1"/>
  <c r="AY149" i="1"/>
  <c r="AX149" i="1"/>
  <c r="AV149" i="1"/>
  <c r="AU149" i="1"/>
  <c r="AT149" i="1"/>
  <c r="AS149" i="1"/>
  <c r="AR149" i="1"/>
  <c r="AQ149" i="1"/>
  <c r="AP149" i="1"/>
  <c r="AO149" i="1"/>
  <c r="AM149" i="1"/>
  <c r="AL149" i="1"/>
  <c r="AK149" i="1"/>
  <c r="AJ149" i="1"/>
  <c r="AI149" i="1"/>
  <c r="AG149" i="1"/>
  <c r="AD149" i="1"/>
  <c r="Z149" i="1"/>
  <c r="Y149" i="1"/>
  <c r="W149" i="1"/>
  <c r="V149" i="1"/>
  <c r="U149" i="1"/>
  <c r="S149" i="1"/>
  <c r="R149" i="1"/>
  <c r="Q149" i="1"/>
  <c r="P149" i="1"/>
  <c r="O149" i="1"/>
  <c r="N149" i="1"/>
  <c r="M149" i="1"/>
  <c r="L149" i="1"/>
  <c r="J149" i="1"/>
  <c r="I149" i="1"/>
  <c r="H149" i="1"/>
  <c r="G149" i="1"/>
  <c r="F149" i="1"/>
  <c r="E149" i="1"/>
  <c r="BO148" i="1"/>
  <c r="BN148" i="1"/>
  <c r="BM148" i="1"/>
  <c r="BL148" i="1"/>
  <c r="BK148" i="1"/>
  <c r="BJ148" i="1"/>
  <c r="BI148" i="1"/>
  <c r="BH148" i="1"/>
  <c r="BG148" i="1"/>
  <c r="BF148" i="1"/>
  <c r="BE148" i="1"/>
  <c r="BD148" i="1"/>
  <c r="BB148" i="1"/>
  <c r="BA148" i="1"/>
  <c r="AZ148" i="1"/>
  <c r="AY148" i="1"/>
  <c r="AX148" i="1"/>
  <c r="AV148" i="1"/>
  <c r="AU148" i="1"/>
  <c r="AT148" i="1"/>
  <c r="AS148" i="1"/>
  <c r="AR148" i="1"/>
  <c r="AQ148" i="1"/>
  <c r="AP148" i="1"/>
  <c r="AO148" i="1"/>
  <c r="AM148" i="1"/>
  <c r="AL148" i="1"/>
  <c r="AK148" i="1"/>
  <c r="AJ148" i="1"/>
  <c r="AI148" i="1"/>
  <c r="AG148" i="1"/>
  <c r="AD148" i="1"/>
  <c r="Z148" i="1"/>
  <c r="Y148" i="1"/>
  <c r="W148" i="1"/>
  <c r="V148" i="1"/>
  <c r="U148" i="1"/>
  <c r="S148" i="1"/>
  <c r="R148" i="1"/>
  <c r="Q148" i="1"/>
  <c r="P148" i="1"/>
  <c r="O148" i="1"/>
  <c r="N148" i="1"/>
  <c r="M148" i="1"/>
  <c r="L148" i="1"/>
  <c r="J148" i="1"/>
  <c r="I148" i="1"/>
  <c r="H148" i="1"/>
  <c r="G148" i="1"/>
  <c r="F148" i="1"/>
  <c r="E148" i="1"/>
  <c r="BO147" i="1"/>
  <c r="BN147" i="1"/>
  <c r="BM147" i="1"/>
  <c r="BL147" i="1"/>
  <c r="BK147" i="1"/>
  <c r="BJ147" i="1"/>
  <c r="BI147" i="1"/>
  <c r="BH147" i="1"/>
  <c r="BG147" i="1"/>
  <c r="BF147" i="1"/>
  <c r="BE147" i="1"/>
  <c r="BD147" i="1"/>
  <c r="BB147" i="1"/>
  <c r="BA147" i="1"/>
  <c r="AZ147" i="1"/>
  <c r="AY147" i="1"/>
  <c r="AX147" i="1"/>
  <c r="AV147" i="1"/>
  <c r="AU147" i="1"/>
  <c r="AT147" i="1"/>
  <c r="AS147" i="1"/>
  <c r="AR147" i="1"/>
  <c r="AQ147" i="1"/>
  <c r="AP147" i="1"/>
  <c r="AO147" i="1"/>
  <c r="AM147" i="1"/>
  <c r="AL147" i="1"/>
  <c r="AK147" i="1"/>
  <c r="AJ147" i="1"/>
  <c r="AI147" i="1"/>
  <c r="AG147" i="1"/>
  <c r="AD147" i="1"/>
  <c r="Z147" i="1"/>
  <c r="Y147" i="1"/>
  <c r="W147" i="1"/>
  <c r="V147" i="1"/>
  <c r="U147" i="1"/>
  <c r="S147" i="1"/>
  <c r="R147" i="1"/>
  <c r="Q147" i="1"/>
  <c r="P147" i="1"/>
  <c r="O147" i="1"/>
  <c r="N147" i="1"/>
  <c r="M147" i="1"/>
  <c r="L147" i="1"/>
  <c r="K147" i="1"/>
  <c r="J147" i="1"/>
  <c r="I147" i="1"/>
  <c r="H147" i="1"/>
  <c r="G147" i="1"/>
  <c r="F147" i="1"/>
  <c r="E147" i="1"/>
  <c r="BO146" i="1"/>
  <c r="BN146" i="1"/>
  <c r="BM146" i="1"/>
  <c r="BL146" i="1"/>
  <c r="BK146" i="1"/>
  <c r="BJ146" i="1"/>
  <c r="BI146" i="1"/>
  <c r="BH146" i="1"/>
  <c r="BG146" i="1"/>
  <c r="BF146" i="1"/>
  <c r="BE146" i="1"/>
  <c r="BD146" i="1"/>
  <c r="BB146" i="1"/>
  <c r="BA146" i="1"/>
  <c r="AZ146" i="1"/>
  <c r="AY146" i="1"/>
  <c r="AX146" i="1"/>
  <c r="AV146" i="1"/>
  <c r="AU146" i="1"/>
  <c r="AT146" i="1"/>
  <c r="AS146" i="1"/>
  <c r="AR146" i="1"/>
  <c r="AQ146" i="1"/>
  <c r="AP146" i="1"/>
  <c r="AO146" i="1"/>
  <c r="AM146" i="1"/>
  <c r="AL146" i="1"/>
  <c r="AK146" i="1"/>
  <c r="AJ146" i="1"/>
  <c r="AI146" i="1"/>
  <c r="AG146" i="1"/>
  <c r="AD146" i="1"/>
  <c r="Z146" i="1"/>
  <c r="Y146" i="1"/>
  <c r="W146" i="1"/>
  <c r="V146" i="1"/>
  <c r="U146" i="1"/>
  <c r="S146" i="1"/>
  <c r="R146" i="1"/>
  <c r="Q146" i="1"/>
  <c r="P146" i="1"/>
  <c r="O146" i="1"/>
  <c r="N146" i="1"/>
  <c r="M146" i="1"/>
  <c r="L146" i="1"/>
  <c r="K146" i="1"/>
  <c r="J146" i="1"/>
  <c r="I146" i="1"/>
  <c r="H146" i="1"/>
  <c r="G146" i="1"/>
  <c r="F146" i="1"/>
  <c r="E146" i="1"/>
  <c r="BO145" i="1"/>
  <c r="BN145" i="1"/>
  <c r="BM145" i="1"/>
  <c r="BL145" i="1"/>
  <c r="BK145" i="1"/>
  <c r="BJ145" i="1"/>
  <c r="BI145" i="1"/>
  <c r="BH145" i="1"/>
  <c r="BG145" i="1"/>
  <c r="BF145" i="1"/>
  <c r="BE145" i="1"/>
  <c r="BD145" i="1"/>
  <c r="BB145" i="1"/>
  <c r="BA145" i="1"/>
  <c r="AZ145" i="1"/>
  <c r="AY145" i="1"/>
  <c r="AX145" i="1"/>
  <c r="AV145" i="1"/>
  <c r="AU145" i="1"/>
  <c r="AT145" i="1"/>
  <c r="AS145" i="1"/>
  <c r="AR145" i="1"/>
  <c r="AQ145" i="1"/>
  <c r="AP145" i="1"/>
  <c r="AO145" i="1"/>
  <c r="AM145" i="1"/>
  <c r="AL145" i="1"/>
  <c r="AK145" i="1"/>
  <c r="AJ145" i="1"/>
  <c r="AI145" i="1"/>
  <c r="AG145" i="1"/>
  <c r="AD145" i="1"/>
  <c r="Z145" i="1"/>
  <c r="Y145" i="1"/>
  <c r="W145" i="1"/>
  <c r="V145" i="1"/>
  <c r="U145" i="1"/>
  <c r="S145" i="1"/>
  <c r="R145" i="1"/>
  <c r="Q145" i="1"/>
  <c r="P145" i="1"/>
  <c r="O145" i="1"/>
  <c r="N145" i="1"/>
  <c r="M145" i="1"/>
  <c r="L145" i="1"/>
  <c r="K145" i="1"/>
  <c r="J145" i="1"/>
  <c r="I145" i="1"/>
  <c r="H145" i="1"/>
  <c r="G145" i="1"/>
  <c r="F145" i="1"/>
  <c r="E145" i="1"/>
  <c r="BO144" i="1"/>
  <c r="BN144" i="1"/>
  <c r="BM144" i="1"/>
  <c r="BL144" i="1"/>
  <c r="BK144" i="1"/>
  <c r="BJ144" i="1"/>
  <c r="BI144" i="1"/>
  <c r="BH144" i="1"/>
  <c r="BG144" i="1"/>
  <c r="BF144" i="1"/>
  <c r="BE144" i="1"/>
  <c r="BD144" i="1"/>
  <c r="BB144" i="1"/>
  <c r="BA144" i="1"/>
  <c r="AZ144" i="1"/>
  <c r="AY144" i="1"/>
  <c r="AX144" i="1"/>
  <c r="AV144" i="1"/>
  <c r="AU144" i="1"/>
  <c r="AT144" i="1"/>
  <c r="AS144" i="1"/>
  <c r="AR144" i="1"/>
  <c r="AQ144" i="1"/>
  <c r="AP144" i="1"/>
  <c r="AO144" i="1"/>
  <c r="AM144" i="1"/>
  <c r="AL144" i="1"/>
  <c r="AK144" i="1"/>
  <c r="AJ144" i="1"/>
  <c r="AI144" i="1"/>
  <c r="AG144" i="1"/>
  <c r="AD144" i="1"/>
  <c r="Z144" i="1"/>
  <c r="Y144" i="1"/>
  <c r="W144" i="1"/>
  <c r="V144" i="1"/>
  <c r="U144" i="1"/>
  <c r="S144" i="1"/>
  <c r="R144" i="1"/>
  <c r="Q144" i="1"/>
  <c r="P144" i="1"/>
  <c r="O144" i="1"/>
  <c r="N144" i="1"/>
  <c r="M144" i="1"/>
  <c r="L144" i="1"/>
  <c r="J144" i="1"/>
  <c r="I144" i="1"/>
  <c r="H144" i="1"/>
  <c r="G144" i="1"/>
  <c r="F144" i="1"/>
  <c r="E144" i="1"/>
  <c r="BO143" i="1"/>
  <c r="BN143" i="1"/>
  <c r="BM143" i="1"/>
  <c r="BL143" i="1"/>
  <c r="BK143" i="1"/>
  <c r="BJ143" i="1"/>
  <c r="BI143" i="1"/>
  <c r="BH143" i="1"/>
  <c r="BG143" i="1"/>
  <c r="BF143" i="1"/>
  <c r="BE143" i="1"/>
  <c r="BD143" i="1"/>
  <c r="BB143" i="1"/>
  <c r="BA143" i="1"/>
  <c r="AZ143" i="1"/>
  <c r="AY143" i="1"/>
  <c r="AX143" i="1"/>
  <c r="AV143" i="1"/>
  <c r="AU143" i="1"/>
  <c r="AT143" i="1"/>
  <c r="AS143" i="1"/>
  <c r="AR143" i="1"/>
  <c r="AQ143" i="1"/>
  <c r="AP143" i="1"/>
  <c r="AO143" i="1"/>
  <c r="AM143" i="1"/>
  <c r="AL143" i="1"/>
  <c r="AK143" i="1"/>
  <c r="AJ143" i="1"/>
  <c r="AI143" i="1"/>
  <c r="AG143" i="1"/>
  <c r="AD143" i="1"/>
  <c r="Z143" i="1"/>
  <c r="Y143" i="1"/>
  <c r="W143" i="1"/>
  <c r="V143" i="1"/>
  <c r="U143" i="1"/>
  <c r="S143" i="1"/>
  <c r="R143" i="1"/>
  <c r="Q143" i="1"/>
  <c r="P143" i="1"/>
  <c r="O143" i="1"/>
  <c r="N143" i="1"/>
  <c r="M143" i="1"/>
  <c r="L143" i="1"/>
  <c r="J143" i="1"/>
  <c r="I143" i="1"/>
  <c r="H143" i="1"/>
  <c r="G143" i="1"/>
  <c r="F143" i="1"/>
  <c r="E143" i="1"/>
  <c r="BO141" i="1"/>
  <c r="BN141" i="1"/>
  <c r="BM141" i="1"/>
  <c r="BL141" i="1"/>
  <c r="BK141" i="1"/>
  <c r="BJ141" i="1"/>
  <c r="BI141" i="1"/>
  <c r="BH141" i="1"/>
  <c r="BG141" i="1"/>
  <c r="BF141" i="1"/>
  <c r="BE141" i="1"/>
  <c r="BD141" i="1"/>
  <c r="BB141" i="1"/>
  <c r="BA141" i="1"/>
  <c r="AZ141" i="1"/>
  <c r="AY141" i="1"/>
  <c r="AX141" i="1"/>
  <c r="AV141" i="1"/>
  <c r="AU141" i="1"/>
  <c r="AT141" i="1"/>
  <c r="AS141" i="1"/>
  <c r="AR141" i="1"/>
  <c r="AQ141" i="1"/>
  <c r="AP141" i="1"/>
  <c r="AO141" i="1"/>
  <c r="AM141" i="1"/>
  <c r="AL141" i="1"/>
  <c r="AK141" i="1"/>
  <c r="AJ141" i="1"/>
  <c r="AI141" i="1"/>
  <c r="AG141" i="1"/>
  <c r="AD141" i="1"/>
  <c r="Z141" i="1"/>
  <c r="Y141" i="1"/>
  <c r="W141" i="1"/>
  <c r="V141" i="1"/>
  <c r="U141" i="1"/>
  <c r="S141" i="1"/>
  <c r="R141" i="1"/>
  <c r="Q141" i="1"/>
  <c r="P141" i="1"/>
  <c r="O141" i="1"/>
  <c r="N141" i="1"/>
  <c r="M141" i="1"/>
  <c r="L141" i="1"/>
  <c r="K141" i="1"/>
  <c r="J141" i="1"/>
  <c r="I141" i="1"/>
  <c r="H141" i="1"/>
  <c r="G141" i="1"/>
  <c r="F141" i="1"/>
  <c r="E141" i="1"/>
  <c r="A141" i="1"/>
  <c r="BO140" i="1"/>
  <c r="BN140" i="1"/>
  <c r="BM140" i="1"/>
  <c r="BL140" i="1"/>
  <c r="BK140" i="1"/>
  <c r="BJ140" i="1"/>
  <c r="BI140" i="1"/>
  <c r="BH140" i="1"/>
  <c r="BG140" i="1"/>
  <c r="BF140" i="1"/>
  <c r="BE140" i="1"/>
  <c r="BD140" i="1"/>
  <c r="BB140" i="1"/>
  <c r="BA140" i="1"/>
  <c r="AZ140" i="1"/>
  <c r="AY140" i="1"/>
  <c r="AX140" i="1"/>
  <c r="AV140" i="1"/>
  <c r="AU140" i="1"/>
  <c r="AT140" i="1"/>
  <c r="AS140" i="1"/>
  <c r="AR140" i="1"/>
  <c r="AQ140" i="1"/>
  <c r="AP140" i="1"/>
  <c r="AO140" i="1"/>
  <c r="AM140" i="1"/>
  <c r="AL140" i="1"/>
  <c r="AK140" i="1"/>
  <c r="AJ140" i="1"/>
  <c r="AI140" i="1"/>
  <c r="AG140" i="1"/>
  <c r="AD140" i="1"/>
  <c r="Z140" i="1"/>
  <c r="Y140" i="1"/>
  <c r="W140" i="1"/>
  <c r="V140" i="1"/>
  <c r="U140" i="1"/>
  <c r="S140" i="1"/>
  <c r="R140" i="1"/>
  <c r="Q140" i="1"/>
  <c r="P140" i="1"/>
  <c r="O140" i="1"/>
  <c r="N140" i="1"/>
  <c r="M140" i="1"/>
  <c r="L140" i="1"/>
  <c r="K140" i="1"/>
  <c r="J140" i="1"/>
  <c r="I140" i="1"/>
  <c r="H140" i="1"/>
  <c r="G140" i="1"/>
  <c r="F140" i="1"/>
  <c r="E140" i="1"/>
  <c r="A140" i="1"/>
  <c r="BO139" i="1"/>
  <c r="BN139" i="1"/>
  <c r="BM139" i="1"/>
  <c r="BL139" i="1"/>
  <c r="BK139" i="1"/>
  <c r="BJ139" i="1"/>
  <c r="BI139" i="1"/>
  <c r="BH139" i="1"/>
  <c r="BG139" i="1"/>
  <c r="BF139" i="1"/>
  <c r="BE139" i="1"/>
  <c r="BD139" i="1"/>
  <c r="BB139" i="1"/>
  <c r="BA139" i="1"/>
  <c r="AZ139" i="1"/>
  <c r="AY139" i="1"/>
  <c r="AX139" i="1"/>
  <c r="AV139" i="1"/>
  <c r="AU139" i="1"/>
  <c r="AT139" i="1"/>
  <c r="AS139" i="1"/>
  <c r="AR139" i="1"/>
  <c r="AQ139" i="1"/>
  <c r="AP139" i="1"/>
  <c r="AO139" i="1"/>
  <c r="AM139" i="1"/>
  <c r="AL139" i="1"/>
  <c r="AK139" i="1"/>
  <c r="AJ139" i="1"/>
  <c r="AI139" i="1"/>
  <c r="AG139" i="1"/>
  <c r="AD139" i="1"/>
  <c r="Z139" i="1"/>
  <c r="Y139" i="1"/>
  <c r="W139" i="1"/>
  <c r="V139" i="1"/>
  <c r="U139" i="1"/>
  <c r="S139" i="1"/>
  <c r="R139" i="1"/>
  <c r="Q139" i="1"/>
  <c r="P139" i="1"/>
  <c r="O139" i="1"/>
  <c r="N139" i="1"/>
  <c r="M139" i="1"/>
  <c r="L139" i="1"/>
  <c r="K139" i="1"/>
  <c r="J139" i="1"/>
  <c r="I139" i="1"/>
  <c r="H139" i="1"/>
  <c r="G139" i="1"/>
  <c r="F139" i="1"/>
  <c r="E139" i="1"/>
  <c r="A139" i="1"/>
  <c r="BO138" i="1"/>
  <c r="BN138" i="1"/>
  <c r="BM138" i="1"/>
  <c r="BL138" i="1"/>
  <c r="BK138" i="1"/>
  <c r="BJ138" i="1"/>
  <c r="BI138" i="1"/>
  <c r="BH138" i="1"/>
  <c r="BG138" i="1"/>
  <c r="BF138" i="1"/>
  <c r="BE138" i="1"/>
  <c r="BD138" i="1"/>
  <c r="BB138" i="1"/>
  <c r="BA138" i="1"/>
  <c r="AZ138" i="1"/>
  <c r="AY138" i="1"/>
  <c r="AX138" i="1"/>
  <c r="AV138" i="1"/>
  <c r="AU138" i="1"/>
  <c r="AT138" i="1"/>
  <c r="AS138" i="1"/>
  <c r="AR138" i="1"/>
  <c r="AQ138" i="1"/>
  <c r="AP138" i="1"/>
  <c r="AO138" i="1"/>
  <c r="AM138" i="1"/>
  <c r="AL138" i="1"/>
  <c r="AK138" i="1"/>
  <c r="AJ138" i="1"/>
  <c r="AI138" i="1"/>
  <c r="AG138" i="1"/>
  <c r="AD138" i="1"/>
  <c r="Z138" i="1"/>
  <c r="Y138" i="1"/>
  <c r="W138" i="1"/>
  <c r="V138" i="1"/>
  <c r="U138" i="1"/>
  <c r="S138" i="1"/>
  <c r="R138" i="1"/>
  <c r="Q138" i="1"/>
  <c r="P138" i="1"/>
  <c r="O138" i="1"/>
  <c r="N138" i="1"/>
  <c r="M138" i="1"/>
  <c r="L138" i="1"/>
  <c r="K138" i="1"/>
  <c r="J138" i="1"/>
  <c r="I138" i="1"/>
  <c r="H138" i="1"/>
  <c r="G138" i="1"/>
  <c r="F138" i="1"/>
  <c r="E138" i="1"/>
  <c r="A138" i="1"/>
  <c r="BO137" i="1"/>
  <c r="BN137" i="1"/>
  <c r="BM137" i="1"/>
  <c r="BL137" i="1"/>
  <c r="BK137" i="1"/>
  <c r="BJ137" i="1"/>
  <c r="BI137" i="1"/>
  <c r="BH137" i="1"/>
  <c r="BG137" i="1"/>
  <c r="BF137" i="1"/>
  <c r="BE137" i="1"/>
  <c r="BD137" i="1"/>
  <c r="BB137" i="1"/>
  <c r="BA137" i="1"/>
  <c r="AZ137" i="1"/>
  <c r="AY137" i="1"/>
  <c r="AX137" i="1"/>
  <c r="AV137" i="1"/>
  <c r="AU137" i="1"/>
  <c r="AT137" i="1"/>
  <c r="AS137" i="1"/>
  <c r="AR137" i="1"/>
  <c r="AQ137" i="1"/>
  <c r="AP137" i="1"/>
  <c r="AO137" i="1"/>
  <c r="AM137" i="1"/>
  <c r="AL137" i="1"/>
  <c r="AK137" i="1"/>
  <c r="AJ137" i="1"/>
  <c r="AI137" i="1"/>
  <c r="AG137" i="1"/>
  <c r="AD137" i="1"/>
  <c r="Z137" i="1"/>
  <c r="Y137" i="1"/>
  <c r="W137" i="1"/>
  <c r="V137" i="1"/>
  <c r="U137" i="1"/>
  <c r="S137" i="1"/>
  <c r="R137" i="1"/>
  <c r="Q137" i="1"/>
  <c r="P137" i="1"/>
  <c r="O137" i="1"/>
  <c r="N137" i="1"/>
  <c r="M137" i="1"/>
  <c r="L137" i="1"/>
  <c r="K137" i="1"/>
  <c r="J137" i="1"/>
  <c r="I137" i="1"/>
  <c r="H137" i="1"/>
  <c r="G137" i="1"/>
  <c r="F137" i="1"/>
  <c r="E137" i="1"/>
  <c r="A137" i="1"/>
  <c r="BO136" i="1"/>
  <c r="BN136" i="1"/>
  <c r="BM136" i="1"/>
  <c r="BL136" i="1"/>
  <c r="BK136" i="1"/>
  <c r="BJ136" i="1"/>
  <c r="BI136" i="1"/>
  <c r="BH136" i="1"/>
  <c r="BG136" i="1"/>
  <c r="BF136" i="1"/>
  <c r="BE136" i="1"/>
  <c r="BD136" i="1"/>
  <c r="BB136" i="1"/>
  <c r="BA136" i="1"/>
  <c r="AZ136" i="1"/>
  <c r="AY136" i="1"/>
  <c r="AX136" i="1"/>
  <c r="AV136" i="1"/>
  <c r="AU136" i="1"/>
  <c r="AT136" i="1"/>
  <c r="AS136" i="1"/>
  <c r="AR136" i="1"/>
  <c r="AQ136" i="1"/>
  <c r="AP136" i="1"/>
  <c r="AO136" i="1"/>
  <c r="AM136" i="1"/>
  <c r="AL136" i="1"/>
  <c r="AK136" i="1"/>
  <c r="AJ136" i="1"/>
  <c r="AI136" i="1"/>
  <c r="AG136" i="1"/>
  <c r="AD136" i="1"/>
  <c r="Z136" i="1"/>
  <c r="Y136" i="1"/>
  <c r="W136" i="1"/>
  <c r="V136" i="1"/>
  <c r="U136" i="1"/>
  <c r="S136" i="1"/>
  <c r="R136" i="1"/>
  <c r="Q136" i="1"/>
  <c r="P136" i="1"/>
  <c r="O136" i="1"/>
  <c r="N136" i="1"/>
  <c r="M136" i="1"/>
  <c r="L136" i="1"/>
  <c r="K136" i="1"/>
  <c r="J136" i="1"/>
  <c r="I136" i="1"/>
  <c r="H136" i="1"/>
  <c r="G136" i="1"/>
  <c r="F136" i="1"/>
  <c r="E136" i="1"/>
  <c r="A136" i="1"/>
  <c r="BO135" i="1"/>
  <c r="BN135" i="1"/>
  <c r="BM135" i="1"/>
  <c r="BL135" i="1"/>
  <c r="BK135" i="1"/>
  <c r="BJ135" i="1"/>
  <c r="BI135" i="1"/>
  <c r="BH135" i="1"/>
  <c r="BG135" i="1"/>
  <c r="BF135" i="1"/>
  <c r="BE135" i="1"/>
  <c r="BD135" i="1"/>
  <c r="BB135" i="1"/>
  <c r="BA135" i="1"/>
  <c r="AZ135" i="1"/>
  <c r="AY135" i="1"/>
  <c r="AX135" i="1"/>
  <c r="AV135" i="1"/>
  <c r="AU135" i="1"/>
  <c r="AT135" i="1"/>
  <c r="AS135" i="1"/>
  <c r="AR135" i="1"/>
  <c r="AQ135" i="1"/>
  <c r="AP135" i="1"/>
  <c r="AO135" i="1"/>
  <c r="AM135" i="1"/>
  <c r="AL135" i="1"/>
  <c r="AK135" i="1"/>
  <c r="AJ135" i="1"/>
  <c r="AI135" i="1"/>
  <c r="AG135" i="1"/>
  <c r="AD135" i="1"/>
  <c r="Z135" i="1"/>
  <c r="Y135" i="1"/>
  <c r="W135" i="1"/>
  <c r="V135" i="1"/>
  <c r="U135" i="1"/>
  <c r="S135" i="1"/>
  <c r="R135" i="1"/>
  <c r="Q135" i="1"/>
  <c r="P135" i="1"/>
  <c r="O135" i="1"/>
  <c r="N135" i="1"/>
  <c r="M135" i="1"/>
  <c r="L135" i="1"/>
  <c r="K135" i="1"/>
  <c r="J135" i="1"/>
  <c r="I135" i="1"/>
  <c r="H135" i="1"/>
  <c r="G135" i="1"/>
  <c r="F135" i="1"/>
  <c r="E135" i="1"/>
  <c r="A135" i="1"/>
  <c r="BO134" i="1"/>
  <c r="BN134" i="1"/>
  <c r="BM134" i="1"/>
  <c r="BL134" i="1"/>
  <c r="BK134" i="1"/>
  <c r="BJ134" i="1"/>
  <c r="BI134" i="1"/>
  <c r="BH134" i="1"/>
  <c r="BG134" i="1"/>
  <c r="BF134" i="1"/>
  <c r="BE134" i="1"/>
  <c r="BD134" i="1"/>
  <c r="BB134" i="1"/>
  <c r="BA134" i="1"/>
  <c r="AZ134" i="1"/>
  <c r="AY134" i="1"/>
  <c r="AX134" i="1"/>
  <c r="AV134" i="1"/>
  <c r="AU134" i="1"/>
  <c r="AT134" i="1"/>
  <c r="AS134" i="1"/>
  <c r="AR134" i="1"/>
  <c r="AQ134" i="1"/>
  <c r="AP134" i="1"/>
  <c r="AO134" i="1"/>
  <c r="AM134" i="1"/>
  <c r="AL134" i="1"/>
  <c r="AK134" i="1"/>
  <c r="AJ134" i="1"/>
  <c r="AI134" i="1"/>
  <c r="AG134" i="1"/>
  <c r="AD134" i="1"/>
  <c r="Z134" i="1"/>
  <c r="Y134" i="1"/>
  <c r="W134" i="1"/>
  <c r="V134" i="1"/>
  <c r="U134" i="1"/>
  <c r="S134" i="1"/>
  <c r="R134" i="1"/>
  <c r="Q134" i="1"/>
  <c r="P134" i="1"/>
  <c r="O134" i="1"/>
  <c r="N134" i="1"/>
  <c r="M134" i="1"/>
  <c r="L134" i="1"/>
  <c r="K134" i="1"/>
  <c r="J134" i="1"/>
  <c r="I134" i="1"/>
  <c r="H134" i="1"/>
  <c r="G134" i="1"/>
  <c r="F134" i="1"/>
  <c r="E134" i="1"/>
  <c r="A134" i="1"/>
  <c r="BO133" i="1"/>
  <c r="BN133" i="1"/>
  <c r="BM133" i="1"/>
  <c r="BL133" i="1"/>
  <c r="BK133" i="1"/>
  <c r="BJ133" i="1"/>
  <c r="BI133" i="1"/>
  <c r="BH133" i="1"/>
  <c r="BG133" i="1"/>
  <c r="BF133" i="1"/>
  <c r="BE133" i="1"/>
  <c r="BD133" i="1"/>
  <c r="BB133" i="1"/>
  <c r="BA133" i="1"/>
  <c r="AZ133" i="1"/>
  <c r="AY133" i="1"/>
  <c r="AX133" i="1"/>
  <c r="AV133" i="1"/>
  <c r="AU133" i="1"/>
  <c r="AT133" i="1"/>
  <c r="AS133" i="1"/>
  <c r="AR133" i="1"/>
  <c r="AQ133" i="1"/>
  <c r="AP133" i="1"/>
  <c r="AO133" i="1"/>
  <c r="AM133" i="1"/>
  <c r="AL133" i="1"/>
  <c r="AK133" i="1"/>
  <c r="AJ133" i="1"/>
  <c r="AI133" i="1"/>
  <c r="AG133" i="1"/>
  <c r="AD133" i="1"/>
  <c r="Z133" i="1"/>
  <c r="Y133" i="1"/>
  <c r="W133" i="1"/>
  <c r="V133" i="1"/>
  <c r="U133" i="1"/>
  <c r="S133" i="1"/>
  <c r="R133" i="1"/>
  <c r="Q133" i="1"/>
  <c r="P133" i="1"/>
  <c r="O133" i="1"/>
  <c r="N133" i="1"/>
  <c r="M133" i="1"/>
  <c r="L133" i="1"/>
  <c r="K133" i="1"/>
  <c r="J133" i="1"/>
  <c r="I133" i="1"/>
  <c r="H133" i="1"/>
  <c r="G133" i="1"/>
  <c r="F133" i="1"/>
  <c r="E133" i="1"/>
  <c r="A133" i="1"/>
  <c r="BO132" i="1"/>
  <c r="BN132" i="1"/>
  <c r="BM132" i="1"/>
  <c r="BL132" i="1"/>
  <c r="BK132" i="1"/>
  <c r="BJ132" i="1"/>
  <c r="BI132" i="1"/>
  <c r="BH132" i="1"/>
  <c r="BG132" i="1"/>
  <c r="BF132" i="1"/>
  <c r="BE132" i="1"/>
  <c r="BD132" i="1"/>
  <c r="BB132" i="1"/>
  <c r="BA132" i="1"/>
  <c r="AZ132" i="1"/>
  <c r="AY132" i="1"/>
  <c r="AX132" i="1"/>
  <c r="AV132" i="1"/>
  <c r="AU132" i="1"/>
  <c r="AT132" i="1"/>
  <c r="AS132" i="1"/>
  <c r="AR132" i="1"/>
  <c r="AQ132" i="1"/>
  <c r="AP132" i="1"/>
  <c r="AO132" i="1"/>
  <c r="AM132" i="1"/>
  <c r="AL132" i="1"/>
  <c r="AK132" i="1"/>
  <c r="AJ132" i="1"/>
  <c r="AI132" i="1"/>
  <c r="AG132" i="1"/>
  <c r="AD132" i="1"/>
  <c r="Z132" i="1"/>
  <c r="Y132" i="1"/>
  <c r="W132" i="1"/>
  <c r="V132" i="1"/>
  <c r="U132" i="1"/>
  <c r="S132" i="1"/>
  <c r="R132" i="1"/>
  <c r="Q132" i="1"/>
  <c r="P132" i="1"/>
  <c r="O132" i="1"/>
  <c r="N132" i="1"/>
  <c r="M132" i="1"/>
  <c r="L132" i="1"/>
  <c r="K132" i="1"/>
  <c r="J132" i="1"/>
  <c r="I132" i="1"/>
  <c r="H132" i="1"/>
  <c r="G132" i="1"/>
  <c r="F132" i="1"/>
  <c r="E132" i="1"/>
  <c r="A132" i="1"/>
  <c r="BO131" i="1"/>
  <c r="BN131" i="1"/>
  <c r="BM131" i="1"/>
  <c r="BL131" i="1"/>
  <c r="BK131" i="1"/>
  <c r="BJ131" i="1"/>
  <c r="BI131" i="1"/>
  <c r="BH131" i="1"/>
  <c r="BG131" i="1"/>
  <c r="BF131" i="1"/>
  <c r="BE131" i="1"/>
  <c r="BD131" i="1"/>
  <c r="BB131" i="1"/>
  <c r="BA131" i="1"/>
  <c r="AZ131" i="1"/>
  <c r="AY131" i="1"/>
  <c r="AX131" i="1"/>
  <c r="AV131" i="1"/>
  <c r="AU131" i="1"/>
  <c r="AT131" i="1"/>
  <c r="AS131" i="1"/>
  <c r="AR131" i="1"/>
  <c r="AQ131" i="1"/>
  <c r="AP131" i="1"/>
  <c r="AO131" i="1"/>
  <c r="AM131" i="1"/>
  <c r="AL131" i="1"/>
  <c r="AK131" i="1"/>
  <c r="AJ131" i="1"/>
  <c r="AI131" i="1"/>
  <c r="AG131" i="1"/>
  <c r="AD131" i="1"/>
  <c r="Z131" i="1"/>
  <c r="Y131" i="1"/>
  <c r="W131" i="1"/>
  <c r="V131" i="1"/>
  <c r="U131" i="1"/>
  <c r="S131" i="1"/>
  <c r="R131" i="1"/>
  <c r="Q131" i="1"/>
  <c r="P131" i="1"/>
  <c r="O131" i="1"/>
  <c r="N131" i="1"/>
  <c r="M131" i="1"/>
  <c r="L131" i="1"/>
  <c r="K131" i="1"/>
  <c r="J131" i="1"/>
  <c r="I131" i="1"/>
  <c r="H131" i="1"/>
  <c r="G131" i="1"/>
  <c r="F131" i="1"/>
  <c r="E131" i="1"/>
  <c r="BO130" i="1"/>
  <c r="BN130" i="1"/>
  <c r="BM130" i="1"/>
  <c r="BL130" i="1"/>
  <c r="BK130" i="1"/>
  <c r="BJ130" i="1"/>
  <c r="BI130" i="1"/>
  <c r="BH130" i="1"/>
  <c r="BG130" i="1"/>
  <c r="BF130" i="1"/>
  <c r="BE130" i="1"/>
  <c r="BD130" i="1"/>
  <c r="BB130" i="1"/>
  <c r="BA130" i="1"/>
  <c r="AZ130" i="1"/>
  <c r="AY130" i="1"/>
  <c r="AX130" i="1"/>
  <c r="AV130" i="1"/>
  <c r="AU130" i="1"/>
  <c r="AT130" i="1"/>
  <c r="AS130" i="1"/>
  <c r="AR130" i="1"/>
  <c r="AQ130" i="1"/>
  <c r="AP130" i="1"/>
  <c r="AO130" i="1"/>
  <c r="AM130" i="1"/>
  <c r="AL130" i="1"/>
  <c r="AK130" i="1"/>
  <c r="AJ130" i="1"/>
  <c r="AI130" i="1"/>
  <c r="AG130" i="1"/>
  <c r="AD130" i="1"/>
  <c r="Z130" i="1"/>
  <c r="Y130" i="1"/>
  <c r="W130" i="1"/>
  <c r="V130" i="1"/>
  <c r="U130" i="1"/>
  <c r="S130" i="1"/>
  <c r="R130" i="1"/>
  <c r="Q130" i="1"/>
  <c r="P130" i="1"/>
  <c r="O130" i="1"/>
  <c r="N130" i="1"/>
  <c r="M130" i="1"/>
  <c r="L130" i="1"/>
  <c r="BO127" i="1"/>
  <c r="BN127" i="1"/>
  <c r="BM127" i="1"/>
  <c r="BL127" i="1"/>
  <c r="BK127" i="1"/>
  <c r="BJ127" i="1"/>
  <c r="BI127" i="1"/>
  <c r="BH127" i="1"/>
  <c r="BG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W127" i="1"/>
  <c r="V127" i="1"/>
  <c r="U127" i="1"/>
  <c r="T127" i="1"/>
  <c r="S127" i="1"/>
  <c r="R127" i="1"/>
  <c r="Q127" i="1"/>
  <c r="P127" i="1"/>
  <c r="O127" i="1"/>
  <c r="N127" i="1"/>
  <c r="M127" i="1"/>
  <c r="L127" i="1"/>
  <c r="K127" i="1"/>
  <c r="J127" i="1"/>
  <c r="I127" i="1"/>
  <c r="H127" i="1"/>
  <c r="G127" i="1"/>
  <c r="F127" i="1"/>
  <c r="E127" i="1"/>
  <c r="D127" i="1"/>
  <c r="A127" i="1"/>
  <c r="BO126" i="1"/>
  <c r="BN126" i="1"/>
  <c r="BM126" i="1"/>
  <c r="BL126" i="1"/>
  <c r="BK126" i="1"/>
  <c r="BJ126" i="1"/>
  <c r="BI126" i="1"/>
  <c r="BH126" i="1"/>
  <c r="BG126" i="1"/>
  <c r="BF126" i="1"/>
  <c r="BE126" i="1"/>
  <c r="BD126" i="1"/>
  <c r="BB126" i="1"/>
  <c r="BA126" i="1"/>
  <c r="AZ126" i="1"/>
  <c r="AY126" i="1"/>
  <c r="AX126" i="1"/>
  <c r="AV126" i="1"/>
  <c r="AU126" i="1"/>
  <c r="AT126" i="1"/>
  <c r="AS126" i="1"/>
  <c r="AR126" i="1"/>
  <c r="AQ126" i="1"/>
  <c r="AP126" i="1"/>
  <c r="AO126" i="1"/>
  <c r="AM126" i="1"/>
  <c r="AL126" i="1"/>
  <c r="AK126" i="1"/>
  <c r="AJ126" i="1"/>
  <c r="AI126" i="1"/>
  <c r="AG126" i="1"/>
  <c r="AD126" i="1"/>
  <c r="Z126" i="1"/>
  <c r="Y126" i="1"/>
  <c r="W126" i="1"/>
  <c r="V126" i="1"/>
  <c r="U126" i="1"/>
  <c r="S126" i="1"/>
  <c r="R126" i="1"/>
  <c r="Q126" i="1"/>
  <c r="P126" i="1"/>
  <c r="O126" i="1"/>
  <c r="N126" i="1"/>
  <c r="M126" i="1"/>
  <c r="L126" i="1"/>
  <c r="K126" i="1"/>
  <c r="J126" i="1"/>
  <c r="I126" i="1"/>
  <c r="H126" i="1"/>
  <c r="G126" i="1"/>
  <c r="F126" i="1"/>
  <c r="E126" i="1"/>
  <c r="A126" i="1"/>
  <c r="BO125" i="1"/>
  <c r="BN125" i="1"/>
  <c r="BM125" i="1"/>
  <c r="BL125" i="1"/>
  <c r="BK125" i="1"/>
  <c r="BJ125" i="1"/>
  <c r="BI125" i="1"/>
  <c r="BH125" i="1"/>
  <c r="BG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W125" i="1"/>
  <c r="V125" i="1"/>
  <c r="U125" i="1"/>
  <c r="T125" i="1"/>
  <c r="S125" i="1"/>
  <c r="R125" i="1"/>
  <c r="Q125" i="1"/>
  <c r="P125" i="1"/>
  <c r="O125" i="1"/>
  <c r="N125" i="1"/>
  <c r="M125" i="1"/>
  <c r="L125" i="1"/>
  <c r="K125" i="1"/>
  <c r="J125" i="1"/>
  <c r="I125" i="1"/>
  <c r="H125" i="1"/>
  <c r="G125" i="1"/>
  <c r="F125" i="1"/>
  <c r="E125" i="1"/>
  <c r="D125" i="1"/>
  <c r="A125" i="1"/>
  <c r="BO124" i="1"/>
  <c r="BN124" i="1"/>
  <c r="BM124" i="1"/>
  <c r="BL124" i="1"/>
  <c r="BK124" i="1"/>
  <c r="BJ124" i="1"/>
  <c r="BI124" i="1"/>
  <c r="BH124" i="1"/>
  <c r="BG124" i="1"/>
  <c r="BF124" i="1"/>
  <c r="BE124" i="1"/>
  <c r="BD124" i="1"/>
  <c r="BB124" i="1"/>
  <c r="BA124" i="1"/>
  <c r="AZ124" i="1"/>
  <c r="AY124" i="1"/>
  <c r="AX124" i="1"/>
  <c r="AV124" i="1"/>
  <c r="AU124" i="1"/>
  <c r="AT124" i="1"/>
  <c r="AS124" i="1"/>
  <c r="AR124" i="1"/>
  <c r="AQ124" i="1"/>
  <c r="AP124" i="1"/>
  <c r="AO124" i="1"/>
  <c r="AM124" i="1"/>
  <c r="AL124" i="1"/>
  <c r="AK124" i="1"/>
  <c r="AJ124" i="1"/>
  <c r="AI124" i="1"/>
  <c r="AG124" i="1"/>
  <c r="AD124" i="1"/>
  <c r="Z124" i="1"/>
  <c r="Y124" i="1"/>
  <c r="W124" i="1"/>
  <c r="V124" i="1"/>
  <c r="U124" i="1"/>
  <c r="S124" i="1"/>
  <c r="R124" i="1"/>
  <c r="Q124" i="1"/>
  <c r="P124" i="1"/>
  <c r="O124" i="1"/>
  <c r="N124" i="1"/>
  <c r="M124" i="1"/>
  <c r="L124" i="1"/>
  <c r="K124" i="1"/>
  <c r="J124" i="1"/>
  <c r="I124" i="1"/>
  <c r="H124" i="1"/>
  <c r="G124" i="1"/>
  <c r="F124" i="1"/>
  <c r="E124" i="1"/>
  <c r="A124" i="1"/>
  <c r="BO123" i="1"/>
  <c r="BN123" i="1"/>
  <c r="BM123" i="1"/>
  <c r="BL123" i="1"/>
  <c r="BK123" i="1"/>
  <c r="BJ123" i="1"/>
  <c r="BI123" i="1"/>
  <c r="BH123" i="1"/>
  <c r="BG123" i="1"/>
  <c r="BF123" i="1"/>
  <c r="BE123" i="1"/>
  <c r="BD123" i="1"/>
  <c r="BB123" i="1"/>
  <c r="BA123" i="1"/>
  <c r="AZ123" i="1"/>
  <c r="AY123" i="1"/>
  <c r="AX123" i="1"/>
  <c r="AV123" i="1"/>
  <c r="AU123" i="1"/>
  <c r="AT123" i="1"/>
  <c r="AS123" i="1"/>
  <c r="AR123" i="1"/>
  <c r="AQ123" i="1"/>
  <c r="AP123" i="1"/>
  <c r="AO123" i="1"/>
  <c r="AM123" i="1"/>
  <c r="AL123" i="1"/>
  <c r="AK123" i="1"/>
  <c r="AJ123" i="1"/>
  <c r="AI123" i="1"/>
  <c r="AG123" i="1"/>
  <c r="AD123" i="1"/>
  <c r="Z123" i="1"/>
  <c r="Y123" i="1"/>
  <c r="W123" i="1"/>
  <c r="V123" i="1"/>
  <c r="U123" i="1"/>
  <c r="S123" i="1"/>
  <c r="R123" i="1"/>
  <c r="Q123" i="1"/>
  <c r="P123" i="1"/>
  <c r="O123" i="1"/>
  <c r="N123" i="1"/>
  <c r="M123" i="1"/>
  <c r="L123" i="1"/>
  <c r="K123" i="1"/>
  <c r="J123" i="1"/>
  <c r="I123" i="1"/>
  <c r="H123" i="1"/>
  <c r="G123" i="1"/>
  <c r="F123" i="1"/>
  <c r="E123" i="1"/>
  <c r="BO122" i="1"/>
  <c r="BN122" i="1"/>
  <c r="BM122" i="1"/>
  <c r="BL122" i="1"/>
  <c r="BK122" i="1"/>
  <c r="BJ122" i="1"/>
  <c r="BI122" i="1"/>
  <c r="BH122" i="1"/>
  <c r="BG122" i="1"/>
  <c r="BF122" i="1"/>
  <c r="BE122" i="1"/>
  <c r="BD122" i="1"/>
  <c r="BB122" i="1"/>
  <c r="BA122" i="1"/>
  <c r="AZ122" i="1"/>
  <c r="AY122" i="1"/>
  <c r="AX122" i="1"/>
  <c r="AV122" i="1"/>
  <c r="AU122" i="1"/>
  <c r="AT122" i="1"/>
  <c r="AS122" i="1"/>
  <c r="AR122" i="1"/>
  <c r="AQ122" i="1"/>
  <c r="AP122" i="1"/>
  <c r="AO122" i="1"/>
  <c r="AM122" i="1"/>
  <c r="AL122" i="1"/>
  <c r="AK122" i="1"/>
  <c r="AJ122" i="1"/>
  <c r="AI122" i="1"/>
  <c r="AG122" i="1"/>
  <c r="AD122" i="1"/>
  <c r="Z122" i="1"/>
  <c r="Y122" i="1"/>
  <c r="W122" i="1"/>
  <c r="V122" i="1"/>
  <c r="U122" i="1"/>
  <c r="S122" i="1"/>
  <c r="R122" i="1"/>
  <c r="Q122" i="1"/>
  <c r="P122" i="1"/>
  <c r="O122" i="1"/>
  <c r="N122" i="1"/>
  <c r="M122" i="1"/>
  <c r="L122" i="1"/>
  <c r="J122" i="1"/>
  <c r="I122" i="1"/>
  <c r="H122" i="1"/>
  <c r="G122" i="1"/>
  <c r="F122" i="1"/>
  <c r="E122" i="1"/>
  <c r="BO117" i="1"/>
  <c r="BN117" i="1"/>
  <c r="BM117" i="1"/>
  <c r="BL117" i="1"/>
  <c r="BK117" i="1"/>
  <c r="BJ117" i="1"/>
  <c r="BI117" i="1"/>
  <c r="BH117" i="1"/>
  <c r="BG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T117" i="1"/>
  <c r="S117" i="1"/>
  <c r="R117" i="1"/>
  <c r="Q117" i="1"/>
  <c r="P117" i="1"/>
  <c r="O117" i="1"/>
  <c r="N117" i="1"/>
  <c r="M117" i="1"/>
  <c r="L117" i="1"/>
  <c r="K117" i="1"/>
  <c r="J117" i="1"/>
  <c r="I117" i="1"/>
  <c r="H117" i="1"/>
  <c r="G117" i="1"/>
  <c r="F117" i="1"/>
  <c r="E117" i="1"/>
  <c r="D117" i="1"/>
  <c r="BO116" i="1"/>
  <c r="BN116" i="1"/>
  <c r="BM116" i="1"/>
  <c r="BL116" i="1"/>
  <c r="BK116" i="1"/>
  <c r="BJ116" i="1"/>
  <c r="BI116" i="1"/>
  <c r="BH116" i="1"/>
  <c r="BG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Q116" i="1"/>
  <c r="P116" i="1"/>
  <c r="O116" i="1"/>
  <c r="N116" i="1"/>
  <c r="M116" i="1"/>
  <c r="L116" i="1"/>
  <c r="K116" i="1"/>
  <c r="J116" i="1"/>
  <c r="I116" i="1"/>
  <c r="H116" i="1"/>
  <c r="G116" i="1"/>
  <c r="F116" i="1"/>
  <c r="E116" i="1"/>
  <c r="BO115" i="1"/>
  <c r="BN115" i="1"/>
  <c r="BM115" i="1"/>
  <c r="BL115" i="1"/>
  <c r="BK115" i="1"/>
  <c r="BJ115" i="1"/>
  <c r="BI115" i="1"/>
  <c r="BH115" i="1"/>
  <c r="BG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Q115" i="1"/>
  <c r="P115" i="1"/>
  <c r="O115" i="1"/>
  <c r="N115" i="1"/>
  <c r="M115" i="1"/>
  <c r="L115" i="1"/>
  <c r="K115" i="1"/>
  <c r="J115" i="1"/>
  <c r="I115" i="1"/>
  <c r="H115" i="1"/>
  <c r="G115" i="1"/>
  <c r="F115" i="1"/>
  <c r="E115" i="1"/>
  <c r="BO114" i="1"/>
  <c r="BN114" i="1"/>
  <c r="BM114" i="1"/>
  <c r="BL114" i="1"/>
  <c r="BK114" i="1"/>
  <c r="BJ114"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BO113" i="1"/>
  <c r="BN113" i="1"/>
  <c r="BM113" i="1"/>
  <c r="BL113" i="1"/>
  <c r="BK113" i="1"/>
  <c r="BJ113" i="1"/>
  <c r="BI113" i="1"/>
  <c r="BH113" i="1"/>
  <c r="BG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L113" i="1"/>
  <c r="K113" i="1"/>
  <c r="J113" i="1"/>
  <c r="I113" i="1"/>
  <c r="H113" i="1"/>
  <c r="G113" i="1"/>
  <c r="F113" i="1"/>
  <c r="E113" i="1"/>
  <c r="BO112" i="1"/>
  <c r="BN112" i="1"/>
  <c r="BM112" i="1"/>
  <c r="BL112" i="1"/>
  <c r="BK112" i="1"/>
  <c r="BJ112" i="1"/>
  <c r="BI112" i="1"/>
  <c r="BH112" i="1"/>
  <c r="BG112" i="1"/>
  <c r="BF112" i="1"/>
  <c r="BE112" i="1"/>
  <c r="BD112" i="1"/>
  <c r="BB112" i="1"/>
  <c r="BA112" i="1"/>
  <c r="AZ112" i="1"/>
  <c r="AY112" i="1"/>
  <c r="AX112" i="1"/>
  <c r="AV112" i="1"/>
  <c r="AU112" i="1"/>
  <c r="AT112" i="1"/>
  <c r="AS112" i="1"/>
  <c r="AR112" i="1"/>
  <c r="AQ112" i="1"/>
  <c r="AP112" i="1"/>
  <c r="AO112" i="1"/>
  <c r="AM112" i="1"/>
  <c r="AL112" i="1"/>
  <c r="AK112" i="1"/>
  <c r="AJ112" i="1"/>
  <c r="AI112" i="1"/>
  <c r="AG112" i="1"/>
  <c r="AD112" i="1"/>
  <c r="Z112" i="1"/>
  <c r="Y112" i="1"/>
  <c r="W112" i="1"/>
  <c r="V112" i="1"/>
  <c r="U112" i="1"/>
  <c r="BO111" i="1"/>
  <c r="BN111" i="1"/>
  <c r="BM111" i="1"/>
  <c r="BL111" i="1"/>
  <c r="BK111" i="1"/>
  <c r="BJ111" i="1"/>
  <c r="BI111" i="1"/>
  <c r="BH111" i="1"/>
  <c r="BG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A111" i="1"/>
  <c r="BO110" i="1"/>
  <c r="BN110" i="1"/>
  <c r="BM110" i="1"/>
  <c r="BL110" i="1"/>
  <c r="BK110" i="1"/>
  <c r="BJ110" i="1"/>
  <c r="BI110" i="1"/>
  <c r="BH110" i="1"/>
  <c r="BG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A110" i="1"/>
  <c r="BO109" i="1"/>
  <c r="BN109" i="1"/>
  <c r="BM109" i="1"/>
  <c r="BL109" i="1"/>
  <c r="BK109" i="1"/>
  <c r="BJ109" i="1"/>
  <c r="BI109" i="1"/>
  <c r="BH109" i="1"/>
  <c r="BG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A109" i="1"/>
  <c r="BO108" i="1"/>
  <c r="BN108" i="1"/>
  <c r="BM108" i="1"/>
  <c r="BL108" i="1"/>
  <c r="BK108" i="1"/>
  <c r="BJ108" i="1"/>
  <c r="BI108" i="1"/>
  <c r="BH108" i="1"/>
  <c r="BG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A108" i="1"/>
  <c r="BO107" i="1"/>
  <c r="BN107" i="1"/>
  <c r="BM107" i="1"/>
  <c r="BL107" i="1"/>
  <c r="BK107" i="1"/>
  <c r="BJ107" i="1"/>
  <c r="BI107" i="1"/>
  <c r="BH107" i="1"/>
  <c r="BG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A107" i="1"/>
  <c r="BO106" i="1"/>
  <c r="BN106" i="1"/>
  <c r="BM106" i="1"/>
  <c r="BL106" i="1"/>
  <c r="BK106" i="1"/>
  <c r="BJ106" i="1"/>
  <c r="BI106" i="1"/>
  <c r="BH106" i="1"/>
  <c r="BG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A106" i="1"/>
  <c r="BO105" i="1"/>
  <c r="BN105" i="1"/>
  <c r="BM105" i="1"/>
  <c r="BL105" i="1"/>
  <c r="BK105" i="1"/>
  <c r="BJ105" i="1"/>
  <c r="BI105" i="1"/>
  <c r="BH105" i="1"/>
  <c r="BG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A105"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BO103" i="1"/>
  <c r="BN103" i="1"/>
  <c r="BM103" i="1"/>
  <c r="BL103" i="1"/>
  <c r="BK103" i="1"/>
  <c r="BJ103" i="1"/>
  <c r="BI103" i="1"/>
  <c r="BH103" i="1"/>
  <c r="BG103" i="1"/>
  <c r="BF103" i="1"/>
  <c r="BE103" i="1"/>
  <c r="BD103" i="1"/>
  <c r="BB103" i="1"/>
  <c r="BA103" i="1"/>
  <c r="AZ103" i="1"/>
  <c r="AY103" i="1"/>
  <c r="AX103" i="1"/>
  <c r="AV103" i="1"/>
  <c r="AU103" i="1"/>
  <c r="AT103" i="1"/>
  <c r="AS103" i="1"/>
  <c r="AR103" i="1"/>
  <c r="AQ103" i="1"/>
  <c r="AP103" i="1"/>
  <c r="AO103" i="1"/>
  <c r="AM103" i="1"/>
  <c r="AL103" i="1"/>
  <c r="AK103" i="1"/>
  <c r="AJ103" i="1"/>
  <c r="AI103" i="1"/>
  <c r="AG103" i="1"/>
  <c r="AD103" i="1"/>
  <c r="Z103" i="1"/>
  <c r="Y103" i="1"/>
  <c r="W103" i="1"/>
  <c r="V103" i="1"/>
  <c r="U103" i="1"/>
  <c r="S103" i="1"/>
  <c r="R103" i="1"/>
  <c r="Q103" i="1"/>
  <c r="P103" i="1"/>
  <c r="O103" i="1"/>
  <c r="N103" i="1"/>
  <c r="M103" i="1"/>
  <c r="L103" i="1"/>
  <c r="J103" i="1"/>
  <c r="I103" i="1"/>
  <c r="H103" i="1"/>
  <c r="G103" i="1"/>
  <c r="F103" i="1"/>
  <c r="E103" i="1"/>
  <c r="A102"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A101" i="1"/>
  <c r="A100"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A99" i="1"/>
  <c r="A98" i="1"/>
  <c r="A97"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A96"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A95" i="1"/>
  <c r="A94" i="1"/>
  <c r="A90" i="1"/>
  <c r="A89" i="1"/>
  <c r="A88" i="1"/>
  <c r="A87" i="1"/>
  <c r="A86" i="1"/>
  <c r="A85" i="1"/>
  <c r="A84"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D83" i="1"/>
  <c r="A83"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A79" i="1"/>
  <c r="A78" i="1"/>
  <c r="A77"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D74" i="1"/>
  <c r="A74"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A73"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A72"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A71" i="1"/>
  <c r="A70" i="1"/>
  <c r="A69" i="1"/>
  <c r="A68" i="1"/>
  <c r="BO66" i="1"/>
  <c r="BN66" i="1"/>
  <c r="BM66" i="1"/>
  <c r="BL66" i="1"/>
  <c r="BK66" i="1"/>
  <c r="BJ66" i="1"/>
  <c r="BI66" i="1"/>
  <c r="BH66" i="1"/>
  <c r="BG66" i="1"/>
  <c r="BF66" i="1"/>
  <c r="BE66" i="1"/>
  <c r="BD66" i="1"/>
  <c r="BB66" i="1"/>
  <c r="BA66" i="1"/>
  <c r="AZ66" i="1"/>
  <c r="AY66" i="1"/>
  <c r="AX66" i="1"/>
  <c r="AV66" i="1"/>
  <c r="AU66" i="1"/>
  <c r="AT66" i="1"/>
  <c r="AS66" i="1"/>
  <c r="AR66" i="1"/>
  <c r="AQ66" i="1"/>
  <c r="AP66" i="1"/>
  <c r="AO66" i="1"/>
  <c r="AM66" i="1"/>
  <c r="AL66" i="1"/>
  <c r="AK66" i="1"/>
  <c r="AJ66" i="1"/>
  <c r="AI66" i="1"/>
  <c r="AG66" i="1"/>
  <c r="AD66" i="1"/>
  <c r="Z66" i="1"/>
  <c r="Y66" i="1"/>
  <c r="W66" i="1"/>
  <c r="V66" i="1"/>
  <c r="U66" i="1"/>
  <c r="S66" i="1"/>
  <c r="R66" i="1"/>
  <c r="Q66" i="1"/>
  <c r="P66" i="1"/>
  <c r="O66" i="1"/>
  <c r="N66" i="1"/>
  <c r="M66" i="1"/>
  <c r="L66" i="1"/>
  <c r="J66" i="1"/>
  <c r="I66" i="1"/>
  <c r="H66" i="1"/>
  <c r="G66" i="1"/>
  <c r="F66" i="1"/>
  <c r="E66" i="1"/>
  <c r="BO65" i="1"/>
  <c r="BN65" i="1"/>
  <c r="BM65" i="1"/>
  <c r="BL65" i="1"/>
  <c r="BK65" i="1"/>
  <c r="BJ65" i="1"/>
  <c r="BI65" i="1"/>
  <c r="BH65" i="1"/>
  <c r="BG65" i="1"/>
  <c r="BF65" i="1"/>
  <c r="BE65" i="1"/>
  <c r="BD65" i="1"/>
  <c r="BB65" i="1"/>
  <c r="BA65" i="1"/>
  <c r="AZ65" i="1"/>
  <c r="AY65" i="1"/>
  <c r="AX65" i="1"/>
  <c r="AV65" i="1"/>
  <c r="AU65" i="1"/>
  <c r="AT65" i="1"/>
  <c r="AS65" i="1"/>
  <c r="AR65" i="1"/>
  <c r="AQ65" i="1"/>
  <c r="AP65" i="1"/>
  <c r="AO65" i="1"/>
  <c r="AM65" i="1"/>
  <c r="AL65" i="1"/>
  <c r="AK65" i="1"/>
  <c r="AJ65" i="1"/>
  <c r="AI65" i="1"/>
  <c r="AG65" i="1"/>
  <c r="AD65" i="1"/>
  <c r="Z65" i="1"/>
  <c r="Y65" i="1"/>
  <c r="W65" i="1"/>
  <c r="V65" i="1"/>
  <c r="U65" i="1"/>
  <c r="S65" i="1"/>
  <c r="R65" i="1"/>
  <c r="Q65" i="1"/>
  <c r="P65" i="1"/>
  <c r="O65" i="1"/>
  <c r="N65" i="1"/>
  <c r="M65" i="1"/>
  <c r="L65" i="1"/>
  <c r="J65" i="1"/>
  <c r="I65" i="1"/>
  <c r="H65" i="1"/>
  <c r="G65" i="1"/>
  <c r="F65" i="1"/>
  <c r="E65" i="1"/>
  <c r="BO63" i="1"/>
  <c r="BN63" i="1"/>
  <c r="BM63" i="1"/>
  <c r="BL63" i="1"/>
  <c r="BK63" i="1"/>
  <c r="BJ63" i="1"/>
  <c r="BI63" i="1"/>
  <c r="BH63" i="1"/>
  <c r="BG63" i="1"/>
  <c r="BF63" i="1"/>
  <c r="BE63" i="1"/>
  <c r="BD63" i="1"/>
  <c r="BB63" i="1"/>
  <c r="BA63" i="1"/>
  <c r="AZ63" i="1"/>
  <c r="AY63" i="1"/>
  <c r="AX63" i="1"/>
  <c r="AV63" i="1"/>
  <c r="AU63" i="1"/>
  <c r="AT63" i="1"/>
  <c r="AS63" i="1"/>
  <c r="AR63" i="1"/>
  <c r="AQ63" i="1"/>
  <c r="AP63" i="1"/>
  <c r="AO63" i="1"/>
  <c r="AM63" i="1"/>
  <c r="AL63" i="1"/>
  <c r="AK63" i="1"/>
  <c r="AJ63" i="1"/>
  <c r="AI63" i="1"/>
  <c r="AG63" i="1"/>
  <c r="AD63" i="1"/>
  <c r="Z63" i="1"/>
  <c r="Y63" i="1"/>
  <c r="W63" i="1"/>
  <c r="V63" i="1"/>
  <c r="U63" i="1"/>
  <c r="S63" i="1"/>
  <c r="R63" i="1"/>
  <c r="Q63" i="1"/>
  <c r="P63" i="1"/>
  <c r="O63" i="1"/>
  <c r="N63" i="1"/>
  <c r="M63" i="1"/>
  <c r="L63" i="1"/>
  <c r="J63" i="1"/>
  <c r="I63" i="1"/>
  <c r="H63" i="1"/>
  <c r="G63" i="1"/>
  <c r="F63" i="1"/>
  <c r="E63" i="1"/>
  <c r="A63" i="1"/>
  <c r="BO62" i="1"/>
  <c r="BN62" i="1"/>
  <c r="BM62" i="1"/>
  <c r="BL62" i="1"/>
  <c r="BK62" i="1"/>
  <c r="BJ62" i="1"/>
  <c r="BI62" i="1"/>
  <c r="BH62" i="1"/>
  <c r="BG62" i="1"/>
  <c r="BF62" i="1"/>
  <c r="BE62" i="1"/>
  <c r="BD62" i="1"/>
  <c r="BB62" i="1"/>
  <c r="BA62" i="1"/>
  <c r="AZ62" i="1"/>
  <c r="AY62" i="1"/>
  <c r="AX62" i="1"/>
  <c r="AV62" i="1"/>
  <c r="AU62" i="1"/>
  <c r="AT62" i="1"/>
  <c r="AS62" i="1"/>
  <c r="AR62" i="1"/>
  <c r="AQ62" i="1"/>
  <c r="AP62" i="1"/>
  <c r="AO62" i="1"/>
  <c r="AM62" i="1"/>
  <c r="AL62" i="1"/>
  <c r="AK62" i="1"/>
  <c r="AJ62" i="1"/>
  <c r="AI62" i="1"/>
  <c r="AG62" i="1"/>
  <c r="AD62" i="1"/>
  <c r="Z62" i="1"/>
  <c r="Y62" i="1"/>
  <c r="W62" i="1"/>
  <c r="V62" i="1"/>
  <c r="U62" i="1"/>
  <c r="S62" i="1"/>
  <c r="R62" i="1"/>
  <c r="Q62" i="1"/>
  <c r="P62" i="1"/>
  <c r="O62" i="1"/>
  <c r="N62" i="1"/>
  <c r="M62" i="1"/>
  <c r="L62" i="1"/>
  <c r="J62" i="1"/>
  <c r="I62" i="1"/>
  <c r="H62" i="1"/>
  <c r="G62" i="1"/>
  <c r="F62" i="1"/>
  <c r="E62" i="1"/>
  <c r="BO61" i="1"/>
  <c r="BN61" i="1"/>
  <c r="BM61" i="1"/>
  <c r="BL61" i="1"/>
  <c r="BK61" i="1"/>
  <c r="BJ61" i="1"/>
  <c r="BI61" i="1"/>
  <c r="BH61" i="1"/>
  <c r="BG61" i="1"/>
  <c r="BF61" i="1"/>
  <c r="BE61" i="1"/>
  <c r="BD61" i="1"/>
  <c r="BB61" i="1"/>
  <c r="BA61" i="1"/>
  <c r="AZ61" i="1"/>
  <c r="AY61" i="1"/>
  <c r="AX61" i="1"/>
  <c r="AV61" i="1"/>
  <c r="AU61" i="1"/>
  <c r="AT61" i="1"/>
  <c r="AS61" i="1"/>
  <c r="AR61" i="1"/>
  <c r="AQ61" i="1"/>
  <c r="AP61" i="1"/>
  <c r="AO61" i="1"/>
  <c r="AM61" i="1"/>
  <c r="AL61" i="1"/>
  <c r="AK61" i="1"/>
  <c r="AJ61" i="1"/>
  <c r="AI61" i="1"/>
  <c r="AG61" i="1"/>
  <c r="AD61" i="1"/>
  <c r="Z61" i="1"/>
  <c r="Y61" i="1"/>
  <c r="W61" i="1"/>
  <c r="V61" i="1"/>
  <c r="U61" i="1"/>
  <c r="S61" i="1"/>
  <c r="R61" i="1"/>
  <c r="Q61" i="1"/>
  <c r="P61" i="1"/>
  <c r="O61" i="1"/>
  <c r="N61" i="1"/>
  <c r="M61" i="1"/>
  <c r="L61" i="1"/>
  <c r="J61" i="1"/>
  <c r="I61" i="1"/>
  <c r="H61" i="1"/>
  <c r="G61" i="1"/>
  <c r="F61" i="1"/>
  <c r="E61" i="1"/>
  <c r="BO60" i="1"/>
  <c r="BN60" i="1"/>
  <c r="BM60" i="1"/>
  <c r="BL60" i="1"/>
  <c r="BK60" i="1"/>
  <c r="BJ60" i="1"/>
  <c r="BI60" i="1"/>
  <c r="BH60" i="1"/>
  <c r="BG60" i="1"/>
  <c r="BF60" i="1"/>
  <c r="BE60" i="1"/>
  <c r="BD60" i="1"/>
  <c r="BB60" i="1"/>
  <c r="BA60" i="1"/>
  <c r="AZ60" i="1"/>
  <c r="AY60" i="1"/>
  <c r="AX60" i="1"/>
  <c r="AV60" i="1"/>
  <c r="AU60" i="1"/>
  <c r="AT60" i="1"/>
  <c r="AS60" i="1"/>
  <c r="AR60" i="1"/>
  <c r="AQ60" i="1"/>
  <c r="AP60" i="1"/>
  <c r="AO60" i="1"/>
  <c r="AM60" i="1"/>
  <c r="AL60" i="1"/>
  <c r="AK60" i="1"/>
  <c r="AJ60" i="1"/>
  <c r="AI60" i="1"/>
  <c r="AG60" i="1"/>
  <c r="AD60" i="1"/>
  <c r="Z60" i="1"/>
  <c r="Y60" i="1"/>
  <c r="W60" i="1"/>
  <c r="V60" i="1"/>
  <c r="U60" i="1"/>
  <c r="S60" i="1"/>
  <c r="R60" i="1"/>
  <c r="Q60" i="1"/>
  <c r="P60" i="1"/>
  <c r="O60" i="1"/>
  <c r="N60" i="1"/>
  <c r="M60" i="1"/>
  <c r="L60" i="1"/>
  <c r="J60" i="1"/>
  <c r="I60" i="1"/>
  <c r="H60" i="1"/>
  <c r="G60" i="1"/>
  <c r="F60" i="1"/>
  <c r="E60" i="1"/>
  <c r="BO59" i="1"/>
  <c r="BN59" i="1"/>
  <c r="BM59" i="1"/>
  <c r="BL59" i="1"/>
  <c r="BK59" i="1"/>
  <c r="BJ59" i="1"/>
  <c r="BI59" i="1"/>
  <c r="BH59" i="1"/>
  <c r="BG59" i="1"/>
  <c r="BF59" i="1"/>
  <c r="BE59" i="1"/>
  <c r="BD59" i="1"/>
  <c r="BB59" i="1"/>
  <c r="BA59" i="1"/>
  <c r="AZ59" i="1"/>
  <c r="AY59" i="1"/>
  <c r="AX59" i="1"/>
  <c r="AV59" i="1"/>
  <c r="AU59" i="1"/>
  <c r="AT59" i="1"/>
  <c r="AS59" i="1"/>
  <c r="AR59" i="1"/>
  <c r="AQ59" i="1"/>
  <c r="AP59" i="1"/>
  <c r="AO59" i="1"/>
  <c r="AM59" i="1"/>
  <c r="AL59" i="1"/>
  <c r="AK59" i="1"/>
  <c r="AJ59" i="1"/>
  <c r="AI59" i="1"/>
  <c r="AG59" i="1"/>
  <c r="AD59" i="1"/>
  <c r="Z59" i="1"/>
  <c r="Y59" i="1"/>
  <c r="W59" i="1"/>
  <c r="V59" i="1"/>
  <c r="U59" i="1"/>
  <c r="S59" i="1"/>
  <c r="R59" i="1"/>
  <c r="Q59" i="1"/>
  <c r="P59" i="1"/>
  <c r="O59" i="1"/>
  <c r="N59" i="1"/>
  <c r="M59" i="1"/>
  <c r="L59" i="1"/>
  <c r="J59" i="1"/>
  <c r="I59" i="1"/>
  <c r="H59" i="1"/>
  <c r="G59" i="1"/>
  <c r="F59" i="1"/>
  <c r="E59" i="1"/>
  <c r="A59"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A57" i="1"/>
  <c r="BO53" i="1"/>
  <c r="BN53" i="1"/>
  <c r="BM53" i="1"/>
  <c r="BL53" i="1"/>
  <c r="BK53" i="1"/>
  <c r="BJ53" i="1"/>
  <c r="BI53" i="1"/>
  <c r="BH53" i="1"/>
  <c r="BG53" i="1"/>
  <c r="BF53" i="1"/>
  <c r="BE53" i="1"/>
  <c r="BD53" i="1"/>
  <c r="BB53" i="1"/>
  <c r="BA53" i="1"/>
  <c r="AZ53" i="1"/>
  <c r="AY53" i="1"/>
  <c r="AX53" i="1"/>
  <c r="AV53" i="1"/>
  <c r="AU53" i="1"/>
  <c r="AT53" i="1"/>
  <c r="AS53" i="1"/>
  <c r="AR53" i="1"/>
  <c r="AQ53" i="1"/>
  <c r="AP53" i="1"/>
  <c r="AO53" i="1"/>
  <c r="AM53" i="1"/>
  <c r="AL53" i="1"/>
  <c r="AK53" i="1"/>
  <c r="AJ53" i="1"/>
  <c r="AI53" i="1"/>
  <c r="AG53" i="1"/>
  <c r="AD53" i="1"/>
  <c r="Z53" i="1"/>
  <c r="Y53" i="1"/>
  <c r="W53" i="1"/>
  <c r="V53" i="1"/>
  <c r="U53" i="1"/>
  <c r="S53" i="1"/>
  <c r="R53" i="1"/>
  <c r="Q53" i="1"/>
  <c r="P53" i="1"/>
  <c r="O53" i="1"/>
  <c r="N53" i="1"/>
  <c r="M53" i="1"/>
  <c r="L53" i="1"/>
  <c r="J53" i="1"/>
  <c r="I53" i="1"/>
  <c r="H53" i="1"/>
  <c r="G53" i="1"/>
  <c r="F53" i="1"/>
  <c r="E53" i="1"/>
  <c r="BO52" i="1"/>
  <c r="BN52" i="1"/>
  <c r="BM52" i="1"/>
  <c r="BL52" i="1"/>
  <c r="BK52" i="1"/>
  <c r="BJ52" i="1"/>
  <c r="BI52" i="1"/>
  <c r="BH52" i="1"/>
  <c r="BG52" i="1"/>
  <c r="BF52" i="1"/>
  <c r="BE52" i="1"/>
  <c r="BD52" i="1"/>
  <c r="BB52" i="1"/>
  <c r="BA52" i="1"/>
  <c r="AZ52" i="1"/>
  <c r="AY52" i="1"/>
  <c r="AX52" i="1"/>
  <c r="AV52" i="1"/>
  <c r="AU52" i="1"/>
  <c r="AT52" i="1"/>
  <c r="AS52" i="1"/>
  <c r="AR52" i="1"/>
  <c r="AQ52" i="1"/>
  <c r="AP52" i="1"/>
  <c r="AO52" i="1"/>
  <c r="AM52" i="1"/>
  <c r="AL52" i="1"/>
  <c r="AK52" i="1"/>
  <c r="AJ52" i="1"/>
  <c r="AI52" i="1"/>
  <c r="AG52" i="1"/>
  <c r="AD52" i="1"/>
  <c r="Z52" i="1"/>
  <c r="Y52" i="1"/>
  <c r="W52" i="1"/>
  <c r="V52" i="1"/>
  <c r="U52" i="1"/>
  <c r="S52" i="1"/>
  <c r="R52" i="1"/>
  <c r="Q52" i="1"/>
  <c r="P52" i="1"/>
  <c r="O52" i="1"/>
  <c r="N52" i="1"/>
  <c r="M52" i="1"/>
  <c r="L52" i="1"/>
  <c r="J52" i="1"/>
  <c r="I52" i="1"/>
  <c r="H52" i="1"/>
  <c r="G52" i="1"/>
  <c r="F52" i="1"/>
  <c r="E52" i="1"/>
  <c r="A52" i="1"/>
  <c r="BO51" i="1"/>
  <c r="BN51" i="1"/>
  <c r="BM51" i="1"/>
  <c r="BL51" i="1"/>
  <c r="BK51" i="1"/>
  <c r="BJ51" i="1"/>
  <c r="BI51" i="1"/>
  <c r="BH51" i="1"/>
  <c r="BG51" i="1"/>
  <c r="BF51" i="1"/>
  <c r="BE51" i="1"/>
  <c r="BD51" i="1"/>
  <c r="BB51" i="1"/>
  <c r="BA51" i="1"/>
  <c r="AZ51" i="1"/>
  <c r="AY51" i="1"/>
  <c r="AX51" i="1"/>
  <c r="AV51" i="1"/>
  <c r="AU51" i="1"/>
  <c r="AT51" i="1"/>
  <c r="AS51" i="1"/>
  <c r="AR51" i="1"/>
  <c r="AQ51" i="1"/>
  <c r="AP51" i="1"/>
  <c r="AO51" i="1"/>
  <c r="AM51" i="1"/>
  <c r="AL51" i="1"/>
  <c r="AK51" i="1"/>
  <c r="AJ51" i="1"/>
  <c r="AI51" i="1"/>
  <c r="AG51" i="1"/>
  <c r="AD51" i="1"/>
  <c r="Z51" i="1"/>
  <c r="Y51" i="1"/>
  <c r="W51" i="1"/>
  <c r="V51" i="1"/>
  <c r="U51" i="1"/>
  <c r="S51" i="1"/>
  <c r="R51" i="1"/>
  <c r="Q51" i="1"/>
  <c r="P51" i="1"/>
  <c r="O51" i="1"/>
  <c r="N51" i="1"/>
  <c r="M51" i="1"/>
  <c r="L51" i="1"/>
  <c r="J51" i="1"/>
  <c r="I51" i="1"/>
  <c r="H51" i="1"/>
  <c r="G51" i="1"/>
  <c r="F51" i="1"/>
  <c r="E51" i="1"/>
  <c r="A51" i="1"/>
  <c r="BO50" i="1"/>
  <c r="BN50" i="1"/>
  <c r="BM50" i="1"/>
  <c r="BL50" i="1"/>
  <c r="BK50" i="1"/>
  <c r="BJ50" i="1"/>
  <c r="BI50" i="1"/>
  <c r="BH50" i="1"/>
  <c r="BG50" i="1"/>
  <c r="BF50" i="1"/>
  <c r="BE50" i="1"/>
  <c r="BD50" i="1"/>
  <c r="BB50" i="1"/>
  <c r="BA50" i="1"/>
  <c r="AZ50" i="1"/>
  <c r="AY50" i="1"/>
  <c r="AX50" i="1"/>
  <c r="AV50" i="1"/>
  <c r="AU50" i="1"/>
  <c r="AT50" i="1"/>
  <c r="AS50" i="1"/>
  <c r="AR50" i="1"/>
  <c r="AQ50" i="1"/>
  <c r="AP50" i="1"/>
  <c r="AO50" i="1"/>
  <c r="AM50" i="1"/>
  <c r="AL50" i="1"/>
  <c r="AK50" i="1"/>
  <c r="AJ50" i="1"/>
  <c r="AI50" i="1"/>
  <c r="AG50" i="1"/>
  <c r="AD50" i="1"/>
  <c r="Z50" i="1"/>
  <c r="Y50" i="1"/>
  <c r="W50" i="1"/>
  <c r="V50" i="1"/>
  <c r="U50" i="1"/>
  <c r="S50" i="1"/>
  <c r="R50" i="1"/>
  <c r="Q50" i="1"/>
  <c r="P50" i="1"/>
  <c r="O50" i="1"/>
  <c r="N50" i="1"/>
  <c r="M50" i="1"/>
  <c r="L50" i="1"/>
  <c r="J50" i="1"/>
  <c r="I50" i="1"/>
  <c r="H50" i="1"/>
  <c r="G50" i="1"/>
  <c r="F50" i="1"/>
  <c r="E50" i="1"/>
  <c r="A50" i="1"/>
  <c r="BO49" i="1"/>
  <c r="BN49" i="1"/>
  <c r="BM49" i="1"/>
  <c r="BL49" i="1"/>
  <c r="BK49" i="1"/>
  <c r="BJ49" i="1"/>
  <c r="BI49" i="1"/>
  <c r="BH49" i="1"/>
  <c r="BG49" i="1"/>
  <c r="BF49" i="1"/>
  <c r="BE49" i="1"/>
  <c r="BD49" i="1"/>
  <c r="BB49" i="1"/>
  <c r="BA49" i="1"/>
  <c r="AZ49" i="1"/>
  <c r="AY49" i="1"/>
  <c r="AX49" i="1"/>
  <c r="AV49" i="1"/>
  <c r="AU49" i="1"/>
  <c r="AT49" i="1"/>
  <c r="AS49" i="1"/>
  <c r="AR49" i="1"/>
  <c r="AQ49" i="1"/>
  <c r="AP49" i="1"/>
  <c r="AO49" i="1"/>
  <c r="AM49" i="1"/>
  <c r="AL49" i="1"/>
  <c r="AK49" i="1"/>
  <c r="AJ49" i="1"/>
  <c r="AI49" i="1"/>
  <c r="AG49" i="1"/>
  <c r="AD49" i="1"/>
  <c r="Z49" i="1"/>
  <c r="Y49" i="1"/>
  <c r="W49" i="1"/>
  <c r="V49" i="1"/>
  <c r="U49" i="1"/>
  <c r="S49" i="1"/>
  <c r="R49" i="1"/>
  <c r="Q49" i="1"/>
  <c r="P49" i="1"/>
  <c r="O49" i="1"/>
  <c r="N49" i="1"/>
  <c r="M49" i="1"/>
  <c r="L49" i="1"/>
  <c r="J49" i="1"/>
  <c r="I49" i="1"/>
  <c r="H49" i="1"/>
  <c r="G49" i="1"/>
  <c r="F49" i="1"/>
  <c r="E49" i="1"/>
  <c r="A49" i="1"/>
  <c r="BO48" i="1"/>
  <c r="BN48" i="1"/>
  <c r="BM48" i="1"/>
  <c r="BL48" i="1"/>
  <c r="BK48" i="1"/>
  <c r="BJ48" i="1"/>
  <c r="BI48" i="1"/>
  <c r="BH48" i="1"/>
  <c r="BG48" i="1"/>
  <c r="BF48" i="1"/>
  <c r="BE48" i="1"/>
  <c r="BD48" i="1"/>
  <c r="BB48" i="1"/>
  <c r="BA48" i="1"/>
  <c r="AZ48" i="1"/>
  <c r="AY48" i="1"/>
  <c r="AX48" i="1"/>
  <c r="AV48" i="1"/>
  <c r="AU48" i="1"/>
  <c r="AT48" i="1"/>
  <c r="AS48" i="1"/>
  <c r="AR48" i="1"/>
  <c r="AQ48" i="1"/>
  <c r="AP48" i="1"/>
  <c r="AO48" i="1"/>
  <c r="AM48" i="1"/>
  <c r="AL48" i="1"/>
  <c r="AK48" i="1"/>
  <c r="AJ48" i="1"/>
  <c r="AI48" i="1"/>
  <c r="AG48" i="1"/>
  <c r="AD48" i="1"/>
  <c r="Z48" i="1"/>
  <c r="Y48" i="1"/>
  <c r="W48" i="1"/>
  <c r="V48" i="1"/>
  <c r="U48" i="1"/>
  <c r="S48" i="1"/>
  <c r="R48" i="1"/>
  <c r="Q48" i="1"/>
  <c r="P48" i="1"/>
  <c r="O48" i="1"/>
  <c r="N48" i="1"/>
  <c r="M48" i="1"/>
  <c r="L48" i="1"/>
  <c r="J48" i="1"/>
  <c r="I48" i="1"/>
  <c r="H48" i="1"/>
  <c r="G48" i="1"/>
  <c r="F48" i="1"/>
  <c r="E48" i="1"/>
  <c r="A48" i="1"/>
  <c r="BO47" i="1"/>
  <c r="BN47" i="1"/>
  <c r="BM47" i="1"/>
  <c r="BL47" i="1"/>
  <c r="BK47" i="1"/>
  <c r="BJ47" i="1"/>
  <c r="BI47" i="1"/>
  <c r="BH47" i="1"/>
  <c r="BG47" i="1"/>
  <c r="BF47" i="1"/>
  <c r="BE47" i="1"/>
  <c r="BD47" i="1"/>
  <c r="BB47" i="1"/>
  <c r="BA47" i="1"/>
  <c r="AZ47" i="1"/>
  <c r="AY47" i="1"/>
  <c r="AX47" i="1"/>
  <c r="AV47" i="1"/>
  <c r="AU47" i="1"/>
  <c r="AT47" i="1"/>
  <c r="AS47" i="1"/>
  <c r="AR47" i="1"/>
  <c r="AQ47" i="1"/>
  <c r="AP47" i="1"/>
  <c r="AO47" i="1"/>
  <c r="AM47" i="1"/>
  <c r="AL47" i="1"/>
  <c r="AK47" i="1"/>
  <c r="AJ47" i="1"/>
  <c r="AI47" i="1"/>
  <c r="AG47" i="1"/>
  <c r="AD47" i="1"/>
  <c r="Z47" i="1"/>
  <c r="Y47" i="1"/>
  <c r="W47" i="1"/>
  <c r="V47" i="1"/>
  <c r="U47" i="1"/>
  <c r="S47" i="1"/>
  <c r="R47" i="1"/>
  <c r="Q47" i="1"/>
  <c r="P47" i="1"/>
  <c r="O47" i="1"/>
  <c r="N47" i="1"/>
  <c r="M47" i="1"/>
  <c r="L47" i="1"/>
  <c r="J47" i="1"/>
  <c r="I47" i="1"/>
  <c r="H47" i="1"/>
  <c r="G47" i="1"/>
  <c r="F47" i="1"/>
  <c r="E47" i="1"/>
  <c r="A47" i="1"/>
  <c r="BO46" i="1"/>
  <c r="BN46" i="1"/>
  <c r="BM46" i="1"/>
  <c r="BL46" i="1"/>
  <c r="BK46" i="1"/>
  <c r="BJ46" i="1"/>
  <c r="BI46" i="1"/>
  <c r="BH46" i="1"/>
  <c r="BG46" i="1"/>
  <c r="BF46" i="1"/>
  <c r="BE46" i="1"/>
  <c r="BD46" i="1"/>
  <c r="BB46" i="1"/>
  <c r="BA46" i="1"/>
  <c r="AZ46" i="1"/>
  <c r="AY46" i="1"/>
  <c r="AX46" i="1"/>
  <c r="AV46" i="1"/>
  <c r="AU46" i="1"/>
  <c r="AT46" i="1"/>
  <c r="AS46" i="1"/>
  <c r="AR46" i="1"/>
  <c r="AQ46" i="1"/>
  <c r="AP46" i="1"/>
  <c r="AO46" i="1"/>
  <c r="AM46" i="1"/>
  <c r="AL46" i="1"/>
  <c r="AK46" i="1"/>
  <c r="AJ46" i="1"/>
  <c r="AI46" i="1"/>
  <c r="AG46" i="1"/>
  <c r="AD46" i="1"/>
  <c r="Z46" i="1"/>
  <c r="Y46" i="1"/>
  <c r="W46" i="1"/>
  <c r="V46" i="1"/>
  <c r="U46" i="1"/>
  <c r="S46" i="1"/>
  <c r="R46" i="1"/>
  <c r="Q46" i="1"/>
  <c r="P46" i="1"/>
  <c r="O46" i="1"/>
  <c r="N46" i="1"/>
  <c r="M46" i="1"/>
  <c r="L46" i="1"/>
  <c r="J46" i="1"/>
  <c r="I46" i="1"/>
  <c r="H46" i="1"/>
  <c r="G46" i="1"/>
  <c r="F46" i="1"/>
  <c r="E46" i="1"/>
  <c r="A46" i="1"/>
  <c r="BO45" i="1"/>
  <c r="BN45" i="1"/>
  <c r="BM45" i="1"/>
  <c r="BL45" i="1"/>
  <c r="BK45" i="1"/>
  <c r="BJ45" i="1"/>
  <c r="BI45" i="1"/>
  <c r="BH45" i="1"/>
  <c r="BG45" i="1"/>
  <c r="BF45" i="1"/>
  <c r="BE45" i="1"/>
  <c r="BD45" i="1"/>
  <c r="BB45" i="1"/>
  <c r="BA45" i="1"/>
  <c r="AZ45" i="1"/>
  <c r="AY45" i="1"/>
  <c r="AX45" i="1"/>
  <c r="AV45" i="1"/>
  <c r="AU45" i="1"/>
  <c r="AT45" i="1"/>
  <c r="AS45" i="1"/>
  <c r="AR45" i="1"/>
  <c r="AQ45" i="1"/>
  <c r="AP45" i="1"/>
  <c r="AO45" i="1"/>
  <c r="AM45" i="1"/>
  <c r="AL45" i="1"/>
  <c r="AK45" i="1"/>
  <c r="AJ45" i="1"/>
  <c r="AI45" i="1"/>
  <c r="AG45" i="1"/>
  <c r="AD45" i="1"/>
  <c r="Z45" i="1"/>
  <c r="Y45" i="1"/>
  <c r="W45" i="1"/>
  <c r="V45" i="1"/>
  <c r="U45" i="1"/>
  <c r="S45" i="1"/>
  <c r="R45" i="1"/>
  <c r="Q45" i="1"/>
  <c r="P45" i="1"/>
  <c r="O45" i="1"/>
  <c r="N45" i="1"/>
  <c r="M45" i="1"/>
  <c r="L45" i="1"/>
  <c r="J45" i="1"/>
  <c r="I45" i="1"/>
  <c r="H45" i="1"/>
  <c r="G45" i="1"/>
  <c r="F45" i="1"/>
  <c r="E45" i="1"/>
  <c r="BO44" i="1"/>
  <c r="BN44" i="1"/>
  <c r="BM44" i="1"/>
  <c r="BL44" i="1"/>
  <c r="BK44" i="1"/>
  <c r="BJ44" i="1"/>
  <c r="BI44" i="1"/>
  <c r="BH44" i="1"/>
  <c r="BG44" i="1"/>
  <c r="BF44" i="1"/>
  <c r="BE44" i="1"/>
  <c r="BD44" i="1"/>
  <c r="BB44" i="1"/>
  <c r="BA44" i="1"/>
  <c r="AZ44" i="1"/>
  <c r="AY44" i="1"/>
  <c r="AX44" i="1"/>
  <c r="AV44" i="1"/>
  <c r="AU44" i="1"/>
  <c r="AT44" i="1"/>
  <c r="AS44" i="1"/>
  <c r="AR44" i="1"/>
  <c r="AQ44" i="1"/>
  <c r="AP44" i="1"/>
  <c r="AO44" i="1"/>
  <c r="AM44" i="1"/>
  <c r="AL44" i="1"/>
  <c r="AK44" i="1"/>
  <c r="AJ44" i="1"/>
  <c r="AI44" i="1"/>
  <c r="AG44" i="1"/>
  <c r="AD44" i="1"/>
  <c r="Z44" i="1"/>
  <c r="Y44" i="1"/>
  <c r="W44" i="1"/>
  <c r="V44" i="1"/>
  <c r="U44" i="1"/>
  <c r="S44" i="1"/>
  <c r="R44" i="1"/>
  <c r="Q44" i="1"/>
  <c r="P44" i="1"/>
  <c r="O44" i="1"/>
  <c r="N44" i="1"/>
  <c r="M44" i="1"/>
  <c r="L44" i="1"/>
  <c r="J44" i="1"/>
  <c r="I44" i="1"/>
  <c r="H44" i="1"/>
  <c r="G44" i="1"/>
  <c r="F44" i="1"/>
  <c r="E44" i="1"/>
  <c r="A43" i="1"/>
  <c r="A42" i="1"/>
  <c r="A41" i="1"/>
  <c r="A40" i="1"/>
  <c r="A39" i="1"/>
  <c r="A38"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A37"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A36" i="1"/>
  <c r="A35" i="1"/>
  <c r="A31" i="1"/>
  <c r="A30" i="1"/>
  <c r="A29" i="1"/>
  <c r="A28" i="1"/>
  <c r="A27" i="1"/>
  <c r="A26" i="1"/>
  <c r="A25"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A18"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A17"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A16" i="1"/>
  <c r="A15" i="1"/>
  <c r="A14" i="1"/>
  <c r="A13" i="1"/>
  <c r="A12"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E11" i="1"/>
  <c r="D11" i="1"/>
  <c r="A11" i="1"/>
  <c r="A10" i="1"/>
  <c r="A9" i="1"/>
  <c r="A8" i="1"/>
  <c r="BO4" i="1"/>
  <c r="BN4" i="1"/>
  <c r="BM4" i="1"/>
  <c r="BL4" i="1"/>
  <c r="BK4" i="1"/>
  <c r="BJ4" i="1"/>
  <c r="BI4" i="1"/>
  <c r="BH4" i="1"/>
  <c r="BG4" i="1"/>
  <c r="BF4" i="1"/>
  <c r="BE4" i="1"/>
  <c r="AZ4" i="1"/>
  <c r="AY4" i="1"/>
  <c r="AW4" i="1"/>
  <c r="AV4" i="1"/>
  <c r="AU4" i="1"/>
  <c r="Z4" i="1"/>
  <c r="Y4" i="1"/>
  <c r="X4" i="1"/>
  <c r="G4" i="1"/>
  <c r="A199" i="23"/>
  <c r="Z197" i="23"/>
  <c r="Y197" i="23"/>
  <c r="BO196" i="23"/>
  <c r="BN196" i="23"/>
  <c r="BM196" i="23"/>
  <c r="BL196" i="23"/>
  <c r="BK196" i="23"/>
  <c r="BJ196" i="23"/>
  <c r="BI196" i="23"/>
  <c r="BH196" i="23"/>
  <c r="BG196" i="23"/>
  <c r="BF196" i="23"/>
  <c r="BE196" i="23"/>
  <c r="BD196" i="23"/>
  <c r="BB196" i="23"/>
  <c r="BA196" i="23"/>
  <c r="AZ196" i="23"/>
  <c r="AY196" i="23"/>
  <c r="AX196" i="23"/>
  <c r="AV196" i="23"/>
  <c r="AU196" i="23"/>
  <c r="AT196" i="23"/>
  <c r="AS196" i="23"/>
  <c r="AR196" i="23"/>
  <c r="AQ196" i="23"/>
  <c r="AP196" i="23"/>
  <c r="AO196" i="23"/>
  <c r="AM196" i="23"/>
  <c r="AL196" i="23"/>
  <c r="AK196" i="23"/>
  <c r="AJ196" i="23"/>
  <c r="AI196" i="23"/>
  <c r="AG196" i="23"/>
  <c r="AD196" i="23"/>
  <c r="Z196" i="23"/>
  <c r="Y196" i="23"/>
  <c r="W196" i="23"/>
  <c r="V196" i="23"/>
  <c r="U196" i="23"/>
  <c r="S196" i="23"/>
  <c r="R196" i="23"/>
  <c r="Q196" i="23"/>
  <c r="P196" i="23"/>
  <c r="O196" i="23"/>
  <c r="N196" i="23"/>
  <c r="M196" i="23"/>
  <c r="L196" i="23"/>
  <c r="K196" i="23"/>
  <c r="J196" i="23"/>
  <c r="I196" i="23"/>
  <c r="H196" i="23"/>
  <c r="G196" i="23"/>
  <c r="F196" i="23"/>
  <c r="E196" i="23"/>
  <c r="A196" i="23"/>
  <c r="BO195" i="23"/>
  <c r="BN195" i="23"/>
  <c r="BM195" i="23"/>
  <c r="BL195" i="23"/>
  <c r="BK195" i="23"/>
  <c r="BJ195" i="23"/>
  <c r="BI195" i="23"/>
  <c r="BH195" i="23"/>
  <c r="BG195" i="23"/>
  <c r="BF195" i="23"/>
  <c r="BE195" i="23"/>
  <c r="BD195" i="23"/>
  <c r="BC195" i="23"/>
  <c r="BB195" i="23"/>
  <c r="BA195" i="23"/>
  <c r="AZ195" i="23"/>
  <c r="AY195" i="23"/>
  <c r="AX195" i="23"/>
  <c r="AW195" i="23"/>
  <c r="AV195" i="23"/>
  <c r="AU195" i="23"/>
  <c r="AT195" i="23"/>
  <c r="AS195" i="23"/>
  <c r="AR195" i="23"/>
  <c r="AQ195" i="23"/>
  <c r="AP195" i="23"/>
  <c r="AO195" i="23"/>
  <c r="AN195" i="23"/>
  <c r="AM195" i="23"/>
  <c r="AL195" i="23"/>
  <c r="AK195" i="23"/>
  <c r="AJ195" i="23"/>
  <c r="AI195" i="23"/>
  <c r="AH195" i="23"/>
  <c r="AG195" i="23"/>
  <c r="AF195" i="23"/>
  <c r="AE195" i="23"/>
  <c r="AD195" i="23"/>
  <c r="AC195" i="23"/>
  <c r="AB195" i="23"/>
  <c r="AA195" i="23"/>
  <c r="Z195" i="23"/>
  <c r="Y195" i="23"/>
  <c r="X195" i="23"/>
  <c r="W195" i="23"/>
  <c r="V195" i="23"/>
  <c r="U195" i="23"/>
  <c r="T195" i="23"/>
  <c r="S195" i="23"/>
  <c r="R195" i="23"/>
  <c r="Q195" i="23"/>
  <c r="P195" i="23"/>
  <c r="O195" i="23"/>
  <c r="N195" i="23"/>
  <c r="M195" i="23"/>
  <c r="L195" i="23"/>
  <c r="K195" i="23"/>
  <c r="J195" i="23"/>
  <c r="I195" i="23"/>
  <c r="H195" i="23"/>
  <c r="G195" i="23"/>
  <c r="F195" i="23"/>
  <c r="E195" i="23"/>
  <c r="D195" i="23"/>
  <c r="A195" i="23"/>
  <c r="BO194" i="23"/>
  <c r="BN194" i="23"/>
  <c r="BM194" i="23"/>
  <c r="BL194" i="23"/>
  <c r="BK194" i="23"/>
  <c r="BJ194" i="23"/>
  <c r="BI194" i="23"/>
  <c r="BH194" i="23"/>
  <c r="BG194" i="23"/>
  <c r="BF194" i="23"/>
  <c r="BE194" i="23"/>
  <c r="BD194" i="23"/>
  <c r="BB194" i="23"/>
  <c r="BA194" i="23"/>
  <c r="AZ194" i="23"/>
  <c r="AY194" i="23"/>
  <c r="AX194" i="23"/>
  <c r="AV194" i="23"/>
  <c r="AU194" i="23"/>
  <c r="AT194" i="23"/>
  <c r="AS194" i="23"/>
  <c r="AR194" i="23"/>
  <c r="AQ194" i="23"/>
  <c r="AP194" i="23"/>
  <c r="AO194" i="23"/>
  <c r="AM194" i="23"/>
  <c r="AL194" i="23"/>
  <c r="AK194" i="23"/>
  <c r="AJ194" i="23"/>
  <c r="AI194" i="23"/>
  <c r="AG194" i="23"/>
  <c r="AD194" i="23"/>
  <c r="Z194" i="23"/>
  <c r="Y194" i="23"/>
  <c r="W194" i="23"/>
  <c r="V194" i="23"/>
  <c r="U194" i="23"/>
  <c r="S194" i="23"/>
  <c r="R194" i="23"/>
  <c r="Q194" i="23"/>
  <c r="P194" i="23"/>
  <c r="O194" i="23"/>
  <c r="N194" i="23"/>
  <c r="M194" i="23"/>
  <c r="L194" i="23"/>
  <c r="K194" i="23"/>
  <c r="J194" i="23"/>
  <c r="I194" i="23"/>
  <c r="H194" i="23"/>
  <c r="G194" i="23"/>
  <c r="F194" i="23"/>
  <c r="E194" i="23"/>
  <c r="A194" i="23"/>
  <c r="BO193" i="23"/>
  <c r="BN193" i="23"/>
  <c r="BM193" i="23"/>
  <c r="BL193" i="23"/>
  <c r="BK193" i="23"/>
  <c r="BJ193" i="23"/>
  <c r="BI193" i="23"/>
  <c r="BH193" i="23"/>
  <c r="BG193" i="23"/>
  <c r="BF193" i="23"/>
  <c r="BE193" i="23"/>
  <c r="BD193" i="23"/>
  <c r="BB193" i="23"/>
  <c r="BA193" i="23"/>
  <c r="AZ193" i="23"/>
  <c r="AY193" i="23"/>
  <c r="AX193" i="23"/>
  <c r="AV193" i="23"/>
  <c r="AU193" i="23"/>
  <c r="AT193" i="23"/>
  <c r="AS193" i="23"/>
  <c r="AR193" i="23"/>
  <c r="AQ193" i="23"/>
  <c r="AP193" i="23"/>
  <c r="AO193" i="23"/>
  <c r="AM193" i="23"/>
  <c r="AL193" i="23"/>
  <c r="AK193" i="23"/>
  <c r="AJ193" i="23"/>
  <c r="AI193" i="23"/>
  <c r="AG193" i="23"/>
  <c r="AD193" i="23"/>
  <c r="Z193" i="23"/>
  <c r="Y193" i="23"/>
  <c r="W193" i="23"/>
  <c r="V193" i="23"/>
  <c r="U193" i="23"/>
  <c r="S193" i="23"/>
  <c r="R193" i="23"/>
  <c r="Q193" i="23"/>
  <c r="P193" i="23"/>
  <c r="O193" i="23"/>
  <c r="N193" i="23"/>
  <c r="M193" i="23"/>
  <c r="L193" i="23"/>
  <c r="K193" i="23"/>
  <c r="J193" i="23"/>
  <c r="I193" i="23"/>
  <c r="H193" i="23"/>
  <c r="G193" i="23"/>
  <c r="F193" i="23"/>
  <c r="E193" i="23"/>
  <c r="A193" i="23"/>
  <c r="BO192" i="23"/>
  <c r="BN192" i="23"/>
  <c r="BM192" i="23"/>
  <c r="BL192" i="23"/>
  <c r="BK192" i="23"/>
  <c r="BJ192" i="23"/>
  <c r="BI192" i="23"/>
  <c r="BH192" i="23"/>
  <c r="BG192" i="23"/>
  <c r="BF192" i="23"/>
  <c r="BE192" i="23"/>
  <c r="BD192" i="23"/>
  <c r="BB192" i="23"/>
  <c r="BA192" i="23"/>
  <c r="AZ192" i="23"/>
  <c r="AY192" i="23"/>
  <c r="AX192" i="23"/>
  <c r="AV192" i="23"/>
  <c r="AU192" i="23"/>
  <c r="AT192" i="23"/>
  <c r="AS192" i="23"/>
  <c r="AR192" i="23"/>
  <c r="AQ192" i="23"/>
  <c r="AP192" i="23"/>
  <c r="AO192" i="23"/>
  <c r="AM192" i="23"/>
  <c r="AL192" i="23"/>
  <c r="AK192" i="23"/>
  <c r="AJ192" i="23"/>
  <c r="AI192" i="23"/>
  <c r="AG192" i="23"/>
  <c r="AD192" i="23"/>
  <c r="Z192" i="23"/>
  <c r="Y192" i="23"/>
  <c r="W192" i="23"/>
  <c r="V192" i="23"/>
  <c r="U192" i="23"/>
  <c r="S192" i="23"/>
  <c r="R192" i="23"/>
  <c r="Q192" i="23"/>
  <c r="P192" i="23"/>
  <c r="O192" i="23"/>
  <c r="N192" i="23"/>
  <c r="M192" i="23"/>
  <c r="L192" i="23"/>
  <c r="K192" i="23"/>
  <c r="J192" i="23"/>
  <c r="I192" i="23"/>
  <c r="H192" i="23"/>
  <c r="G192" i="23"/>
  <c r="F192" i="23"/>
  <c r="E192" i="23"/>
  <c r="A192" i="23"/>
  <c r="BO191" i="23"/>
  <c r="BN191" i="23"/>
  <c r="BM191" i="23"/>
  <c r="BL191" i="23"/>
  <c r="BK191" i="23"/>
  <c r="BJ191" i="23"/>
  <c r="BI191" i="23"/>
  <c r="BH191" i="23"/>
  <c r="BG191" i="23"/>
  <c r="BF191" i="23"/>
  <c r="BE191" i="23"/>
  <c r="BD191" i="23"/>
  <c r="BB191" i="23"/>
  <c r="BA191" i="23"/>
  <c r="AZ191" i="23"/>
  <c r="AY191" i="23"/>
  <c r="AX191" i="23"/>
  <c r="AV191" i="23"/>
  <c r="AU191" i="23"/>
  <c r="AT191" i="23"/>
  <c r="AS191" i="23"/>
  <c r="AR191" i="23"/>
  <c r="AQ191" i="23"/>
  <c r="AP191" i="23"/>
  <c r="AO191" i="23"/>
  <c r="AM191" i="23"/>
  <c r="AL191" i="23"/>
  <c r="AK191" i="23"/>
  <c r="AJ191" i="23"/>
  <c r="AI191" i="23"/>
  <c r="AG191" i="23"/>
  <c r="AD191" i="23"/>
  <c r="Z191" i="23"/>
  <c r="Y191" i="23"/>
  <c r="W191" i="23"/>
  <c r="V191" i="23"/>
  <c r="U191" i="23"/>
  <c r="S191" i="23"/>
  <c r="R191" i="23"/>
  <c r="Q191" i="23"/>
  <c r="P191" i="23"/>
  <c r="O191" i="23"/>
  <c r="N191" i="23"/>
  <c r="M191" i="23"/>
  <c r="L191" i="23"/>
  <c r="K191" i="23"/>
  <c r="J191" i="23"/>
  <c r="I191" i="23"/>
  <c r="H191" i="23"/>
  <c r="G191" i="23"/>
  <c r="F191" i="23"/>
  <c r="E191" i="23"/>
  <c r="BO190" i="23"/>
  <c r="BN190" i="23"/>
  <c r="BM190" i="23"/>
  <c r="BL190" i="23"/>
  <c r="BK190" i="23"/>
  <c r="BJ190" i="23"/>
  <c r="BI190" i="23"/>
  <c r="BH190" i="23"/>
  <c r="BG190" i="23"/>
  <c r="BF190" i="23"/>
  <c r="BE190" i="23"/>
  <c r="BD190" i="23"/>
  <c r="BB190" i="23"/>
  <c r="BA190" i="23"/>
  <c r="AZ190" i="23"/>
  <c r="AY190" i="23"/>
  <c r="AX190" i="23"/>
  <c r="AV190" i="23"/>
  <c r="AU190" i="23"/>
  <c r="AT190" i="23"/>
  <c r="AS190" i="23"/>
  <c r="AR190" i="23"/>
  <c r="AQ190" i="23"/>
  <c r="AP190" i="23"/>
  <c r="AO190" i="23"/>
  <c r="AM190" i="23"/>
  <c r="AL190" i="23"/>
  <c r="AK190" i="23"/>
  <c r="AJ190" i="23"/>
  <c r="AI190" i="23"/>
  <c r="AG190" i="23"/>
  <c r="AD190" i="23"/>
  <c r="Z190" i="23"/>
  <c r="Y190" i="23"/>
  <c r="W190" i="23"/>
  <c r="V190" i="23"/>
  <c r="U190" i="23"/>
  <c r="S190" i="23"/>
  <c r="R190" i="23"/>
  <c r="Q190" i="23"/>
  <c r="P190" i="23"/>
  <c r="O190" i="23"/>
  <c r="N190" i="23"/>
  <c r="M190" i="23"/>
  <c r="L190" i="23"/>
  <c r="BO189" i="23"/>
  <c r="BN189" i="23"/>
  <c r="BM189" i="23"/>
  <c r="BL189" i="23"/>
  <c r="BK189" i="23"/>
  <c r="BJ189" i="23"/>
  <c r="BI189" i="23"/>
  <c r="BH189" i="23"/>
  <c r="BG189" i="23"/>
  <c r="BF189" i="23"/>
  <c r="BE189" i="23"/>
  <c r="BD189" i="23"/>
  <c r="BB189" i="23"/>
  <c r="BA189" i="23"/>
  <c r="AZ189" i="23"/>
  <c r="AY189" i="23"/>
  <c r="AX189" i="23"/>
  <c r="AV189" i="23"/>
  <c r="AU189" i="23"/>
  <c r="AT189" i="23"/>
  <c r="AS189" i="23"/>
  <c r="AR189" i="23"/>
  <c r="AQ189" i="23"/>
  <c r="AP189" i="23"/>
  <c r="AO189" i="23"/>
  <c r="AM189" i="23"/>
  <c r="AL189" i="23"/>
  <c r="AK189" i="23"/>
  <c r="AJ189" i="23"/>
  <c r="AI189" i="23"/>
  <c r="AG189" i="23"/>
  <c r="AD189" i="23"/>
  <c r="Z189" i="23"/>
  <c r="Y189" i="23"/>
  <c r="W189" i="23"/>
  <c r="V189" i="23"/>
  <c r="U189" i="23"/>
  <c r="S189" i="23"/>
  <c r="R189" i="23"/>
  <c r="Q189" i="23"/>
  <c r="P189" i="23"/>
  <c r="O189" i="23"/>
  <c r="N189" i="23"/>
  <c r="M189" i="23"/>
  <c r="L189" i="23"/>
  <c r="J189" i="23"/>
  <c r="I189" i="23"/>
  <c r="H189" i="23"/>
  <c r="G189" i="23"/>
  <c r="F189" i="23"/>
  <c r="E189" i="23"/>
  <c r="BO188" i="23"/>
  <c r="BN188" i="23"/>
  <c r="BM188" i="23"/>
  <c r="BL188" i="23"/>
  <c r="BK188" i="23"/>
  <c r="BJ188" i="23"/>
  <c r="BI188" i="23"/>
  <c r="BH188" i="23"/>
  <c r="BG188" i="23"/>
  <c r="BF188" i="23"/>
  <c r="BE188" i="23"/>
  <c r="BD188" i="23"/>
  <c r="BB188" i="23"/>
  <c r="BA188" i="23"/>
  <c r="AZ188" i="23"/>
  <c r="AY188" i="23"/>
  <c r="AX188" i="23"/>
  <c r="AV188" i="23"/>
  <c r="AU188" i="23"/>
  <c r="AT188" i="23"/>
  <c r="AS188" i="23"/>
  <c r="AR188" i="23"/>
  <c r="AQ188" i="23"/>
  <c r="AP188" i="23"/>
  <c r="AO188" i="23"/>
  <c r="AM188" i="23"/>
  <c r="AL188" i="23"/>
  <c r="AK188" i="23"/>
  <c r="AJ188" i="23"/>
  <c r="AI188" i="23"/>
  <c r="AG188" i="23"/>
  <c r="AD188" i="23"/>
  <c r="Z188" i="23"/>
  <c r="Y188" i="23"/>
  <c r="W188" i="23"/>
  <c r="V188" i="23"/>
  <c r="U188" i="23"/>
  <c r="S188" i="23"/>
  <c r="R188" i="23"/>
  <c r="Q188" i="23"/>
  <c r="P188" i="23"/>
  <c r="O188" i="23"/>
  <c r="N188" i="23"/>
  <c r="M188" i="23"/>
  <c r="L188" i="23"/>
  <c r="J188" i="23"/>
  <c r="I188" i="23"/>
  <c r="H188" i="23"/>
  <c r="G188" i="23"/>
  <c r="F188" i="23"/>
  <c r="E188" i="23"/>
  <c r="BO187" i="23"/>
  <c r="BN187" i="23"/>
  <c r="BM187" i="23"/>
  <c r="BL187" i="23"/>
  <c r="BK187" i="23"/>
  <c r="BJ187" i="23"/>
  <c r="BI187" i="23"/>
  <c r="BH187" i="23"/>
  <c r="BG187" i="23"/>
  <c r="BF187" i="23"/>
  <c r="BE187" i="23"/>
  <c r="BD187" i="23"/>
  <c r="BB187" i="23"/>
  <c r="BA187" i="23"/>
  <c r="AZ187" i="23"/>
  <c r="AY187" i="23"/>
  <c r="AX187" i="23"/>
  <c r="AV187" i="23"/>
  <c r="AU187" i="23"/>
  <c r="AT187" i="23"/>
  <c r="AS187" i="23"/>
  <c r="AR187" i="23"/>
  <c r="AQ187" i="23"/>
  <c r="AP187" i="23"/>
  <c r="AO187" i="23"/>
  <c r="AM187" i="23"/>
  <c r="AL187" i="23"/>
  <c r="AK187" i="23"/>
  <c r="AJ187" i="23"/>
  <c r="AI187" i="23"/>
  <c r="AG187" i="23"/>
  <c r="AD187" i="23"/>
  <c r="Z187" i="23"/>
  <c r="Y187" i="23"/>
  <c r="W187" i="23"/>
  <c r="V187" i="23"/>
  <c r="U187" i="23"/>
  <c r="S187" i="23"/>
  <c r="R187" i="23"/>
  <c r="Q187" i="23"/>
  <c r="P187" i="23"/>
  <c r="O187" i="23"/>
  <c r="N187" i="23"/>
  <c r="M187" i="23"/>
  <c r="L187" i="23"/>
  <c r="J187" i="23"/>
  <c r="I187" i="23"/>
  <c r="H187" i="23"/>
  <c r="G187" i="23"/>
  <c r="F187" i="23"/>
  <c r="E187" i="23"/>
  <c r="BO186" i="23"/>
  <c r="BN186" i="23"/>
  <c r="BM186" i="23"/>
  <c r="BL186" i="23"/>
  <c r="BK186" i="23"/>
  <c r="BJ186" i="23"/>
  <c r="BI186" i="23"/>
  <c r="BH186" i="23"/>
  <c r="BG186" i="23"/>
  <c r="BF186" i="23"/>
  <c r="BE186" i="23"/>
  <c r="BD186" i="23"/>
  <c r="BB186" i="23"/>
  <c r="BA186" i="23"/>
  <c r="AZ186" i="23"/>
  <c r="AY186" i="23"/>
  <c r="AX186" i="23"/>
  <c r="AV186" i="23"/>
  <c r="AU186" i="23"/>
  <c r="AT186" i="23"/>
  <c r="AS186" i="23"/>
  <c r="AR186" i="23"/>
  <c r="AQ186" i="23"/>
  <c r="AP186" i="23"/>
  <c r="AO186" i="23"/>
  <c r="AM186" i="23"/>
  <c r="AL186" i="23"/>
  <c r="AK186" i="23"/>
  <c r="AJ186" i="23"/>
  <c r="AI186" i="23"/>
  <c r="AG186" i="23"/>
  <c r="AD186" i="23"/>
  <c r="Z186" i="23"/>
  <c r="Y186" i="23"/>
  <c r="W186" i="23"/>
  <c r="V186" i="23"/>
  <c r="U186" i="23"/>
  <c r="S186" i="23"/>
  <c r="R186" i="23"/>
  <c r="Q186" i="23"/>
  <c r="P186" i="23"/>
  <c r="O186" i="23"/>
  <c r="N186" i="23"/>
  <c r="M186" i="23"/>
  <c r="L186" i="23"/>
  <c r="BO184" i="23"/>
  <c r="BN184" i="23"/>
  <c r="BM184" i="23"/>
  <c r="BL184" i="23"/>
  <c r="BK184" i="23"/>
  <c r="BJ184" i="23"/>
  <c r="BI184" i="23"/>
  <c r="BH184" i="23"/>
  <c r="BG184" i="23"/>
  <c r="BF184" i="23"/>
  <c r="BE184" i="23"/>
  <c r="BD184" i="23"/>
  <c r="BC184" i="23"/>
  <c r="BB184" i="23"/>
  <c r="BA184" i="23"/>
  <c r="AZ184" i="23"/>
  <c r="AY184" i="23"/>
  <c r="AX184" i="23"/>
  <c r="AW184" i="23"/>
  <c r="AV184" i="23"/>
  <c r="AU184" i="23"/>
  <c r="AT184" i="23"/>
  <c r="AS184" i="23"/>
  <c r="AR184" i="23"/>
  <c r="AQ184" i="23"/>
  <c r="AP184" i="23"/>
  <c r="AO184" i="23"/>
  <c r="AN184" i="23"/>
  <c r="AM184" i="23"/>
  <c r="AL184" i="23"/>
  <c r="AK184" i="23"/>
  <c r="AJ184" i="23"/>
  <c r="AI184" i="23"/>
  <c r="AH184" i="23"/>
  <c r="AG184" i="23"/>
  <c r="AF184" i="23"/>
  <c r="AE184" i="23"/>
  <c r="AD184" i="23"/>
  <c r="AC184" i="23"/>
  <c r="AB184" i="23"/>
  <c r="AA184" i="23"/>
  <c r="Z184" i="23"/>
  <c r="Y184" i="23"/>
  <c r="X184" i="23"/>
  <c r="W184" i="23"/>
  <c r="V184" i="23"/>
  <c r="U184" i="23"/>
  <c r="T184" i="23"/>
  <c r="S184" i="23"/>
  <c r="R184" i="23"/>
  <c r="Q184" i="23"/>
  <c r="P184" i="23"/>
  <c r="O184" i="23"/>
  <c r="N184" i="23"/>
  <c r="M184" i="23"/>
  <c r="L184" i="23"/>
  <c r="K184" i="23"/>
  <c r="J184" i="23"/>
  <c r="I184" i="23"/>
  <c r="H184" i="23"/>
  <c r="G184" i="23"/>
  <c r="F184" i="23"/>
  <c r="E184" i="23"/>
  <c r="D184" i="23"/>
  <c r="BO182" i="23"/>
  <c r="BN182" i="23"/>
  <c r="BM182" i="23"/>
  <c r="BL182" i="23"/>
  <c r="BK182" i="23"/>
  <c r="BJ182" i="23"/>
  <c r="BI182" i="23"/>
  <c r="BH182" i="23"/>
  <c r="BG182" i="23"/>
  <c r="BF182" i="23"/>
  <c r="BE182" i="23"/>
  <c r="BD182" i="23"/>
  <c r="BC182" i="23"/>
  <c r="BB182" i="23"/>
  <c r="BA182" i="23"/>
  <c r="AZ182" i="23"/>
  <c r="AY182" i="23"/>
  <c r="AX182" i="23"/>
  <c r="AW182" i="23"/>
  <c r="AV182" i="23"/>
  <c r="AU182" i="23"/>
  <c r="AT182" i="23"/>
  <c r="AS182" i="23"/>
  <c r="AR182" i="23"/>
  <c r="AQ182" i="23"/>
  <c r="AP182" i="23"/>
  <c r="AO182" i="23"/>
  <c r="AN182" i="23"/>
  <c r="AM182" i="23"/>
  <c r="AL182" i="23"/>
  <c r="AK182" i="23"/>
  <c r="AJ182" i="23"/>
  <c r="AI182" i="23"/>
  <c r="AH182" i="23"/>
  <c r="AG182" i="23"/>
  <c r="AF182" i="23"/>
  <c r="AE182" i="23"/>
  <c r="AD182" i="23"/>
  <c r="AC182" i="23"/>
  <c r="AB182" i="23"/>
  <c r="AA182" i="23"/>
  <c r="Z182" i="23"/>
  <c r="Y182" i="23"/>
  <c r="X182" i="23"/>
  <c r="W182" i="23"/>
  <c r="V182" i="23"/>
  <c r="U182" i="23"/>
  <c r="T182" i="23"/>
  <c r="S182" i="23"/>
  <c r="R182" i="23"/>
  <c r="Q182" i="23"/>
  <c r="P182" i="23"/>
  <c r="O182" i="23"/>
  <c r="N182" i="23"/>
  <c r="M182" i="23"/>
  <c r="L182" i="23"/>
  <c r="K182" i="23"/>
  <c r="J182" i="23"/>
  <c r="I182" i="23"/>
  <c r="H182" i="23"/>
  <c r="G182" i="23"/>
  <c r="F182" i="23"/>
  <c r="E182" i="23"/>
  <c r="D182" i="23"/>
  <c r="BO180" i="23"/>
  <c r="BN180" i="23"/>
  <c r="BM180" i="23"/>
  <c r="BL180" i="23"/>
  <c r="BK180" i="23"/>
  <c r="BJ180" i="23"/>
  <c r="BI180" i="23"/>
  <c r="BH180" i="23"/>
  <c r="BG180" i="23"/>
  <c r="BF180" i="23"/>
  <c r="BE180" i="23"/>
  <c r="BD180" i="23"/>
  <c r="BB180" i="23"/>
  <c r="BA180" i="23"/>
  <c r="AZ180" i="23"/>
  <c r="AY180" i="23"/>
  <c r="AX180" i="23"/>
  <c r="AV180" i="23"/>
  <c r="AU180" i="23"/>
  <c r="AT180" i="23"/>
  <c r="AS180" i="23"/>
  <c r="AR180" i="23"/>
  <c r="AQ180" i="23"/>
  <c r="AP180" i="23"/>
  <c r="AO180" i="23"/>
  <c r="AM180" i="23"/>
  <c r="AL180" i="23"/>
  <c r="AK180" i="23"/>
  <c r="AJ180" i="23"/>
  <c r="AI180" i="23"/>
  <c r="AG180" i="23"/>
  <c r="AD180" i="23"/>
  <c r="Z180" i="23"/>
  <c r="Y180" i="23"/>
  <c r="W180" i="23"/>
  <c r="V180" i="23"/>
  <c r="U180" i="23"/>
  <c r="BO179" i="23"/>
  <c r="BN179" i="23"/>
  <c r="BM179" i="23"/>
  <c r="BL179" i="23"/>
  <c r="BK179" i="23"/>
  <c r="BJ179" i="23"/>
  <c r="BI179" i="23"/>
  <c r="BH179" i="23"/>
  <c r="BG179" i="23"/>
  <c r="BF179" i="23"/>
  <c r="BE179" i="23"/>
  <c r="BD179" i="23"/>
  <c r="BB179" i="23"/>
  <c r="BA179" i="23"/>
  <c r="AZ179" i="23"/>
  <c r="AY179" i="23"/>
  <c r="AX179" i="23"/>
  <c r="AV179" i="23"/>
  <c r="AU179" i="23"/>
  <c r="AT179" i="23"/>
  <c r="AS179" i="23"/>
  <c r="AR179" i="23"/>
  <c r="AQ179" i="23"/>
  <c r="AP179" i="23"/>
  <c r="AO179" i="23"/>
  <c r="AM179" i="23"/>
  <c r="AL179" i="23"/>
  <c r="AK179" i="23"/>
  <c r="AJ179" i="23"/>
  <c r="AI179" i="23"/>
  <c r="AG179" i="23"/>
  <c r="AD179" i="23"/>
  <c r="Z179" i="23"/>
  <c r="Y179" i="23"/>
  <c r="W179" i="23"/>
  <c r="V179" i="23"/>
  <c r="U179" i="23"/>
  <c r="S179" i="23"/>
  <c r="R179" i="23"/>
  <c r="Q179" i="23"/>
  <c r="P179" i="23"/>
  <c r="O179" i="23"/>
  <c r="N179" i="23"/>
  <c r="M179" i="23"/>
  <c r="L179" i="23"/>
  <c r="J179" i="23"/>
  <c r="I179" i="23"/>
  <c r="H179" i="23"/>
  <c r="G179" i="23"/>
  <c r="F179" i="23"/>
  <c r="E179" i="23"/>
  <c r="A179" i="23"/>
  <c r="BO178" i="23"/>
  <c r="BN178" i="23"/>
  <c r="BM178" i="23"/>
  <c r="BL178" i="23"/>
  <c r="BK178" i="23"/>
  <c r="BJ178" i="23"/>
  <c r="BI178" i="23"/>
  <c r="BH178" i="23"/>
  <c r="BG178" i="23"/>
  <c r="BF178" i="23"/>
  <c r="BE178" i="23"/>
  <c r="BD178" i="23"/>
  <c r="BB178" i="23"/>
  <c r="BA178" i="23"/>
  <c r="AZ178" i="23"/>
  <c r="AY178" i="23"/>
  <c r="AX178" i="23"/>
  <c r="AV178" i="23"/>
  <c r="AU178" i="23"/>
  <c r="AT178" i="23"/>
  <c r="AS178" i="23"/>
  <c r="AR178" i="23"/>
  <c r="AQ178" i="23"/>
  <c r="AP178" i="23"/>
  <c r="AO178" i="23"/>
  <c r="AM178" i="23"/>
  <c r="AL178" i="23"/>
  <c r="AK178" i="23"/>
  <c r="AJ178" i="23"/>
  <c r="AI178" i="23"/>
  <c r="AG178" i="23"/>
  <c r="AD178" i="23"/>
  <c r="Z178" i="23"/>
  <c r="Y178" i="23"/>
  <c r="W178" i="23"/>
  <c r="V178" i="23"/>
  <c r="U178" i="23"/>
  <c r="S178" i="23"/>
  <c r="R178" i="23"/>
  <c r="Q178" i="23"/>
  <c r="P178" i="23"/>
  <c r="O178" i="23"/>
  <c r="N178" i="23"/>
  <c r="M178" i="23"/>
  <c r="L178" i="23"/>
  <c r="J178" i="23"/>
  <c r="I178" i="23"/>
  <c r="H178" i="23"/>
  <c r="G178" i="23"/>
  <c r="F178" i="23"/>
  <c r="E178" i="23"/>
  <c r="A178" i="23"/>
  <c r="BO177" i="23"/>
  <c r="BN177" i="23"/>
  <c r="BM177" i="23"/>
  <c r="BL177" i="23"/>
  <c r="BK177" i="23"/>
  <c r="BJ177" i="23"/>
  <c r="BI177" i="23"/>
  <c r="BH177" i="23"/>
  <c r="BG177" i="23"/>
  <c r="BF177" i="23"/>
  <c r="BE177" i="23"/>
  <c r="BD177" i="23"/>
  <c r="BB177" i="23"/>
  <c r="BA177" i="23"/>
  <c r="AZ177" i="23"/>
  <c r="AY177" i="23"/>
  <c r="AX177" i="23"/>
  <c r="AV177" i="23"/>
  <c r="AU177" i="23"/>
  <c r="AT177" i="23"/>
  <c r="AS177" i="23"/>
  <c r="AR177" i="23"/>
  <c r="AQ177" i="23"/>
  <c r="AP177" i="23"/>
  <c r="AO177" i="23"/>
  <c r="AM177" i="23"/>
  <c r="AL177" i="23"/>
  <c r="AK177" i="23"/>
  <c r="AJ177" i="23"/>
  <c r="AI177" i="23"/>
  <c r="AG177" i="23"/>
  <c r="AD177" i="23"/>
  <c r="Z177" i="23"/>
  <c r="Y177" i="23"/>
  <c r="W177" i="23"/>
  <c r="V177" i="23"/>
  <c r="U177" i="23"/>
  <c r="S177" i="23"/>
  <c r="R177" i="23"/>
  <c r="Q177" i="23"/>
  <c r="P177" i="23"/>
  <c r="O177" i="23"/>
  <c r="N177" i="23"/>
  <c r="M177" i="23"/>
  <c r="L177" i="23"/>
  <c r="J177" i="23"/>
  <c r="I177" i="23"/>
  <c r="H177" i="23"/>
  <c r="G177" i="23"/>
  <c r="F177" i="23"/>
  <c r="E177" i="23"/>
  <c r="A177" i="23"/>
  <c r="BO176" i="23"/>
  <c r="BN176" i="23"/>
  <c r="BM176" i="23"/>
  <c r="BL176" i="23"/>
  <c r="BK176" i="23"/>
  <c r="BJ176" i="23"/>
  <c r="BI176" i="23"/>
  <c r="BH176" i="23"/>
  <c r="BG176" i="23"/>
  <c r="BF176" i="23"/>
  <c r="BE176" i="23"/>
  <c r="BD176" i="23"/>
  <c r="BB176" i="23"/>
  <c r="BA176" i="23"/>
  <c r="AZ176" i="23"/>
  <c r="AY176" i="23"/>
  <c r="AX176" i="23"/>
  <c r="AV176" i="23"/>
  <c r="AU176" i="23"/>
  <c r="AT176" i="23"/>
  <c r="AS176" i="23"/>
  <c r="AR176" i="23"/>
  <c r="AQ176" i="23"/>
  <c r="AP176" i="23"/>
  <c r="AO176" i="23"/>
  <c r="AM176" i="23"/>
  <c r="AL176" i="23"/>
  <c r="AK176" i="23"/>
  <c r="AJ176" i="23"/>
  <c r="AI176" i="23"/>
  <c r="AG176" i="23"/>
  <c r="AD176" i="23"/>
  <c r="Z176" i="23"/>
  <c r="Y176" i="23"/>
  <c r="W176" i="23"/>
  <c r="V176" i="23"/>
  <c r="U176" i="23"/>
  <c r="S176" i="23"/>
  <c r="R176" i="23"/>
  <c r="Q176" i="23"/>
  <c r="P176" i="23"/>
  <c r="O176" i="23"/>
  <c r="N176" i="23"/>
  <c r="M176" i="23"/>
  <c r="L176" i="23"/>
  <c r="J176" i="23"/>
  <c r="I176" i="23"/>
  <c r="H176" i="23"/>
  <c r="G176" i="23"/>
  <c r="F176" i="23"/>
  <c r="E176" i="23"/>
  <c r="A176" i="23"/>
  <c r="BO175" i="23"/>
  <c r="BN175" i="23"/>
  <c r="BM175" i="23"/>
  <c r="BL175" i="23"/>
  <c r="BK175" i="23"/>
  <c r="BJ175" i="23"/>
  <c r="BI175" i="23"/>
  <c r="BH175" i="23"/>
  <c r="BG175" i="23"/>
  <c r="BF175" i="23"/>
  <c r="BE175" i="23"/>
  <c r="BD175" i="23"/>
  <c r="BB175" i="23"/>
  <c r="BA175" i="23"/>
  <c r="AZ175" i="23"/>
  <c r="AY175" i="23"/>
  <c r="AX175" i="23"/>
  <c r="AV175" i="23"/>
  <c r="AU175" i="23"/>
  <c r="AT175" i="23"/>
  <c r="AS175" i="23"/>
  <c r="AR175" i="23"/>
  <c r="AQ175" i="23"/>
  <c r="AP175" i="23"/>
  <c r="AO175" i="23"/>
  <c r="AM175" i="23"/>
  <c r="AL175" i="23"/>
  <c r="AK175" i="23"/>
  <c r="AJ175" i="23"/>
  <c r="AI175" i="23"/>
  <c r="AG175" i="23"/>
  <c r="AD175" i="23"/>
  <c r="Z175" i="23"/>
  <c r="Y175" i="23"/>
  <c r="W175" i="23"/>
  <c r="V175" i="23"/>
  <c r="U175" i="23"/>
  <c r="S175" i="23"/>
  <c r="R175" i="23"/>
  <c r="Q175" i="23"/>
  <c r="P175" i="23"/>
  <c r="O175" i="23"/>
  <c r="N175" i="23"/>
  <c r="M175" i="23"/>
  <c r="L175" i="23"/>
  <c r="J175" i="23"/>
  <c r="I175" i="23"/>
  <c r="H175" i="23"/>
  <c r="G175" i="23"/>
  <c r="F175" i="23"/>
  <c r="E175" i="23"/>
  <c r="A175" i="23"/>
  <c r="BO174" i="23"/>
  <c r="BN174" i="23"/>
  <c r="BM174" i="23"/>
  <c r="BL174" i="23"/>
  <c r="BK174" i="23"/>
  <c r="BJ174" i="23"/>
  <c r="BI174" i="23"/>
  <c r="BH174" i="23"/>
  <c r="BG174" i="23"/>
  <c r="BF174" i="23"/>
  <c r="BE174" i="23"/>
  <c r="BD174" i="23"/>
  <c r="BB174" i="23"/>
  <c r="BA174" i="23"/>
  <c r="AZ174" i="23"/>
  <c r="AY174" i="23"/>
  <c r="AX174" i="23"/>
  <c r="AV174" i="23"/>
  <c r="AU174" i="23"/>
  <c r="AT174" i="23"/>
  <c r="AS174" i="23"/>
  <c r="AR174" i="23"/>
  <c r="AQ174" i="23"/>
  <c r="AP174" i="23"/>
  <c r="AO174" i="23"/>
  <c r="AM174" i="23"/>
  <c r="AL174" i="23"/>
  <c r="AK174" i="23"/>
  <c r="AJ174" i="23"/>
  <c r="AI174" i="23"/>
  <c r="AG174" i="23"/>
  <c r="AD174" i="23"/>
  <c r="Z174" i="23"/>
  <c r="Y174" i="23"/>
  <c r="W174" i="23"/>
  <c r="V174" i="23"/>
  <c r="U174" i="23"/>
  <c r="S174" i="23"/>
  <c r="R174" i="23"/>
  <c r="Q174" i="23"/>
  <c r="P174" i="23"/>
  <c r="O174" i="23"/>
  <c r="N174" i="23"/>
  <c r="M174" i="23"/>
  <c r="L174" i="23"/>
  <c r="J174" i="23"/>
  <c r="I174" i="23"/>
  <c r="H174" i="23"/>
  <c r="G174" i="23"/>
  <c r="F174" i="23"/>
  <c r="E174" i="23"/>
  <c r="A174" i="23"/>
  <c r="BO173" i="23"/>
  <c r="BN173" i="23"/>
  <c r="BM173" i="23"/>
  <c r="BL173" i="23"/>
  <c r="BK173" i="23"/>
  <c r="BJ173" i="23"/>
  <c r="BI173" i="23"/>
  <c r="BH173" i="23"/>
  <c r="BG173" i="23"/>
  <c r="BF173" i="23"/>
  <c r="BE173" i="23"/>
  <c r="BD173" i="23"/>
  <c r="BB173" i="23"/>
  <c r="BA173" i="23"/>
  <c r="AZ173" i="23"/>
  <c r="AY173" i="23"/>
  <c r="AX173" i="23"/>
  <c r="AV173" i="23"/>
  <c r="AU173" i="23"/>
  <c r="AT173" i="23"/>
  <c r="AS173" i="23"/>
  <c r="AR173" i="23"/>
  <c r="AQ173" i="23"/>
  <c r="AP173" i="23"/>
  <c r="AO173" i="23"/>
  <c r="AM173" i="23"/>
  <c r="AL173" i="23"/>
  <c r="AK173" i="23"/>
  <c r="AJ173" i="23"/>
  <c r="AI173" i="23"/>
  <c r="AG173" i="23"/>
  <c r="AD173" i="23"/>
  <c r="Z173" i="23"/>
  <c r="Y173" i="23"/>
  <c r="W173" i="23"/>
  <c r="V173" i="23"/>
  <c r="U173" i="23"/>
  <c r="S173" i="23"/>
  <c r="R173" i="23"/>
  <c r="Q173" i="23"/>
  <c r="P173" i="23"/>
  <c r="O173" i="23"/>
  <c r="N173" i="23"/>
  <c r="M173" i="23"/>
  <c r="L173" i="23"/>
  <c r="J173" i="23"/>
  <c r="I173" i="23"/>
  <c r="H173" i="23"/>
  <c r="G173" i="23"/>
  <c r="F173" i="23"/>
  <c r="E173" i="23"/>
  <c r="A173" i="23"/>
  <c r="BO172" i="23"/>
  <c r="BN172" i="23"/>
  <c r="BM172" i="23"/>
  <c r="BL172" i="23"/>
  <c r="BK172" i="23"/>
  <c r="BJ172" i="23"/>
  <c r="BI172" i="23"/>
  <c r="BH172" i="23"/>
  <c r="BG172" i="23"/>
  <c r="BF172" i="23"/>
  <c r="BE172" i="23"/>
  <c r="BD172" i="23"/>
  <c r="BB172" i="23"/>
  <c r="BA172" i="23"/>
  <c r="AZ172" i="23"/>
  <c r="AY172" i="23"/>
  <c r="AX172" i="23"/>
  <c r="AV172" i="23"/>
  <c r="AU172" i="23"/>
  <c r="AT172" i="23"/>
  <c r="AS172" i="23"/>
  <c r="AR172" i="23"/>
  <c r="AQ172" i="23"/>
  <c r="AP172" i="23"/>
  <c r="AO172" i="23"/>
  <c r="AM172" i="23"/>
  <c r="AL172" i="23"/>
  <c r="AK172" i="23"/>
  <c r="AJ172" i="23"/>
  <c r="AI172" i="23"/>
  <c r="AG172" i="23"/>
  <c r="AD172" i="23"/>
  <c r="Z172" i="23"/>
  <c r="Y172" i="23"/>
  <c r="W172" i="23"/>
  <c r="V172" i="23"/>
  <c r="U172" i="23"/>
  <c r="S172" i="23"/>
  <c r="R172" i="23"/>
  <c r="Q172" i="23"/>
  <c r="P172" i="23"/>
  <c r="O172" i="23"/>
  <c r="N172" i="23"/>
  <c r="M172" i="23"/>
  <c r="L172" i="23"/>
  <c r="J172" i="23"/>
  <c r="I172" i="23"/>
  <c r="H172" i="23"/>
  <c r="G172" i="23"/>
  <c r="F172" i="23"/>
  <c r="E172" i="23"/>
  <c r="BO171" i="23"/>
  <c r="BN171" i="23"/>
  <c r="BM171" i="23"/>
  <c r="BL171" i="23"/>
  <c r="BK171" i="23"/>
  <c r="BJ171" i="23"/>
  <c r="BI171" i="23"/>
  <c r="BH171" i="23"/>
  <c r="BG171" i="23"/>
  <c r="BF171" i="23"/>
  <c r="BE171" i="23"/>
  <c r="BD171" i="23"/>
  <c r="BB171" i="23"/>
  <c r="BA171" i="23"/>
  <c r="AZ171" i="23"/>
  <c r="AY171" i="23"/>
  <c r="AX171" i="23"/>
  <c r="AV171" i="23"/>
  <c r="AU171" i="23"/>
  <c r="AT171" i="23"/>
  <c r="AS171" i="23"/>
  <c r="AR171" i="23"/>
  <c r="AQ171" i="23"/>
  <c r="AP171" i="23"/>
  <c r="AO171" i="23"/>
  <c r="AM171" i="23"/>
  <c r="AL171" i="23"/>
  <c r="AK171" i="23"/>
  <c r="AJ171" i="23"/>
  <c r="AI171" i="23"/>
  <c r="AG171" i="23"/>
  <c r="AD171" i="23"/>
  <c r="Z171" i="23"/>
  <c r="Y171" i="23"/>
  <c r="W171" i="23"/>
  <c r="V171" i="23"/>
  <c r="U171" i="23"/>
  <c r="S171" i="23"/>
  <c r="R171" i="23"/>
  <c r="Q171" i="23"/>
  <c r="P171" i="23"/>
  <c r="O171" i="23"/>
  <c r="N171" i="23"/>
  <c r="M171" i="23"/>
  <c r="L171" i="23"/>
  <c r="J171" i="23"/>
  <c r="I171" i="23"/>
  <c r="H171" i="23"/>
  <c r="G171" i="23"/>
  <c r="F171" i="23"/>
  <c r="E171" i="23"/>
  <c r="BO170" i="23"/>
  <c r="BN170" i="23"/>
  <c r="BM170" i="23"/>
  <c r="BL170" i="23"/>
  <c r="BK170" i="23"/>
  <c r="BJ170" i="23"/>
  <c r="BI170" i="23"/>
  <c r="BH170" i="23"/>
  <c r="BG170" i="23"/>
  <c r="BF170" i="23"/>
  <c r="BE170" i="23"/>
  <c r="BD170" i="23"/>
  <c r="BB170" i="23"/>
  <c r="BA170" i="23"/>
  <c r="AZ170" i="23"/>
  <c r="AY170" i="23"/>
  <c r="AX170" i="23"/>
  <c r="AV170" i="23"/>
  <c r="AU170" i="23"/>
  <c r="AT170" i="23"/>
  <c r="AS170" i="23"/>
  <c r="AR170" i="23"/>
  <c r="AQ170" i="23"/>
  <c r="AP170" i="23"/>
  <c r="AO170" i="23"/>
  <c r="AM170" i="23"/>
  <c r="AL170" i="23"/>
  <c r="AK170" i="23"/>
  <c r="AJ170" i="23"/>
  <c r="AI170" i="23"/>
  <c r="AG170" i="23"/>
  <c r="AD170" i="23"/>
  <c r="Z170" i="23"/>
  <c r="Y170" i="23"/>
  <c r="W170" i="23"/>
  <c r="V170" i="23"/>
  <c r="U170" i="23"/>
  <c r="S170" i="23"/>
  <c r="R170" i="23"/>
  <c r="Q170" i="23"/>
  <c r="P170" i="23"/>
  <c r="O170" i="23"/>
  <c r="N170" i="23"/>
  <c r="M170" i="23"/>
  <c r="L170" i="23"/>
  <c r="K170" i="23"/>
  <c r="J170" i="23"/>
  <c r="I170" i="23"/>
  <c r="H170" i="23"/>
  <c r="G170" i="23"/>
  <c r="F170" i="23"/>
  <c r="E170" i="23"/>
  <c r="A170" i="23"/>
  <c r="BO169" i="23"/>
  <c r="BN169" i="23"/>
  <c r="BM169" i="23"/>
  <c r="BL169" i="23"/>
  <c r="BK169" i="23"/>
  <c r="BJ169" i="23"/>
  <c r="BI169" i="23"/>
  <c r="BH169" i="23"/>
  <c r="BG169" i="23"/>
  <c r="BF169" i="23"/>
  <c r="BE169" i="23"/>
  <c r="BD169" i="23"/>
  <c r="BB169" i="23"/>
  <c r="BA169" i="23"/>
  <c r="AZ169" i="23"/>
  <c r="AY169" i="23"/>
  <c r="AX169" i="23"/>
  <c r="AV169" i="23"/>
  <c r="AU169" i="23"/>
  <c r="AT169" i="23"/>
  <c r="AS169" i="23"/>
  <c r="AR169" i="23"/>
  <c r="AQ169" i="23"/>
  <c r="AP169" i="23"/>
  <c r="AO169" i="23"/>
  <c r="AM169" i="23"/>
  <c r="AL169" i="23"/>
  <c r="AK169" i="23"/>
  <c r="AJ169" i="23"/>
  <c r="AI169" i="23"/>
  <c r="AG169" i="23"/>
  <c r="AD169" i="23"/>
  <c r="Z169" i="23"/>
  <c r="Y169" i="23"/>
  <c r="W169" i="23"/>
  <c r="V169" i="23"/>
  <c r="U169" i="23"/>
  <c r="S169" i="23"/>
  <c r="R169" i="23"/>
  <c r="Q169" i="23"/>
  <c r="P169" i="23"/>
  <c r="O169" i="23"/>
  <c r="N169" i="23"/>
  <c r="M169" i="23"/>
  <c r="L169" i="23"/>
  <c r="K169" i="23"/>
  <c r="J169" i="23"/>
  <c r="I169" i="23"/>
  <c r="H169" i="23"/>
  <c r="G169" i="23"/>
  <c r="F169" i="23"/>
  <c r="E169" i="23"/>
  <c r="A169" i="23"/>
  <c r="BO168" i="23"/>
  <c r="BN168" i="23"/>
  <c r="BM168" i="23"/>
  <c r="BL168" i="23"/>
  <c r="BK168" i="23"/>
  <c r="BJ168" i="23"/>
  <c r="BI168" i="23"/>
  <c r="BH168" i="23"/>
  <c r="BG168" i="23"/>
  <c r="BF168" i="23"/>
  <c r="BE168" i="23"/>
  <c r="BD168" i="23"/>
  <c r="BB168" i="23"/>
  <c r="BA168" i="23"/>
  <c r="AZ168" i="23"/>
  <c r="AY168" i="23"/>
  <c r="AX168" i="23"/>
  <c r="AV168" i="23"/>
  <c r="AU168" i="23"/>
  <c r="AT168" i="23"/>
  <c r="AS168" i="23"/>
  <c r="AR168" i="23"/>
  <c r="AQ168" i="23"/>
  <c r="AP168" i="23"/>
  <c r="AO168" i="23"/>
  <c r="AM168" i="23"/>
  <c r="AL168" i="23"/>
  <c r="AK168" i="23"/>
  <c r="AJ168" i="23"/>
  <c r="AI168" i="23"/>
  <c r="AG168" i="23"/>
  <c r="AD168" i="23"/>
  <c r="Z168" i="23"/>
  <c r="Y168" i="23"/>
  <c r="W168" i="23"/>
  <c r="V168" i="23"/>
  <c r="U168" i="23"/>
  <c r="S168" i="23"/>
  <c r="R168" i="23"/>
  <c r="Q168" i="23"/>
  <c r="P168" i="23"/>
  <c r="O168" i="23"/>
  <c r="N168" i="23"/>
  <c r="M168" i="23"/>
  <c r="L168" i="23"/>
  <c r="K168" i="23"/>
  <c r="J168" i="23"/>
  <c r="I168" i="23"/>
  <c r="H168" i="23"/>
  <c r="G168" i="23"/>
  <c r="F168" i="23"/>
  <c r="E168" i="23"/>
  <c r="A168" i="23"/>
  <c r="BO167" i="23"/>
  <c r="BN167" i="23"/>
  <c r="BM167" i="23"/>
  <c r="BL167" i="23"/>
  <c r="BK167" i="23"/>
  <c r="BJ167" i="23"/>
  <c r="BI167" i="23"/>
  <c r="BH167" i="23"/>
  <c r="BG167" i="23"/>
  <c r="BF167" i="23"/>
  <c r="BE167" i="23"/>
  <c r="BD167" i="23"/>
  <c r="BB167" i="23"/>
  <c r="BA167" i="23"/>
  <c r="AZ167" i="23"/>
  <c r="AY167" i="23"/>
  <c r="AX167" i="23"/>
  <c r="AV167" i="23"/>
  <c r="AU167" i="23"/>
  <c r="AT167" i="23"/>
  <c r="AS167" i="23"/>
  <c r="AR167" i="23"/>
  <c r="AQ167" i="23"/>
  <c r="AP167" i="23"/>
  <c r="AO167" i="23"/>
  <c r="AM167" i="23"/>
  <c r="AL167" i="23"/>
  <c r="AK167" i="23"/>
  <c r="AJ167" i="23"/>
  <c r="AI167" i="23"/>
  <c r="AG167" i="23"/>
  <c r="AD167" i="23"/>
  <c r="Z167" i="23"/>
  <c r="Y167" i="23"/>
  <c r="W167" i="23"/>
  <c r="V167" i="23"/>
  <c r="U167" i="23"/>
  <c r="S167" i="23"/>
  <c r="R167" i="23"/>
  <c r="Q167" i="23"/>
  <c r="P167" i="23"/>
  <c r="O167" i="23"/>
  <c r="N167" i="23"/>
  <c r="M167" i="23"/>
  <c r="L167" i="23"/>
  <c r="K167" i="23"/>
  <c r="J167" i="23"/>
  <c r="I167" i="23"/>
  <c r="H167" i="23"/>
  <c r="G167" i="23"/>
  <c r="F167" i="23"/>
  <c r="E167" i="23"/>
  <c r="A167" i="23"/>
  <c r="BO166" i="23"/>
  <c r="BN166" i="23"/>
  <c r="BM166" i="23"/>
  <c r="BL166" i="23"/>
  <c r="BK166" i="23"/>
  <c r="BJ166" i="23"/>
  <c r="BI166" i="23"/>
  <c r="BH166" i="23"/>
  <c r="BG166" i="23"/>
  <c r="BF166" i="23"/>
  <c r="BE166" i="23"/>
  <c r="BD166" i="23"/>
  <c r="BB166" i="23"/>
  <c r="BA166" i="23"/>
  <c r="AZ166" i="23"/>
  <c r="AY166" i="23"/>
  <c r="AX166" i="23"/>
  <c r="AV166" i="23"/>
  <c r="AU166" i="23"/>
  <c r="AT166" i="23"/>
  <c r="AS166" i="23"/>
  <c r="AR166" i="23"/>
  <c r="AQ166" i="23"/>
  <c r="AP166" i="23"/>
  <c r="AO166" i="23"/>
  <c r="AM166" i="23"/>
  <c r="AL166" i="23"/>
  <c r="AK166" i="23"/>
  <c r="AJ166" i="23"/>
  <c r="AI166" i="23"/>
  <c r="AG166" i="23"/>
  <c r="AD166" i="23"/>
  <c r="Z166" i="23"/>
  <c r="Y166" i="23"/>
  <c r="W166" i="23"/>
  <c r="V166" i="23"/>
  <c r="U166" i="23"/>
  <c r="S166" i="23"/>
  <c r="R166" i="23"/>
  <c r="Q166" i="23"/>
  <c r="P166" i="23"/>
  <c r="O166" i="23"/>
  <c r="N166" i="23"/>
  <c r="M166" i="23"/>
  <c r="L166" i="23"/>
  <c r="K166" i="23"/>
  <c r="J166" i="23"/>
  <c r="I166" i="23"/>
  <c r="H166" i="23"/>
  <c r="G166" i="23"/>
  <c r="F166" i="23"/>
  <c r="E166" i="23"/>
  <c r="BO165" i="23"/>
  <c r="BN165" i="23"/>
  <c r="BM165" i="23"/>
  <c r="BL165" i="23"/>
  <c r="BK165" i="23"/>
  <c r="BJ165" i="23"/>
  <c r="BI165" i="23"/>
  <c r="BH165" i="23"/>
  <c r="BG165" i="23"/>
  <c r="BF165" i="23"/>
  <c r="BE165" i="23"/>
  <c r="BD165" i="23"/>
  <c r="BB165" i="23"/>
  <c r="BA165" i="23"/>
  <c r="AZ165" i="23"/>
  <c r="AY165" i="23"/>
  <c r="AX165" i="23"/>
  <c r="AV165" i="23"/>
  <c r="AU165" i="23"/>
  <c r="AT165" i="23"/>
  <c r="AS165" i="23"/>
  <c r="AR165" i="23"/>
  <c r="AQ165" i="23"/>
  <c r="AP165" i="23"/>
  <c r="AO165" i="23"/>
  <c r="AM165" i="23"/>
  <c r="AL165" i="23"/>
  <c r="AK165" i="23"/>
  <c r="AJ165" i="23"/>
  <c r="AI165" i="23"/>
  <c r="AG165" i="23"/>
  <c r="AD165" i="23"/>
  <c r="Z165" i="23"/>
  <c r="Y165" i="23"/>
  <c r="W165" i="23"/>
  <c r="V165" i="23"/>
  <c r="U165" i="23"/>
  <c r="S165" i="23"/>
  <c r="R165" i="23"/>
  <c r="Q165" i="23"/>
  <c r="P165" i="23"/>
  <c r="O165" i="23"/>
  <c r="N165" i="23"/>
  <c r="M165" i="23"/>
  <c r="L165" i="23"/>
  <c r="J165" i="23"/>
  <c r="I165" i="23"/>
  <c r="H165" i="23"/>
  <c r="G165" i="23"/>
  <c r="F165" i="23"/>
  <c r="E165" i="23"/>
  <c r="BO164" i="23"/>
  <c r="BN164" i="23"/>
  <c r="BM164" i="23"/>
  <c r="BL164" i="23"/>
  <c r="BK164" i="23"/>
  <c r="BJ164" i="23"/>
  <c r="BI164" i="23"/>
  <c r="BH164" i="23"/>
  <c r="BG164" i="23"/>
  <c r="BF164" i="23"/>
  <c r="BE164" i="23"/>
  <c r="BD164" i="23"/>
  <c r="BB164" i="23"/>
  <c r="BA164" i="23"/>
  <c r="AZ164" i="23"/>
  <c r="AY164" i="23"/>
  <c r="AX164" i="23"/>
  <c r="AV164" i="23"/>
  <c r="AU164" i="23"/>
  <c r="AT164" i="23"/>
  <c r="AS164" i="23"/>
  <c r="AR164" i="23"/>
  <c r="AQ164" i="23"/>
  <c r="AP164" i="23"/>
  <c r="AO164" i="23"/>
  <c r="AM164" i="23"/>
  <c r="AL164" i="23"/>
  <c r="AK164" i="23"/>
  <c r="AJ164" i="23"/>
  <c r="AI164" i="23"/>
  <c r="AG164" i="23"/>
  <c r="AD164" i="23"/>
  <c r="Z164" i="23"/>
  <c r="Y164" i="23"/>
  <c r="W164" i="23"/>
  <c r="V164" i="23"/>
  <c r="U164" i="23"/>
  <c r="S164" i="23"/>
  <c r="R164" i="23"/>
  <c r="Q164" i="23"/>
  <c r="P164" i="23"/>
  <c r="O164" i="23"/>
  <c r="N164" i="23"/>
  <c r="M164" i="23"/>
  <c r="L164" i="23"/>
  <c r="K164" i="23"/>
  <c r="J164" i="23"/>
  <c r="I164" i="23"/>
  <c r="H164" i="23"/>
  <c r="G164" i="23"/>
  <c r="F164" i="23"/>
  <c r="E164" i="23"/>
  <c r="A164" i="23"/>
  <c r="BO163" i="23"/>
  <c r="BN163" i="23"/>
  <c r="BM163" i="23"/>
  <c r="BL163" i="23"/>
  <c r="BK163" i="23"/>
  <c r="BJ163" i="23"/>
  <c r="BI163" i="23"/>
  <c r="BH163" i="23"/>
  <c r="BG163" i="23"/>
  <c r="BF163" i="23"/>
  <c r="BE163" i="23"/>
  <c r="BD163" i="23"/>
  <c r="BB163" i="23"/>
  <c r="BA163" i="23"/>
  <c r="AZ163" i="23"/>
  <c r="AY163" i="23"/>
  <c r="AX163" i="23"/>
  <c r="AV163" i="23"/>
  <c r="AU163" i="23"/>
  <c r="AT163" i="23"/>
  <c r="AS163" i="23"/>
  <c r="AR163" i="23"/>
  <c r="AQ163" i="23"/>
  <c r="AP163" i="23"/>
  <c r="AO163" i="23"/>
  <c r="AM163" i="23"/>
  <c r="AL163" i="23"/>
  <c r="AK163" i="23"/>
  <c r="AJ163" i="23"/>
  <c r="AI163" i="23"/>
  <c r="AG163" i="23"/>
  <c r="AD163" i="23"/>
  <c r="Z163" i="23"/>
  <c r="Y163" i="23"/>
  <c r="W163" i="23"/>
  <c r="V163" i="23"/>
  <c r="U163" i="23"/>
  <c r="S163" i="23"/>
  <c r="R163" i="23"/>
  <c r="Q163" i="23"/>
  <c r="P163" i="23"/>
  <c r="O163" i="23"/>
  <c r="N163" i="23"/>
  <c r="M163" i="23"/>
  <c r="L163" i="23"/>
  <c r="K163" i="23"/>
  <c r="J163" i="23"/>
  <c r="I163" i="23"/>
  <c r="H163" i="23"/>
  <c r="G163" i="23"/>
  <c r="F163" i="23"/>
  <c r="E163" i="23"/>
  <c r="A163" i="23"/>
  <c r="BO162" i="23"/>
  <c r="BN162" i="23"/>
  <c r="BM162" i="23"/>
  <c r="BL162" i="23"/>
  <c r="BK162" i="23"/>
  <c r="BJ162" i="23"/>
  <c r="BI162" i="23"/>
  <c r="BH162" i="23"/>
  <c r="BG162" i="23"/>
  <c r="BF162" i="23"/>
  <c r="BE162" i="23"/>
  <c r="BD162" i="23"/>
  <c r="BB162" i="23"/>
  <c r="BA162" i="23"/>
  <c r="AZ162" i="23"/>
  <c r="AY162" i="23"/>
  <c r="AX162" i="23"/>
  <c r="AV162" i="23"/>
  <c r="AU162" i="23"/>
  <c r="AT162" i="23"/>
  <c r="AS162" i="23"/>
  <c r="AR162" i="23"/>
  <c r="AQ162" i="23"/>
  <c r="AP162" i="23"/>
  <c r="AO162" i="23"/>
  <c r="AM162" i="23"/>
  <c r="AL162" i="23"/>
  <c r="AK162" i="23"/>
  <c r="AJ162" i="23"/>
  <c r="AI162" i="23"/>
  <c r="AG162" i="23"/>
  <c r="AD162" i="23"/>
  <c r="Z162" i="23"/>
  <c r="Y162" i="23"/>
  <c r="W162" i="23"/>
  <c r="V162" i="23"/>
  <c r="U162" i="23"/>
  <c r="S162" i="23"/>
  <c r="R162" i="23"/>
  <c r="Q162" i="23"/>
  <c r="P162" i="23"/>
  <c r="O162" i="23"/>
  <c r="N162" i="23"/>
  <c r="M162" i="23"/>
  <c r="L162" i="23"/>
  <c r="K162" i="23"/>
  <c r="J162" i="23"/>
  <c r="I162" i="23"/>
  <c r="H162" i="23"/>
  <c r="G162" i="23"/>
  <c r="F162" i="23"/>
  <c r="E162" i="23"/>
  <c r="A162" i="23"/>
  <c r="BO161" i="23"/>
  <c r="BN161" i="23"/>
  <c r="BM161" i="23"/>
  <c r="BL161" i="23"/>
  <c r="BK161" i="23"/>
  <c r="BJ161" i="23"/>
  <c r="BI161" i="23"/>
  <c r="BH161" i="23"/>
  <c r="BG161" i="23"/>
  <c r="BF161" i="23"/>
  <c r="BE161" i="23"/>
  <c r="BD161" i="23"/>
  <c r="BB161" i="23"/>
  <c r="BA161" i="23"/>
  <c r="AZ161" i="23"/>
  <c r="AY161" i="23"/>
  <c r="AX161" i="23"/>
  <c r="AV161" i="23"/>
  <c r="AU161" i="23"/>
  <c r="AT161" i="23"/>
  <c r="AS161" i="23"/>
  <c r="AR161" i="23"/>
  <c r="AQ161" i="23"/>
  <c r="AP161" i="23"/>
  <c r="AO161" i="23"/>
  <c r="AM161" i="23"/>
  <c r="AL161" i="23"/>
  <c r="AK161" i="23"/>
  <c r="AJ161" i="23"/>
  <c r="AI161" i="23"/>
  <c r="AG161" i="23"/>
  <c r="AD161" i="23"/>
  <c r="Z161" i="23"/>
  <c r="Y161" i="23"/>
  <c r="W161" i="23"/>
  <c r="V161" i="23"/>
  <c r="U161" i="23"/>
  <c r="S161" i="23"/>
  <c r="R161" i="23"/>
  <c r="Q161" i="23"/>
  <c r="P161" i="23"/>
  <c r="O161" i="23"/>
  <c r="N161" i="23"/>
  <c r="M161" i="23"/>
  <c r="L161" i="23"/>
  <c r="K161" i="23"/>
  <c r="J161" i="23"/>
  <c r="I161" i="23"/>
  <c r="H161" i="23"/>
  <c r="G161" i="23"/>
  <c r="F161" i="23"/>
  <c r="E161" i="23"/>
  <c r="A161" i="23"/>
  <c r="BO160" i="23"/>
  <c r="BN160" i="23"/>
  <c r="BM160" i="23"/>
  <c r="BL160" i="23"/>
  <c r="BK160" i="23"/>
  <c r="BJ160" i="23"/>
  <c r="BI160" i="23"/>
  <c r="BH160" i="23"/>
  <c r="BG160" i="23"/>
  <c r="BF160" i="23"/>
  <c r="BE160" i="23"/>
  <c r="BD160" i="23"/>
  <c r="BB160" i="23"/>
  <c r="BA160" i="23"/>
  <c r="AZ160" i="23"/>
  <c r="AY160" i="23"/>
  <c r="AX160" i="23"/>
  <c r="AV160" i="23"/>
  <c r="AU160" i="23"/>
  <c r="AT160" i="23"/>
  <c r="AS160" i="23"/>
  <c r="AR160" i="23"/>
  <c r="AQ160" i="23"/>
  <c r="AP160" i="23"/>
  <c r="AO160" i="23"/>
  <c r="AM160" i="23"/>
  <c r="AL160" i="23"/>
  <c r="AK160" i="23"/>
  <c r="AJ160" i="23"/>
  <c r="AI160" i="23"/>
  <c r="AG160" i="23"/>
  <c r="AD160" i="23"/>
  <c r="Z160" i="23"/>
  <c r="Y160" i="23"/>
  <c r="W160" i="23"/>
  <c r="V160" i="23"/>
  <c r="U160" i="23"/>
  <c r="S160" i="23"/>
  <c r="R160" i="23"/>
  <c r="Q160" i="23"/>
  <c r="P160" i="23"/>
  <c r="O160" i="23"/>
  <c r="N160" i="23"/>
  <c r="M160" i="23"/>
  <c r="L160" i="23"/>
  <c r="K160" i="23"/>
  <c r="J160" i="23"/>
  <c r="I160" i="23"/>
  <c r="H160" i="23"/>
  <c r="G160" i="23"/>
  <c r="F160" i="23"/>
  <c r="E160" i="23"/>
  <c r="BO159" i="23"/>
  <c r="BN159" i="23"/>
  <c r="BM159" i="23"/>
  <c r="BL159" i="23"/>
  <c r="BK159" i="23"/>
  <c r="BJ159" i="23"/>
  <c r="BI159" i="23"/>
  <c r="BH159" i="23"/>
  <c r="BG159" i="23"/>
  <c r="BF159" i="23"/>
  <c r="BE159" i="23"/>
  <c r="BD159" i="23"/>
  <c r="BB159" i="23"/>
  <c r="BA159" i="23"/>
  <c r="AZ159" i="23"/>
  <c r="AY159" i="23"/>
  <c r="AX159" i="23"/>
  <c r="AV159" i="23"/>
  <c r="AU159" i="23"/>
  <c r="AT159" i="23"/>
  <c r="AS159" i="23"/>
  <c r="AR159" i="23"/>
  <c r="AQ159" i="23"/>
  <c r="AP159" i="23"/>
  <c r="AO159" i="23"/>
  <c r="AM159" i="23"/>
  <c r="AL159" i="23"/>
  <c r="AK159" i="23"/>
  <c r="AJ159" i="23"/>
  <c r="AI159" i="23"/>
  <c r="AG159" i="23"/>
  <c r="AD159" i="23"/>
  <c r="Z159" i="23"/>
  <c r="Y159" i="23"/>
  <c r="W159" i="23"/>
  <c r="V159" i="23"/>
  <c r="U159" i="23"/>
  <c r="S159" i="23"/>
  <c r="R159" i="23"/>
  <c r="Q159" i="23"/>
  <c r="P159" i="23"/>
  <c r="O159" i="23"/>
  <c r="N159" i="23"/>
  <c r="M159" i="23"/>
  <c r="L159" i="23"/>
  <c r="J159" i="23"/>
  <c r="I159" i="23"/>
  <c r="H159" i="23"/>
  <c r="G159" i="23"/>
  <c r="F159" i="23"/>
  <c r="E159" i="23"/>
  <c r="BO153" i="23"/>
  <c r="BN153" i="23"/>
  <c r="BM153" i="23"/>
  <c r="BL153" i="23"/>
  <c r="BK153" i="23"/>
  <c r="BJ153" i="23"/>
  <c r="BI153" i="23"/>
  <c r="BH153" i="23"/>
  <c r="BG153" i="23"/>
  <c r="BF153" i="23"/>
  <c r="BE153" i="23"/>
  <c r="BD153" i="23"/>
  <c r="BB153" i="23"/>
  <c r="BA153" i="23"/>
  <c r="AZ153" i="23"/>
  <c r="AY153" i="23"/>
  <c r="AX153" i="23"/>
  <c r="AV153" i="23"/>
  <c r="AU153" i="23"/>
  <c r="AT153" i="23"/>
  <c r="AS153" i="23"/>
  <c r="AR153" i="23"/>
  <c r="AQ153" i="23"/>
  <c r="AP153" i="23"/>
  <c r="AO153" i="23"/>
  <c r="AM153" i="23"/>
  <c r="AL153" i="23"/>
  <c r="AK153" i="23"/>
  <c r="AJ153" i="23"/>
  <c r="AI153" i="23"/>
  <c r="AG153" i="23"/>
  <c r="AD153" i="23"/>
  <c r="Z153" i="23"/>
  <c r="Y153" i="23"/>
  <c r="W153" i="23"/>
  <c r="V153" i="23"/>
  <c r="U153" i="23"/>
  <c r="S153" i="23"/>
  <c r="R153" i="23"/>
  <c r="Q153" i="23"/>
  <c r="P153" i="23"/>
  <c r="O153" i="23"/>
  <c r="N153" i="23"/>
  <c r="M153" i="23"/>
  <c r="L153" i="23"/>
  <c r="K153" i="23"/>
  <c r="J153" i="23"/>
  <c r="I153" i="23"/>
  <c r="H153" i="23"/>
  <c r="G153" i="23"/>
  <c r="F153" i="23"/>
  <c r="E153" i="23"/>
  <c r="A153" i="23"/>
  <c r="BO152" i="23"/>
  <c r="BN152" i="23"/>
  <c r="BM152" i="23"/>
  <c r="BL152" i="23"/>
  <c r="BK152" i="23"/>
  <c r="BJ152" i="23"/>
  <c r="BI152" i="23"/>
  <c r="BH152" i="23"/>
  <c r="BG152" i="23"/>
  <c r="BF152" i="23"/>
  <c r="BE152" i="23"/>
  <c r="BD152" i="23"/>
  <c r="BB152" i="23"/>
  <c r="BA152" i="23"/>
  <c r="AZ152" i="23"/>
  <c r="AY152" i="23"/>
  <c r="AX152" i="23"/>
  <c r="AV152" i="23"/>
  <c r="AU152" i="23"/>
  <c r="AT152" i="23"/>
  <c r="AS152" i="23"/>
  <c r="AR152" i="23"/>
  <c r="AQ152" i="23"/>
  <c r="AP152" i="23"/>
  <c r="AO152" i="23"/>
  <c r="AM152" i="23"/>
  <c r="AL152" i="23"/>
  <c r="AK152" i="23"/>
  <c r="AJ152" i="23"/>
  <c r="AI152" i="23"/>
  <c r="AG152" i="23"/>
  <c r="AD152" i="23"/>
  <c r="Z152" i="23"/>
  <c r="Y152" i="23"/>
  <c r="W152" i="23"/>
  <c r="V152" i="23"/>
  <c r="U152" i="23"/>
  <c r="S152" i="23"/>
  <c r="R152" i="23"/>
  <c r="Q152" i="23"/>
  <c r="P152" i="23"/>
  <c r="O152" i="23"/>
  <c r="N152" i="23"/>
  <c r="M152" i="23"/>
  <c r="L152" i="23"/>
  <c r="K152" i="23"/>
  <c r="J152" i="23"/>
  <c r="I152" i="23"/>
  <c r="H152" i="23"/>
  <c r="G152" i="23"/>
  <c r="F152" i="23"/>
  <c r="E152" i="23"/>
  <c r="BO151" i="23"/>
  <c r="BN151" i="23"/>
  <c r="BM151" i="23"/>
  <c r="BL151" i="23"/>
  <c r="BK151" i="23"/>
  <c r="BJ151" i="23"/>
  <c r="BI151" i="23"/>
  <c r="BH151" i="23"/>
  <c r="BG151" i="23"/>
  <c r="BF151" i="23"/>
  <c r="BE151" i="23"/>
  <c r="BD151" i="23"/>
  <c r="BB151" i="23"/>
  <c r="BA151" i="23"/>
  <c r="AZ151" i="23"/>
  <c r="AY151" i="23"/>
  <c r="AX151" i="23"/>
  <c r="AV151" i="23"/>
  <c r="AU151" i="23"/>
  <c r="AT151" i="23"/>
  <c r="AS151" i="23"/>
  <c r="AR151" i="23"/>
  <c r="AQ151" i="23"/>
  <c r="AP151" i="23"/>
  <c r="AO151" i="23"/>
  <c r="AM151" i="23"/>
  <c r="AL151" i="23"/>
  <c r="AK151" i="23"/>
  <c r="AJ151" i="23"/>
  <c r="AI151" i="23"/>
  <c r="AG151" i="23"/>
  <c r="AD151" i="23"/>
  <c r="Z151" i="23"/>
  <c r="Y151" i="23"/>
  <c r="W151" i="23"/>
  <c r="V151" i="23"/>
  <c r="U151" i="23"/>
  <c r="S151" i="23"/>
  <c r="R151" i="23"/>
  <c r="Q151" i="23"/>
  <c r="P151" i="23"/>
  <c r="O151" i="23"/>
  <c r="N151" i="23"/>
  <c r="M151" i="23"/>
  <c r="L151" i="23"/>
  <c r="J151" i="23"/>
  <c r="I151" i="23"/>
  <c r="H151" i="23"/>
  <c r="G151" i="23"/>
  <c r="F151" i="23"/>
  <c r="E151" i="23"/>
  <c r="BO150" i="23"/>
  <c r="BN150" i="23"/>
  <c r="BM150" i="23"/>
  <c r="BL150" i="23"/>
  <c r="BK150" i="23"/>
  <c r="BJ150" i="23"/>
  <c r="BI150" i="23"/>
  <c r="BH150" i="23"/>
  <c r="BG150" i="23"/>
  <c r="BF150" i="23"/>
  <c r="BE150" i="23"/>
  <c r="BD150" i="23"/>
  <c r="BB150" i="23"/>
  <c r="BA150" i="23"/>
  <c r="AZ150" i="23"/>
  <c r="AY150" i="23"/>
  <c r="AX150" i="23"/>
  <c r="AV150" i="23"/>
  <c r="AU150" i="23"/>
  <c r="AT150" i="23"/>
  <c r="AS150" i="23"/>
  <c r="AR150" i="23"/>
  <c r="AQ150" i="23"/>
  <c r="AP150" i="23"/>
  <c r="AO150" i="23"/>
  <c r="AM150" i="23"/>
  <c r="AL150" i="23"/>
  <c r="AK150" i="23"/>
  <c r="AJ150" i="23"/>
  <c r="AI150" i="23"/>
  <c r="AG150" i="23"/>
  <c r="AD150" i="23"/>
  <c r="Z150" i="23"/>
  <c r="Y150" i="23"/>
  <c r="W150" i="23"/>
  <c r="V150" i="23"/>
  <c r="U150" i="23"/>
  <c r="S150" i="23"/>
  <c r="R150" i="23"/>
  <c r="Q150" i="23"/>
  <c r="P150" i="23"/>
  <c r="O150" i="23"/>
  <c r="N150" i="23"/>
  <c r="M150" i="23"/>
  <c r="L150" i="23"/>
  <c r="J150" i="23"/>
  <c r="I150" i="23"/>
  <c r="H150" i="23"/>
  <c r="G150" i="23"/>
  <c r="F150" i="23"/>
  <c r="E150" i="23"/>
  <c r="BO149" i="23"/>
  <c r="BN149" i="23"/>
  <c r="BM149" i="23"/>
  <c r="BL149" i="23"/>
  <c r="BK149" i="23"/>
  <c r="BJ149" i="23"/>
  <c r="BI149" i="23"/>
  <c r="BH149" i="23"/>
  <c r="BG149" i="23"/>
  <c r="BF149" i="23"/>
  <c r="BE149" i="23"/>
  <c r="BD149" i="23"/>
  <c r="BB149" i="23"/>
  <c r="BA149" i="23"/>
  <c r="AZ149" i="23"/>
  <c r="AY149" i="23"/>
  <c r="AX149" i="23"/>
  <c r="AV149" i="23"/>
  <c r="AU149" i="23"/>
  <c r="AT149" i="23"/>
  <c r="AS149" i="23"/>
  <c r="AR149" i="23"/>
  <c r="AQ149" i="23"/>
  <c r="AP149" i="23"/>
  <c r="AO149" i="23"/>
  <c r="AM149" i="23"/>
  <c r="AL149" i="23"/>
  <c r="AK149" i="23"/>
  <c r="AJ149" i="23"/>
  <c r="AI149" i="23"/>
  <c r="AG149" i="23"/>
  <c r="AD149" i="23"/>
  <c r="Z149" i="23"/>
  <c r="Y149" i="23"/>
  <c r="W149" i="23"/>
  <c r="V149" i="23"/>
  <c r="U149" i="23"/>
  <c r="S149" i="23"/>
  <c r="R149" i="23"/>
  <c r="Q149" i="23"/>
  <c r="P149" i="23"/>
  <c r="O149" i="23"/>
  <c r="N149" i="23"/>
  <c r="M149" i="23"/>
  <c r="L149" i="23"/>
  <c r="J149" i="23"/>
  <c r="I149" i="23"/>
  <c r="H149" i="23"/>
  <c r="G149" i="23"/>
  <c r="F149" i="23"/>
  <c r="E149" i="23"/>
  <c r="BO148" i="23"/>
  <c r="BN148" i="23"/>
  <c r="BM148" i="23"/>
  <c r="BL148" i="23"/>
  <c r="BK148" i="23"/>
  <c r="BJ148" i="23"/>
  <c r="BI148" i="23"/>
  <c r="BH148" i="23"/>
  <c r="BG148" i="23"/>
  <c r="BF148" i="23"/>
  <c r="BE148" i="23"/>
  <c r="BD148" i="23"/>
  <c r="BB148" i="23"/>
  <c r="BA148" i="23"/>
  <c r="AZ148" i="23"/>
  <c r="AY148" i="23"/>
  <c r="AX148" i="23"/>
  <c r="AV148" i="23"/>
  <c r="AU148" i="23"/>
  <c r="AT148" i="23"/>
  <c r="AS148" i="23"/>
  <c r="AR148" i="23"/>
  <c r="AQ148" i="23"/>
  <c r="AP148" i="23"/>
  <c r="AO148" i="23"/>
  <c r="AM148" i="23"/>
  <c r="AL148" i="23"/>
  <c r="AK148" i="23"/>
  <c r="AJ148" i="23"/>
  <c r="AI148" i="23"/>
  <c r="AG148" i="23"/>
  <c r="AD148" i="23"/>
  <c r="Z148" i="23"/>
  <c r="Y148" i="23"/>
  <c r="W148" i="23"/>
  <c r="V148" i="23"/>
  <c r="U148" i="23"/>
  <c r="S148" i="23"/>
  <c r="R148" i="23"/>
  <c r="Q148" i="23"/>
  <c r="P148" i="23"/>
  <c r="O148" i="23"/>
  <c r="N148" i="23"/>
  <c r="M148" i="23"/>
  <c r="L148" i="23"/>
  <c r="J148" i="23"/>
  <c r="I148" i="23"/>
  <c r="H148" i="23"/>
  <c r="G148" i="23"/>
  <c r="F148" i="23"/>
  <c r="E148" i="23"/>
  <c r="BO147" i="23"/>
  <c r="BN147" i="23"/>
  <c r="BM147" i="23"/>
  <c r="BL147" i="23"/>
  <c r="BK147" i="23"/>
  <c r="BJ147" i="23"/>
  <c r="BI147" i="23"/>
  <c r="BH147" i="23"/>
  <c r="BG147" i="23"/>
  <c r="BF147" i="23"/>
  <c r="BE147" i="23"/>
  <c r="BD147" i="23"/>
  <c r="BB147" i="23"/>
  <c r="BA147" i="23"/>
  <c r="AZ147" i="23"/>
  <c r="AY147" i="23"/>
  <c r="AX147" i="23"/>
  <c r="AV147" i="23"/>
  <c r="AU147" i="23"/>
  <c r="AT147" i="23"/>
  <c r="AS147" i="23"/>
  <c r="AR147" i="23"/>
  <c r="AQ147" i="23"/>
  <c r="AP147" i="23"/>
  <c r="AO147" i="23"/>
  <c r="AM147" i="23"/>
  <c r="AL147" i="23"/>
  <c r="AK147" i="23"/>
  <c r="AJ147" i="23"/>
  <c r="AI147" i="23"/>
  <c r="AG147" i="23"/>
  <c r="AD147" i="23"/>
  <c r="Z147" i="23"/>
  <c r="Y147" i="23"/>
  <c r="W147" i="23"/>
  <c r="V147" i="23"/>
  <c r="U147" i="23"/>
  <c r="S147" i="23"/>
  <c r="R147" i="23"/>
  <c r="Q147" i="23"/>
  <c r="P147" i="23"/>
  <c r="O147" i="23"/>
  <c r="N147" i="23"/>
  <c r="M147" i="23"/>
  <c r="L147" i="23"/>
  <c r="J147" i="23"/>
  <c r="I147" i="23"/>
  <c r="H147" i="23"/>
  <c r="G147" i="23"/>
  <c r="F147" i="23"/>
  <c r="E147" i="23"/>
  <c r="BO146" i="23"/>
  <c r="BN146" i="23"/>
  <c r="BM146" i="23"/>
  <c r="BL146" i="23"/>
  <c r="BK146" i="23"/>
  <c r="BJ146" i="23"/>
  <c r="BI146" i="23"/>
  <c r="BH146" i="23"/>
  <c r="BG146" i="23"/>
  <c r="BF146" i="23"/>
  <c r="BE146" i="23"/>
  <c r="BD146" i="23"/>
  <c r="BB146" i="23"/>
  <c r="BA146" i="23"/>
  <c r="AZ146" i="23"/>
  <c r="AY146" i="23"/>
  <c r="AX146" i="23"/>
  <c r="AV146" i="23"/>
  <c r="AU146" i="23"/>
  <c r="AT146" i="23"/>
  <c r="AS146" i="23"/>
  <c r="AR146" i="23"/>
  <c r="AQ146" i="23"/>
  <c r="AP146" i="23"/>
  <c r="AO146" i="23"/>
  <c r="AM146" i="23"/>
  <c r="AL146" i="23"/>
  <c r="AK146" i="23"/>
  <c r="AJ146" i="23"/>
  <c r="AI146" i="23"/>
  <c r="AG146" i="23"/>
  <c r="AD146" i="23"/>
  <c r="Z146" i="23"/>
  <c r="Y146" i="23"/>
  <c r="W146" i="23"/>
  <c r="V146" i="23"/>
  <c r="U146" i="23"/>
  <c r="S146" i="23"/>
  <c r="R146" i="23"/>
  <c r="Q146" i="23"/>
  <c r="P146" i="23"/>
  <c r="O146" i="23"/>
  <c r="N146" i="23"/>
  <c r="M146" i="23"/>
  <c r="L146" i="23"/>
  <c r="J146" i="23"/>
  <c r="I146" i="23"/>
  <c r="H146" i="23"/>
  <c r="G146" i="23"/>
  <c r="F146" i="23"/>
  <c r="E146" i="23"/>
  <c r="BO145" i="23"/>
  <c r="BN145" i="23"/>
  <c r="BM145" i="23"/>
  <c r="BL145" i="23"/>
  <c r="BK145" i="23"/>
  <c r="BJ145" i="23"/>
  <c r="BI145" i="23"/>
  <c r="BH145" i="23"/>
  <c r="BG145" i="23"/>
  <c r="BF145" i="23"/>
  <c r="BE145" i="23"/>
  <c r="BD145" i="23"/>
  <c r="BB145" i="23"/>
  <c r="BA145" i="23"/>
  <c r="AZ145" i="23"/>
  <c r="AY145" i="23"/>
  <c r="AX145" i="23"/>
  <c r="AV145" i="23"/>
  <c r="AU145" i="23"/>
  <c r="AT145" i="23"/>
  <c r="AS145" i="23"/>
  <c r="AR145" i="23"/>
  <c r="AQ145" i="23"/>
  <c r="AP145" i="23"/>
  <c r="AO145" i="23"/>
  <c r="AM145" i="23"/>
  <c r="AL145" i="23"/>
  <c r="AK145" i="23"/>
  <c r="AJ145" i="23"/>
  <c r="AI145" i="23"/>
  <c r="AG145" i="23"/>
  <c r="AD145" i="23"/>
  <c r="Z145" i="23"/>
  <c r="Y145" i="23"/>
  <c r="W145" i="23"/>
  <c r="V145" i="23"/>
  <c r="U145" i="23"/>
  <c r="S145" i="23"/>
  <c r="R145" i="23"/>
  <c r="Q145" i="23"/>
  <c r="P145" i="23"/>
  <c r="O145" i="23"/>
  <c r="N145" i="23"/>
  <c r="M145" i="23"/>
  <c r="L145" i="23"/>
  <c r="J145" i="23"/>
  <c r="I145" i="23"/>
  <c r="H145" i="23"/>
  <c r="G145" i="23"/>
  <c r="F145" i="23"/>
  <c r="E145" i="23"/>
  <c r="BO144" i="23"/>
  <c r="BN144" i="23"/>
  <c r="BM144" i="23"/>
  <c r="BL144" i="23"/>
  <c r="BK144" i="23"/>
  <c r="BJ144" i="23"/>
  <c r="BI144" i="23"/>
  <c r="BH144" i="23"/>
  <c r="BG144" i="23"/>
  <c r="BF144" i="23"/>
  <c r="BE144" i="23"/>
  <c r="BD144" i="23"/>
  <c r="BB144" i="23"/>
  <c r="BA144" i="23"/>
  <c r="AZ144" i="23"/>
  <c r="AY144" i="23"/>
  <c r="AX144" i="23"/>
  <c r="AV144" i="23"/>
  <c r="AU144" i="23"/>
  <c r="AT144" i="23"/>
  <c r="AS144" i="23"/>
  <c r="AR144" i="23"/>
  <c r="AQ144" i="23"/>
  <c r="AP144" i="23"/>
  <c r="AO144" i="23"/>
  <c r="AM144" i="23"/>
  <c r="AL144" i="23"/>
  <c r="AK144" i="23"/>
  <c r="AJ144" i="23"/>
  <c r="AI144" i="23"/>
  <c r="AG144" i="23"/>
  <c r="AD144" i="23"/>
  <c r="Z144" i="23"/>
  <c r="Y144" i="23"/>
  <c r="W144" i="23"/>
  <c r="V144" i="23"/>
  <c r="U144" i="23"/>
  <c r="S144" i="23"/>
  <c r="R144" i="23"/>
  <c r="Q144" i="23"/>
  <c r="P144" i="23"/>
  <c r="O144" i="23"/>
  <c r="N144" i="23"/>
  <c r="M144" i="23"/>
  <c r="L144" i="23"/>
  <c r="J144" i="23"/>
  <c r="I144" i="23"/>
  <c r="H144" i="23"/>
  <c r="G144" i="23"/>
  <c r="F144" i="23"/>
  <c r="E144" i="23"/>
  <c r="BO143" i="23"/>
  <c r="BN143" i="23"/>
  <c r="BM143" i="23"/>
  <c r="BL143" i="23"/>
  <c r="BK143" i="23"/>
  <c r="BJ143" i="23"/>
  <c r="BI143" i="23"/>
  <c r="BH143" i="23"/>
  <c r="BG143" i="23"/>
  <c r="BF143" i="23"/>
  <c r="BE143" i="23"/>
  <c r="BD143" i="23"/>
  <c r="BB143" i="23"/>
  <c r="BA143" i="23"/>
  <c r="AZ143" i="23"/>
  <c r="AY143" i="23"/>
  <c r="AX143" i="23"/>
  <c r="AV143" i="23"/>
  <c r="AU143" i="23"/>
  <c r="AT143" i="23"/>
  <c r="AS143" i="23"/>
  <c r="AR143" i="23"/>
  <c r="AQ143" i="23"/>
  <c r="AP143" i="23"/>
  <c r="AO143" i="23"/>
  <c r="AM143" i="23"/>
  <c r="AL143" i="23"/>
  <c r="AK143" i="23"/>
  <c r="AJ143" i="23"/>
  <c r="AI143" i="23"/>
  <c r="AG143" i="23"/>
  <c r="AD143" i="23"/>
  <c r="Z143" i="23"/>
  <c r="Y143" i="23"/>
  <c r="W143" i="23"/>
  <c r="V143" i="23"/>
  <c r="U143" i="23"/>
  <c r="S143" i="23"/>
  <c r="R143" i="23"/>
  <c r="Q143" i="23"/>
  <c r="P143" i="23"/>
  <c r="O143" i="23"/>
  <c r="N143" i="23"/>
  <c r="M143" i="23"/>
  <c r="L143" i="23"/>
  <c r="J143" i="23"/>
  <c r="I143" i="23"/>
  <c r="H143" i="23"/>
  <c r="G143" i="23"/>
  <c r="F143" i="23"/>
  <c r="E143" i="23"/>
  <c r="BO142" i="23"/>
  <c r="BN142" i="23"/>
  <c r="BM142" i="23"/>
  <c r="BL142" i="23"/>
  <c r="BK142" i="23"/>
  <c r="BJ142" i="23"/>
  <c r="BI142" i="23"/>
  <c r="BH142" i="23"/>
  <c r="BG142" i="23"/>
  <c r="BF142" i="23"/>
  <c r="BE142" i="23"/>
  <c r="BD142" i="23"/>
  <c r="BB142" i="23"/>
  <c r="BA142" i="23"/>
  <c r="AZ142" i="23"/>
  <c r="AY142" i="23"/>
  <c r="AX142" i="23"/>
  <c r="AM142" i="23"/>
  <c r="AL142" i="23"/>
  <c r="AK142" i="23"/>
  <c r="AJ142" i="23"/>
  <c r="AI142" i="23"/>
  <c r="AG142" i="23"/>
  <c r="AD142" i="23"/>
  <c r="Z142" i="23"/>
  <c r="Y142" i="23"/>
  <c r="W142" i="23"/>
  <c r="V142" i="23"/>
  <c r="U142" i="23"/>
  <c r="BO141" i="23"/>
  <c r="BN141" i="23"/>
  <c r="BM141" i="23"/>
  <c r="BL141" i="23"/>
  <c r="BK141" i="23"/>
  <c r="BJ141" i="23"/>
  <c r="BI141" i="23"/>
  <c r="BH141" i="23"/>
  <c r="BG141" i="23"/>
  <c r="BF141" i="23"/>
  <c r="BE141" i="23"/>
  <c r="BD141" i="23"/>
  <c r="BB141" i="23"/>
  <c r="BA141" i="23"/>
  <c r="AZ141" i="23"/>
  <c r="AY141" i="23"/>
  <c r="AX141" i="23"/>
  <c r="AV141" i="23"/>
  <c r="AU141" i="23"/>
  <c r="AT141" i="23"/>
  <c r="AS141" i="23"/>
  <c r="AR141" i="23"/>
  <c r="AQ141" i="23"/>
  <c r="AP141" i="23"/>
  <c r="AO141" i="23"/>
  <c r="AM141" i="23"/>
  <c r="AL141" i="23"/>
  <c r="AK141" i="23"/>
  <c r="AJ141" i="23"/>
  <c r="AI141" i="23"/>
  <c r="AG141" i="23"/>
  <c r="AD141" i="23"/>
  <c r="Z141" i="23"/>
  <c r="Y141" i="23"/>
  <c r="W141" i="23"/>
  <c r="V141" i="23"/>
  <c r="U141" i="23"/>
  <c r="S141" i="23"/>
  <c r="R141" i="23"/>
  <c r="Q141" i="23"/>
  <c r="P141" i="23"/>
  <c r="O141" i="23"/>
  <c r="N141" i="23"/>
  <c r="M141" i="23"/>
  <c r="L141" i="23"/>
  <c r="K141" i="23"/>
  <c r="J141" i="23"/>
  <c r="I141" i="23"/>
  <c r="H141" i="23"/>
  <c r="G141" i="23"/>
  <c r="F141" i="23"/>
  <c r="E141" i="23"/>
  <c r="BO140" i="23"/>
  <c r="BN140" i="23"/>
  <c r="BM140" i="23"/>
  <c r="BL140" i="23"/>
  <c r="BK140" i="23"/>
  <c r="BJ140" i="23"/>
  <c r="BI140" i="23"/>
  <c r="BH140" i="23"/>
  <c r="BG140" i="23"/>
  <c r="BF140" i="23"/>
  <c r="BE140" i="23"/>
  <c r="BD140" i="23"/>
  <c r="BC140" i="23"/>
  <c r="BB140" i="23"/>
  <c r="BA140" i="23"/>
  <c r="AZ140" i="23"/>
  <c r="AY140" i="23"/>
  <c r="AX140" i="23"/>
  <c r="AV140" i="23"/>
  <c r="AU140" i="23"/>
  <c r="AT140" i="23"/>
  <c r="AS140" i="23"/>
  <c r="AR140" i="23"/>
  <c r="AQ140" i="23"/>
  <c r="AP140" i="23"/>
  <c r="AO140" i="23"/>
  <c r="AM140" i="23"/>
  <c r="AL140" i="23"/>
  <c r="AK140" i="23"/>
  <c r="AJ140" i="23"/>
  <c r="AI140" i="23"/>
  <c r="AG140" i="23"/>
  <c r="AD140" i="23"/>
  <c r="Z140" i="23"/>
  <c r="Y140" i="23"/>
  <c r="W140" i="23"/>
  <c r="V140" i="23"/>
  <c r="U140" i="23"/>
  <c r="S140" i="23"/>
  <c r="R140" i="23"/>
  <c r="Q140" i="23"/>
  <c r="P140" i="23"/>
  <c r="O140" i="23"/>
  <c r="N140" i="23"/>
  <c r="M140" i="23"/>
  <c r="L140" i="23"/>
  <c r="J140" i="23"/>
  <c r="I140" i="23"/>
  <c r="H140" i="23"/>
  <c r="G140" i="23"/>
  <c r="F140" i="23"/>
  <c r="E140" i="23"/>
  <c r="BO139" i="23"/>
  <c r="BN139" i="23"/>
  <c r="BM139" i="23"/>
  <c r="BL139" i="23"/>
  <c r="BK139" i="23"/>
  <c r="BJ139" i="23"/>
  <c r="BI139" i="23"/>
  <c r="BH139" i="23"/>
  <c r="BG139" i="23"/>
  <c r="BF139" i="23"/>
  <c r="BE139" i="23"/>
  <c r="BD139" i="23"/>
  <c r="BC139" i="23"/>
  <c r="BB139" i="23"/>
  <c r="BA139" i="23"/>
  <c r="AZ139" i="23"/>
  <c r="AY139" i="23"/>
  <c r="AX139" i="23"/>
  <c r="AV139" i="23"/>
  <c r="AU139" i="23"/>
  <c r="AT139" i="23"/>
  <c r="AS139" i="23"/>
  <c r="AR139" i="23"/>
  <c r="AQ139" i="23"/>
  <c r="AP139" i="23"/>
  <c r="AO139" i="23"/>
  <c r="AM139" i="23"/>
  <c r="AL139" i="23"/>
  <c r="AK139" i="23"/>
  <c r="AJ139" i="23"/>
  <c r="AI139" i="23"/>
  <c r="AG139" i="23"/>
  <c r="AD139" i="23"/>
  <c r="Z139" i="23"/>
  <c r="Y139" i="23"/>
  <c r="W139" i="23"/>
  <c r="V139" i="23"/>
  <c r="U139" i="23"/>
  <c r="S139" i="23"/>
  <c r="R139" i="23"/>
  <c r="Q139" i="23"/>
  <c r="P139" i="23"/>
  <c r="O139" i="23"/>
  <c r="N139" i="23"/>
  <c r="M139" i="23"/>
  <c r="L139" i="23"/>
  <c r="J139" i="23"/>
  <c r="I139" i="23"/>
  <c r="H139" i="23"/>
  <c r="G139" i="23"/>
  <c r="F139" i="23"/>
  <c r="E139" i="23"/>
  <c r="BO138" i="23"/>
  <c r="BN138" i="23"/>
  <c r="BM138" i="23"/>
  <c r="BL138" i="23"/>
  <c r="BK138" i="23"/>
  <c r="BJ138" i="23"/>
  <c r="BI138" i="23"/>
  <c r="BH138" i="23"/>
  <c r="BG138" i="23"/>
  <c r="BF138" i="23"/>
  <c r="BE138" i="23"/>
  <c r="BD138" i="23"/>
  <c r="BC138" i="23"/>
  <c r="BB138" i="23"/>
  <c r="BA138" i="23"/>
  <c r="AZ138" i="23"/>
  <c r="AY138" i="23"/>
  <c r="AX138" i="23"/>
  <c r="AV138" i="23"/>
  <c r="AU138" i="23"/>
  <c r="AT138" i="23"/>
  <c r="AS138" i="23"/>
  <c r="AR138" i="23"/>
  <c r="AQ138" i="23"/>
  <c r="AP138" i="23"/>
  <c r="AO138" i="23"/>
  <c r="AM138" i="23"/>
  <c r="AL138" i="23"/>
  <c r="AK138" i="23"/>
  <c r="AJ138" i="23"/>
  <c r="AI138" i="23"/>
  <c r="AG138" i="23"/>
  <c r="AD138" i="23"/>
  <c r="Z138" i="23"/>
  <c r="Y138" i="23"/>
  <c r="W138" i="23"/>
  <c r="V138" i="23"/>
  <c r="U138" i="23"/>
  <c r="S138" i="23"/>
  <c r="R138" i="23"/>
  <c r="Q138" i="23"/>
  <c r="P138" i="23"/>
  <c r="O138" i="23"/>
  <c r="N138" i="23"/>
  <c r="M138" i="23"/>
  <c r="L138" i="23"/>
  <c r="J138" i="23"/>
  <c r="I138" i="23"/>
  <c r="H138" i="23"/>
  <c r="G138" i="23"/>
  <c r="F138" i="23"/>
  <c r="E138" i="23"/>
  <c r="BO137" i="23"/>
  <c r="BN137" i="23"/>
  <c r="BM137" i="23"/>
  <c r="BL137" i="23"/>
  <c r="BK137" i="23"/>
  <c r="BJ137" i="23"/>
  <c r="BI137" i="23"/>
  <c r="BH137" i="23"/>
  <c r="BG137" i="23"/>
  <c r="BF137" i="23"/>
  <c r="BE137" i="23"/>
  <c r="BD137" i="23"/>
  <c r="BB137" i="23"/>
  <c r="BA137" i="23"/>
  <c r="AZ137" i="23"/>
  <c r="AY137" i="23"/>
  <c r="AX137" i="23"/>
  <c r="AV137" i="23"/>
  <c r="AU137" i="23"/>
  <c r="AT137" i="23"/>
  <c r="AS137" i="23"/>
  <c r="AR137" i="23"/>
  <c r="AQ137" i="23"/>
  <c r="AP137" i="23"/>
  <c r="AO137" i="23"/>
  <c r="AM137" i="23"/>
  <c r="AL137" i="23"/>
  <c r="AK137" i="23"/>
  <c r="AJ137" i="23"/>
  <c r="AI137" i="23"/>
  <c r="AG137" i="23"/>
  <c r="AD137" i="23"/>
  <c r="Z137" i="23"/>
  <c r="Y137" i="23"/>
  <c r="W137" i="23"/>
  <c r="V137" i="23"/>
  <c r="U137" i="23"/>
  <c r="S137" i="23"/>
  <c r="R137" i="23"/>
  <c r="Q137" i="23"/>
  <c r="P137" i="23"/>
  <c r="O137" i="23"/>
  <c r="N137" i="23"/>
  <c r="M137" i="23"/>
  <c r="L137" i="23"/>
  <c r="J137" i="23"/>
  <c r="I137" i="23"/>
  <c r="H137" i="23"/>
  <c r="G137" i="23"/>
  <c r="F137" i="23"/>
  <c r="E137" i="23"/>
  <c r="BO136" i="23"/>
  <c r="BN136" i="23"/>
  <c r="BM136" i="23"/>
  <c r="BL136" i="23"/>
  <c r="BK136" i="23"/>
  <c r="BJ136" i="23"/>
  <c r="BI136" i="23"/>
  <c r="BH136" i="23"/>
  <c r="BG136" i="23"/>
  <c r="BF136" i="23"/>
  <c r="BE136" i="23"/>
  <c r="BD136" i="23"/>
  <c r="BB136" i="23"/>
  <c r="BA136" i="23"/>
  <c r="AZ136" i="23"/>
  <c r="AY136" i="23"/>
  <c r="AX136" i="23"/>
  <c r="AV136" i="23"/>
  <c r="AU136" i="23"/>
  <c r="AT136" i="23"/>
  <c r="AS136" i="23"/>
  <c r="AR136" i="23"/>
  <c r="AQ136" i="23"/>
  <c r="AP136" i="23"/>
  <c r="AO136" i="23"/>
  <c r="AM136" i="23"/>
  <c r="AL136" i="23"/>
  <c r="AK136" i="23"/>
  <c r="AJ136" i="23"/>
  <c r="AI136" i="23"/>
  <c r="AG136" i="23"/>
  <c r="AD136" i="23"/>
  <c r="Z136" i="23"/>
  <c r="Y136" i="23"/>
  <c r="W136" i="23"/>
  <c r="V136" i="23"/>
  <c r="U136" i="23"/>
  <c r="S136" i="23"/>
  <c r="R136" i="23"/>
  <c r="Q136" i="23"/>
  <c r="P136" i="23"/>
  <c r="O136" i="23"/>
  <c r="N136" i="23"/>
  <c r="M136" i="23"/>
  <c r="L136" i="23"/>
  <c r="J136" i="23"/>
  <c r="I136" i="23"/>
  <c r="H136" i="23"/>
  <c r="G136" i="23"/>
  <c r="F136" i="23"/>
  <c r="E136" i="23"/>
  <c r="BO135" i="23"/>
  <c r="BN135" i="23"/>
  <c r="BM135" i="23"/>
  <c r="BL135" i="23"/>
  <c r="BK135" i="23"/>
  <c r="BJ135" i="23"/>
  <c r="BI135" i="23"/>
  <c r="BH135" i="23"/>
  <c r="BG135" i="23"/>
  <c r="BF135" i="23"/>
  <c r="BE135" i="23"/>
  <c r="BD135" i="23"/>
  <c r="BB135" i="23"/>
  <c r="BA135" i="23"/>
  <c r="AZ135" i="23"/>
  <c r="AY135" i="23"/>
  <c r="AX135" i="23"/>
  <c r="AV135" i="23"/>
  <c r="AU135" i="23"/>
  <c r="AT135" i="23"/>
  <c r="AS135" i="23"/>
  <c r="AR135" i="23"/>
  <c r="AQ135" i="23"/>
  <c r="AP135" i="23"/>
  <c r="AO135" i="23"/>
  <c r="AM135" i="23"/>
  <c r="AL135" i="23"/>
  <c r="AK135" i="23"/>
  <c r="AJ135" i="23"/>
  <c r="AI135" i="23"/>
  <c r="AG135" i="23"/>
  <c r="AD135" i="23"/>
  <c r="Z135" i="23"/>
  <c r="Y135" i="23"/>
  <c r="W135" i="23"/>
  <c r="V135" i="23"/>
  <c r="U135" i="23"/>
  <c r="S135" i="23"/>
  <c r="R135" i="23"/>
  <c r="Q135" i="23"/>
  <c r="P135" i="23"/>
  <c r="O135" i="23"/>
  <c r="N135" i="23"/>
  <c r="M135" i="23"/>
  <c r="L135" i="23"/>
  <c r="K135" i="23"/>
  <c r="J135" i="23"/>
  <c r="I135" i="23"/>
  <c r="H135" i="23"/>
  <c r="G135" i="23"/>
  <c r="F135" i="23"/>
  <c r="E135" i="23"/>
  <c r="BO134" i="23"/>
  <c r="BN134" i="23"/>
  <c r="BM134" i="23"/>
  <c r="BL134" i="23"/>
  <c r="BK134" i="23"/>
  <c r="BJ134" i="23"/>
  <c r="BI134" i="23"/>
  <c r="BH134" i="23"/>
  <c r="BG134" i="23"/>
  <c r="BF134" i="23"/>
  <c r="BE134" i="23"/>
  <c r="BD134" i="23"/>
  <c r="BB134" i="23"/>
  <c r="BA134" i="23"/>
  <c r="AZ134" i="23"/>
  <c r="AY134" i="23"/>
  <c r="AX134" i="23"/>
  <c r="AV134" i="23"/>
  <c r="AU134" i="23"/>
  <c r="AT134" i="23"/>
  <c r="AS134" i="23"/>
  <c r="AR134" i="23"/>
  <c r="AQ134" i="23"/>
  <c r="AP134" i="23"/>
  <c r="AO134" i="23"/>
  <c r="AM134" i="23"/>
  <c r="AL134" i="23"/>
  <c r="AK134" i="23"/>
  <c r="AJ134" i="23"/>
  <c r="AI134" i="23"/>
  <c r="AG134" i="23"/>
  <c r="AD134" i="23"/>
  <c r="Z134" i="23"/>
  <c r="Y134" i="23"/>
  <c r="W134" i="23"/>
  <c r="V134" i="23"/>
  <c r="U134" i="23"/>
  <c r="S134" i="23"/>
  <c r="R134" i="23"/>
  <c r="Q134" i="23"/>
  <c r="P134" i="23"/>
  <c r="O134" i="23"/>
  <c r="N134" i="23"/>
  <c r="M134" i="23"/>
  <c r="L134" i="23"/>
  <c r="K134" i="23"/>
  <c r="J134" i="23"/>
  <c r="I134" i="23"/>
  <c r="H134" i="23"/>
  <c r="G134" i="23"/>
  <c r="F134" i="23"/>
  <c r="E134" i="23"/>
  <c r="BO133" i="23"/>
  <c r="BN133" i="23"/>
  <c r="BM133" i="23"/>
  <c r="BL133" i="23"/>
  <c r="BK133" i="23"/>
  <c r="BJ133" i="23"/>
  <c r="BI133" i="23"/>
  <c r="BH133" i="23"/>
  <c r="BG133" i="23"/>
  <c r="BF133" i="23"/>
  <c r="BE133" i="23"/>
  <c r="BD133" i="23"/>
  <c r="BB133" i="23"/>
  <c r="BA133" i="23"/>
  <c r="AZ133" i="23"/>
  <c r="AY133" i="23"/>
  <c r="AX133" i="23"/>
  <c r="AV133" i="23"/>
  <c r="AU133" i="23"/>
  <c r="AT133" i="23"/>
  <c r="AS133" i="23"/>
  <c r="AR133" i="23"/>
  <c r="AQ133" i="23"/>
  <c r="AP133" i="23"/>
  <c r="AO133" i="23"/>
  <c r="AM133" i="23"/>
  <c r="AL133" i="23"/>
  <c r="AK133" i="23"/>
  <c r="AJ133" i="23"/>
  <c r="AI133" i="23"/>
  <c r="AG133" i="23"/>
  <c r="AD133" i="23"/>
  <c r="Z133" i="23"/>
  <c r="Y133" i="23"/>
  <c r="W133" i="23"/>
  <c r="V133" i="23"/>
  <c r="U133" i="23"/>
  <c r="S133" i="23"/>
  <c r="R133" i="23"/>
  <c r="Q133" i="23"/>
  <c r="P133" i="23"/>
  <c r="O133" i="23"/>
  <c r="N133" i="23"/>
  <c r="M133" i="23"/>
  <c r="L133" i="23"/>
  <c r="K133" i="23"/>
  <c r="J133" i="23"/>
  <c r="I133" i="23"/>
  <c r="H133" i="23"/>
  <c r="G133" i="23"/>
  <c r="F133" i="23"/>
  <c r="E133" i="23"/>
  <c r="BO132" i="23"/>
  <c r="BN132" i="23"/>
  <c r="BM132" i="23"/>
  <c r="BL132" i="23"/>
  <c r="BK132" i="23"/>
  <c r="BJ132" i="23"/>
  <c r="BI132" i="23"/>
  <c r="BH132" i="23"/>
  <c r="BG132" i="23"/>
  <c r="BF132" i="23"/>
  <c r="BE132" i="23"/>
  <c r="BD132" i="23"/>
  <c r="BB132" i="23"/>
  <c r="BA132" i="23"/>
  <c r="AZ132" i="23"/>
  <c r="AY132" i="23"/>
  <c r="AX132" i="23"/>
  <c r="AV132" i="23"/>
  <c r="AU132" i="23"/>
  <c r="AT132" i="23"/>
  <c r="AS132" i="23"/>
  <c r="AR132" i="23"/>
  <c r="AQ132" i="23"/>
  <c r="AP132" i="23"/>
  <c r="AO132" i="23"/>
  <c r="AM132" i="23"/>
  <c r="AL132" i="23"/>
  <c r="AK132" i="23"/>
  <c r="AJ132" i="23"/>
  <c r="AI132" i="23"/>
  <c r="AG132" i="23"/>
  <c r="AD132" i="23"/>
  <c r="Z132" i="23"/>
  <c r="Y132" i="23"/>
  <c r="W132" i="23"/>
  <c r="V132" i="23"/>
  <c r="U132" i="23"/>
  <c r="S132" i="23"/>
  <c r="R132" i="23"/>
  <c r="Q132" i="23"/>
  <c r="P132" i="23"/>
  <c r="O132" i="23"/>
  <c r="N132" i="23"/>
  <c r="M132" i="23"/>
  <c r="L132" i="23"/>
  <c r="J132" i="23"/>
  <c r="I132" i="23"/>
  <c r="H132" i="23"/>
  <c r="G132" i="23"/>
  <c r="F132" i="23"/>
  <c r="E132" i="23"/>
  <c r="BO131" i="23"/>
  <c r="BN131" i="23"/>
  <c r="BM131" i="23"/>
  <c r="BL131" i="23"/>
  <c r="BK131" i="23"/>
  <c r="BJ131" i="23"/>
  <c r="BI131" i="23"/>
  <c r="BH131" i="23"/>
  <c r="BG131" i="23"/>
  <c r="BF131" i="23"/>
  <c r="BE131" i="23"/>
  <c r="BD131" i="23"/>
  <c r="BB131" i="23"/>
  <c r="BA131" i="23"/>
  <c r="AZ131" i="23"/>
  <c r="AY131" i="23"/>
  <c r="AX131" i="23"/>
  <c r="AV131" i="23"/>
  <c r="AU131" i="23"/>
  <c r="AT131" i="23"/>
  <c r="AS131" i="23"/>
  <c r="AR131" i="23"/>
  <c r="AQ131" i="23"/>
  <c r="AP131" i="23"/>
  <c r="AO131" i="23"/>
  <c r="AM131" i="23"/>
  <c r="AL131" i="23"/>
  <c r="AK131" i="23"/>
  <c r="AJ131" i="23"/>
  <c r="AI131" i="23"/>
  <c r="AG131" i="23"/>
  <c r="AD131" i="23"/>
  <c r="Z131" i="23"/>
  <c r="Y131" i="23"/>
  <c r="W131" i="23"/>
  <c r="V131" i="23"/>
  <c r="U131" i="23"/>
  <c r="S131" i="23"/>
  <c r="R131" i="23"/>
  <c r="Q131" i="23"/>
  <c r="P131" i="23"/>
  <c r="O131" i="23"/>
  <c r="N131" i="23"/>
  <c r="M131" i="23"/>
  <c r="L131" i="23"/>
  <c r="J131" i="23"/>
  <c r="I131" i="23"/>
  <c r="H131" i="23"/>
  <c r="G131" i="23"/>
  <c r="F131" i="23"/>
  <c r="E131" i="23"/>
  <c r="BO130" i="23"/>
  <c r="BN130" i="23"/>
  <c r="BM130" i="23"/>
  <c r="BL130" i="23"/>
  <c r="BK130" i="23"/>
  <c r="BJ130" i="23"/>
  <c r="BI130" i="23"/>
  <c r="BH130" i="23"/>
  <c r="BG130" i="23"/>
  <c r="BF130" i="23"/>
  <c r="BE130" i="23"/>
  <c r="BD130" i="23"/>
  <c r="BB130" i="23"/>
  <c r="BA130" i="23"/>
  <c r="AZ130" i="23"/>
  <c r="AY130" i="23"/>
  <c r="AX130" i="23"/>
  <c r="AV130" i="23"/>
  <c r="AU130" i="23"/>
  <c r="AT130" i="23"/>
  <c r="AS130" i="23"/>
  <c r="AR130" i="23"/>
  <c r="AQ130" i="23"/>
  <c r="AP130" i="23"/>
  <c r="AO130" i="23"/>
  <c r="AM130" i="23"/>
  <c r="AL130" i="23"/>
  <c r="AK130" i="23"/>
  <c r="AJ130" i="23"/>
  <c r="AI130" i="23"/>
  <c r="AG130" i="23"/>
  <c r="AD130" i="23"/>
  <c r="Z130" i="23"/>
  <c r="Y130" i="23"/>
  <c r="W130" i="23"/>
  <c r="V130" i="23"/>
  <c r="U130" i="23"/>
  <c r="S130" i="23"/>
  <c r="R130" i="23"/>
  <c r="Q130" i="23"/>
  <c r="P130" i="23"/>
  <c r="O130" i="23"/>
  <c r="N130" i="23"/>
  <c r="M130" i="23"/>
  <c r="L130" i="23"/>
  <c r="K130" i="23"/>
  <c r="J130" i="23"/>
  <c r="I130" i="23"/>
  <c r="H130" i="23"/>
  <c r="G130" i="23"/>
  <c r="F130" i="23"/>
  <c r="E130" i="23"/>
  <c r="A130" i="23"/>
  <c r="BO129" i="23"/>
  <c r="BN129" i="23"/>
  <c r="BM129" i="23"/>
  <c r="BL129" i="23"/>
  <c r="BK129" i="23"/>
  <c r="BJ129" i="23"/>
  <c r="BI129" i="23"/>
  <c r="BH129" i="23"/>
  <c r="BG129" i="23"/>
  <c r="BF129" i="23"/>
  <c r="BE129" i="23"/>
  <c r="BD129" i="23"/>
  <c r="BB129" i="23"/>
  <c r="BA129" i="23"/>
  <c r="AZ129" i="23"/>
  <c r="AY129" i="23"/>
  <c r="AX129" i="23"/>
  <c r="AV129" i="23"/>
  <c r="AU129" i="23"/>
  <c r="AT129" i="23"/>
  <c r="AS129" i="23"/>
  <c r="AR129" i="23"/>
  <c r="AQ129" i="23"/>
  <c r="AP129" i="23"/>
  <c r="AO129" i="23"/>
  <c r="AM129" i="23"/>
  <c r="AL129" i="23"/>
  <c r="AK129" i="23"/>
  <c r="AJ129" i="23"/>
  <c r="AI129" i="23"/>
  <c r="AG129" i="23"/>
  <c r="AD129" i="23"/>
  <c r="Z129" i="23"/>
  <c r="Y129" i="23"/>
  <c r="W129" i="23"/>
  <c r="V129" i="23"/>
  <c r="U129" i="23"/>
  <c r="S129" i="23"/>
  <c r="R129" i="23"/>
  <c r="Q129" i="23"/>
  <c r="P129" i="23"/>
  <c r="O129" i="23"/>
  <c r="N129" i="23"/>
  <c r="M129" i="23"/>
  <c r="L129" i="23"/>
  <c r="K129" i="23"/>
  <c r="J129" i="23"/>
  <c r="I129" i="23"/>
  <c r="H129" i="23"/>
  <c r="G129" i="23"/>
  <c r="F129" i="23"/>
  <c r="E129" i="23"/>
  <c r="A129" i="23"/>
  <c r="BO128" i="23"/>
  <c r="BN128" i="23"/>
  <c r="BM128" i="23"/>
  <c r="BL128" i="23"/>
  <c r="BK128" i="23"/>
  <c r="BJ128" i="23"/>
  <c r="BI128" i="23"/>
  <c r="BH128" i="23"/>
  <c r="BG128" i="23"/>
  <c r="BF128" i="23"/>
  <c r="BE128" i="23"/>
  <c r="BD128" i="23"/>
  <c r="BB128" i="23"/>
  <c r="BA128" i="23"/>
  <c r="AZ128" i="23"/>
  <c r="AY128" i="23"/>
  <c r="AX128" i="23"/>
  <c r="AV128" i="23"/>
  <c r="AU128" i="23"/>
  <c r="AT128" i="23"/>
  <c r="AS128" i="23"/>
  <c r="AR128" i="23"/>
  <c r="AQ128" i="23"/>
  <c r="AP128" i="23"/>
  <c r="AO128" i="23"/>
  <c r="AM128" i="23"/>
  <c r="AL128" i="23"/>
  <c r="AK128" i="23"/>
  <c r="AJ128" i="23"/>
  <c r="AI128" i="23"/>
  <c r="AG128" i="23"/>
  <c r="AD128" i="23"/>
  <c r="Z128" i="23"/>
  <c r="Y128" i="23"/>
  <c r="W128" i="23"/>
  <c r="V128" i="23"/>
  <c r="U128" i="23"/>
  <c r="S128" i="23"/>
  <c r="R128" i="23"/>
  <c r="Q128" i="23"/>
  <c r="P128" i="23"/>
  <c r="O128" i="23"/>
  <c r="N128" i="23"/>
  <c r="M128" i="23"/>
  <c r="L128" i="23"/>
  <c r="K128" i="23"/>
  <c r="J128" i="23"/>
  <c r="I128" i="23"/>
  <c r="H128" i="23"/>
  <c r="G128" i="23"/>
  <c r="F128" i="23"/>
  <c r="E128" i="23"/>
  <c r="A128" i="23"/>
  <c r="BO127" i="23"/>
  <c r="BN127" i="23"/>
  <c r="BM127" i="23"/>
  <c r="BL127" i="23"/>
  <c r="BK127" i="23"/>
  <c r="BJ127" i="23"/>
  <c r="BI127" i="23"/>
  <c r="BH127" i="23"/>
  <c r="BG127" i="23"/>
  <c r="BF127" i="23"/>
  <c r="BE127" i="23"/>
  <c r="BD127" i="23"/>
  <c r="BB127" i="23"/>
  <c r="BA127" i="23"/>
  <c r="AZ127" i="23"/>
  <c r="AY127" i="23"/>
  <c r="AX127" i="23"/>
  <c r="AV127" i="23"/>
  <c r="AU127" i="23"/>
  <c r="AT127" i="23"/>
  <c r="AS127" i="23"/>
  <c r="AR127" i="23"/>
  <c r="AQ127" i="23"/>
  <c r="AP127" i="23"/>
  <c r="AO127" i="23"/>
  <c r="AM127" i="23"/>
  <c r="AL127" i="23"/>
  <c r="AK127" i="23"/>
  <c r="AJ127" i="23"/>
  <c r="AI127" i="23"/>
  <c r="AG127" i="23"/>
  <c r="AD127" i="23"/>
  <c r="Z127" i="23"/>
  <c r="Y127" i="23"/>
  <c r="W127" i="23"/>
  <c r="V127" i="23"/>
  <c r="U127" i="23"/>
  <c r="S127" i="23"/>
  <c r="R127" i="23"/>
  <c r="Q127" i="23"/>
  <c r="P127" i="23"/>
  <c r="O127" i="23"/>
  <c r="N127" i="23"/>
  <c r="M127" i="23"/>
  <c r="L127" i="23"/>
  <c r="K127" i="23"/>
  <c r="J127" i="23"/>
  <c r="I127" i="23"/>
  <c r="H127" i="23"/>
  <c r="G127" i="23"/>
  <c r="F127" i="23"/>
  <c r="E127" i="23"/>
  <c r="A127" i="23"/>
  <c r="BO126" i="23"/>
  <c r="BN126" i="23"/>
  <c r="BM126" i="23"/>
  <c r="BL126" i="23"/>
  <c r="BK126" i="23"/>
  <c r="BJ126" i="23"/>
  <c r="BI126" i="23"/>
  <c r="BH126" i="23"/>
  <c r="BG126" i="23"/>
  <c r="BF126" i="23"/>
  <c r="BE126" i="23"/>
  <c r="BD126" i="23"/>
  <c r="BB126" i="23"/>
  <c r="BA126" i="23"/>
  <c r="AZ126" i="23"/>
  <c r="AY126" i="23"/>
  <c r="AX126" i="23"/>
  <c r="AV126" i="23"/>
  <c r="AU126" i="23"/>
  <c r="AT126" i="23"/>
  <c r="AS126" i="23"/>
  <c r="AR126" i="23"/>
  <c r="AQ126" i="23"/>
  <c r="AP126" i="23"/>
  <c r="AO126" i="23"/>
  <c r="AM126" i="23"/>
  <c r="AL126" i="23"/>
  <c r="AK126" i="23"/>
  <c r="AJ126" i="23"/>
  <c r="AI126" i="23"/>
  <c r="AG126" i="23"/>
  <c r="AD126" i="23"/>
  <c r="Z126" i="23"/>
  <c r="Y126" i="23"/>
  <c r="W126" i="23"/>
  <c r="V126" i="23"/>
  <c r="U126" i="23"/>
  <c r="S126" i="23"/>
  <c r="R126" i="23"/>
  <c r="Q126" i="23"/>
  <c r="P126" i="23"/>
  <c r="O126" i="23"/>
  <c r="N126" i="23"/>
  <c r="M126" i="23"/>
  <c r="L126" i="23"/>
  <c r="K126" i="23"/>
  <c r="J126" i="23"/>
  <c r="I126" i="23"/>
  <c r="H126" i="23"/>
  <c r="G126" i="23"/>
  <c r="F126" i="23"/>
  <c r="E126" i="23"/>
  <c r="A126" i="23"/>
  <c r="BO125" i="23"/>
  <c r="BN125" i="23"/>
  <c r="BM125" i="23"/>
  <c r="BL125" i="23"/>
  <c r="BK125" i="23"/>
  <c r="BJ125" i="23"/>
  <c r="BI125" i="23"/>
  <c r="BH125" i="23"/>
  <c r="BG125" i="23"/>
  <c r="BF125" i="23"/>
  <c r="BE125" i="23"/>
  <c r="BD125" i="23"/>
  <c r="BB125" i="23"/>
  <c r="BA125" i="23"/>
  <c r="AZ125" i="23"/>
  <c r="AY125" i="23"/>
  <c r="AX125" i="23"/>
  <c r="AV125" i="23"/>
  <c r="AU125" i="23"/>
  <c r="AT125" i="23"/>
  <c r="AS125" i="23"/>
  <c r="AR125" i="23"/>
  <c r="AQ125" i="23"/>
  <c r="AP125" i="23"/>
  <c r="AO125" i="23"/>
  <c r="AM125" i="23"/>
  <c r="AL125" i="23"/>
  <c r="AK125" i="23"/>
  <c r="AJ125" i="23"/>
  <c r="AI125" i="23"/>
  <c r="AG125" i="23"/>
  <c r="AD125" i="23"/>
  <c r="Z125" i="23"/>
  <c r="Y125" i="23"/>
  <c r="W125" i="23"/>
  <c r="V125" i="23"/>
  <c r="U125" i="23"/>
  <c r="S125" i="23"/>
  <c r="R125" i="23"/>
  <c r="Q125" i="23"/>
  <c r="P125" i="23"/>
  <c r="O125" i="23"/>
  <c r="N125" i="23"/>
  <c r="M125" i="23"/>
  <c r="L125" i="23"/>
  <c r="K125" i="23"/>
  <c r="J125" i="23"/>
  <c r="I125" i="23"/>
  <c r="H125" i="23"/>
  <c r="G125" i="23"/>
  <c r="F125" i="23"/>
  <c r="E125" i="23"/>
  <c r="A125" i="23"/>
  <c r="BO124" i="23"/>
  <c r="BN124" i="23"/>
  <c r="BM124" i="23"/>
  <c r="BL124" i="23"/>
  <c r="BK124" i="23"/>
  <c r="BJ124" i="23"/>
  <c r="BI124" i="23"/>
  <c r="BH124" i="23"/>
  <c r="BG124" i="23"/>
  <c r="BF124" i="23"/>
  <c r="BE124" i="23"/>
  <c r="BD124" i="23"/>
  <c r="BB124" i="23"/>
  <c r="BA124" i="23"/>
  <c r="AZ124" i="23"/>
  <c r="AY124" i="23"/>
  <c r="AX124" i="23"/>
  <c r="AV124" i="23"/>
  <c r="AU124" i="23"/>
  <c r="AT124" i="23"/>
  <c r="AS124" i="23"/>
  <c r="AR124" i="23"/>
  <c r="AQ124" i="23"/>
  <c r="AP124" i="23"/>
  <c r="AO124" i="23"/>
  <c r="AM124" i="23"/>
  <c r="AL124" i="23"/>
  <c r="AK124" i="23"/>
  <c r="AJ124" i="23"/>
  <c r="AI124" i="23"/>
  <c r="AG124" i="23"/>
  <c r="AD124" i="23"/>
  <c r="Z124" i="23"/>
  <c r="Y124" i="23"/>
  <c r="W124" i="23"/>
  <c r="V124" i="23"/>
  <c r="U124" i="23"/>
  <c r="S124" i="23"/>
  <c r="R124" i="23"/>
  <c r="Q124" i="23"/>
  <c r="P124" i="23"/>
  <c r="O124" i="23"/>
  <c r="N124" i="23"/>
  <c r="M124" i="23"/>
  <c r="L124" i="23"/>
  <c r="K124" i="23"/>
  <c r="J124" i="23"/>
  <c r="I124" i="23"/>
  <c r="H124" i="23"/>
  <c r="G124" i="23"/>
  <c r="F124" i="23"/>
  <c r="E124" i="23"/>
  <c r="A124" i="23"/>
  <c r="BO123" i="23"/>
  <c r="BN123" i="23"/>
  <c r="BM123" i="23"/>
  <c r="BL123" i="23"/>
  <c r="BK123" i="23"/>
  <c r="BJ123" i="23"/>
  <c r="BI123" i="23"/>
  <c r="BH123" i="23"/>
  <c r="BG123" i="23"/>
  <c r="BF123" i="23"/>
  <c r="BE123" i="23"/>
  <c r="BD123" i="23"/>
  <c r="BB123" i="23"/>
  <c r="BA123" i="23"/>
  <c r="AZ123" i="23"/>
  <c r="AY123" i="23"/>
  <c r="AX123" i="23"/>
  <c r="AV123" i="23"/>
  <c r="AU123" i="23"/>
  <c r="AT123" i="23"/>
  <c r="AS123" i="23"/>
  <c r="AR123" i="23"/>
  <c r="AQ123" i="23"/>
  <c r="AP123" i="23"/>
  <c r="AO123" i="23"/>
  <c r="AM123" i="23"/>
  <c r="AL123" i="23"/>
  <c r="AK123" i="23"/>
  <c r="AJ123" i="23"/>
  <c r="AI123" i="23"/>
  <c r="AG123" i="23"/>
  <c r="AD123" i="23"/>
  <c r="Z123" i="23"/>
  <c r="Y123" i="23"/>
  <c r="W123" i="23"/>
  <c r="V123" i="23"/>
  <c r="U123" i="23"/>
  <c r="S123" i="23"/>
  <c r="R123" i="23"/>
  <c r="Q123" i="23"/>
  <c r="P123" i="23"/>
  <c r="O123" i="23"/>
  <c r="N123" i="23"/>
  <c r="M123" i="23"/>
  <c r="L123" i="23"/>
  <c r="K123" i="23"/>
  <c r="J123" i="23"/>
  <c r="I123" i="23"/>
  <c r="H123" i="23"/>
  <c r="G123" i="23"/>
  <c r="F123" i="23"/>
  <c r="E123" i="23"/>
  <c r="A123" i="23"/>
  <c r="BO122" i="23"/>
  <c r="BN122" i="23"/>
  <c r="BM122" i="23"/>
  <c r="BL122" i="23"/>
  <c r="BK122" i="23"/>
  <c r="BJ122" i="23"/>
  <c r="BI122" i="23"/>
  <c r="BH122" i="23"/>
  <c r="BG122" i="23"/>
  <c r="BF122" i="23"/>
  <c r="BE122" i="23"/>
  <c r="BD122" i="23"/>
  <c r="BB122" i="23"/>
  <c r="BA122" i="23"/>
  <c r="AZ122" i="23"/>
  <c r="AY122" i="23"/>
  <c r="AX122" i="23"/>
  <c r="AV122" i="23"/>
  <c r="AU122" i="23"/>
  <c r="AT122" i="23"/>
  <c r="AS122" i="23"/>
  <c r="AR122" i="23"/>
  <c r="AQ122" i="23"/>
  <c r="AP122" i="23"/>
  <c r="AO122" i="23"/>
  <c r="AM122" i="23"/>
  <c r="AL122" i="23"/>
  <c r="AK122" i="23"/>
  <c r="AJ122" i="23"/>
  <c r="AI122" i="23"/>
  <c r="AG122" i="23"/>
  <c r="AD122" i="23"/>
  <c r="Z122" i="23"/>
  <c r="Y122" i="23"/>
  <c r="W122" i="23"/>
  <c r="V122" i="23"/>
  <c r="U122" i="23"/>
  <c r="S122" i="23"/>
  <c r="R122" i="23"/>
  <c r="Q122" i="23"/>
  <c r="P122" i="23"/>
  <c r="O122" i="23"/>
  <c r="N122" i="23"/>
  <c r="M122" i="23"/>
  <c r="L122" i="23"/>
  <c r="K122" i="23"/>
  <c r="J122" i="23"/>
  <c r="I122" i="23"/>
  <c r="H122" i="23"/>
  <c r="G122" i="23"/>
  <c r="F122" i="23"/>
  <c r="E122" i="23"/>
  <c r="A122" i="23"/>
  <c r="BO121" i="23"/>
  <c r="BN121" i="23"/>
  <c r="BM121" i="23"/>
  <c r="BL121" i="23"/>
  <c r="BK121" i="23"/>
  <c r="BJ121" i="23"/>
  <c r="BI121" i="23"/>
  <c r="BH121" i="23"/>
  <c r="BG121" i="23"/>
  <c r="BF121" i="23"/>
  <c r="BE121" i="23"/>
  <c r="BD121" i="23"/>
  <c r="BB121" i="23"/>
  <c r="BA121" i="23"/>
  <c r="AZ121" i="23"/>
  <c r="AY121" i="23"/>
  <c r="AX121" i="23"/>
  <c r="AV121" i="23"/>
  <c r="AU121" i="23"/>
  <c r="AT121" i="23"/>
  <c r="AS121" i="23"/>
  <c r="AR121" i="23"/>
  <c r="AQ121" i="23"/>
  <c r="AP121" i="23"/>
  <c r="AO121" i="23"/>
  <c r="AM121" i="23"/>
  <c r="AL121" i="23"/>
  <c r="AK121" i="23"/>
  <c r="AJ121" i="23"/>
  <c r="AI121" i="23"/>
  <c r="AG121" i="23"/>
  <c r="AD121" i="23"/>
  <c r="Z121" i="23"/>
  <c r="Y121" i="23"/>
  <c r="W121" i="23"/>
  <c r="V121" i="23"/>
  <c r="U121" i="23"/>
  <c r="S121" i="23"/>
  <c r="R121" i="23"/>
  <c r="Q121" i="23"/>
  <c r="P121" i="23"/>
  <c r="O121" i="23"/>
  <c r="N121" i="23"/>
  <c r="M121" i="23"/>
  <c r="L121" i="23"/>
  <c r="K121" i="23"/>
  <c r="J121" i="23"/>
  <c r="I121" i="23"/>
  <c r="H121" i="23"/>
  <c r="G121" i="23"/>
  <c r="F121" i="23"/>
  <c r="E121" i="23"/>
  <c r="A121" i="23"/>
  <c r="BO120" i="23"/>
  <c r="BN120" i="23"/>
  <c r="BM120" i="23"/>
  <c r="BL120" i="23"/>
  <c r="BK120" i="23"/>
  <c r="BJ120" i="23"/>
  <c r="BI120" i="23"/>
  <c r="BH120" i="23"/>
  <c r="BG120" i="23"/>
  <c r="BF120" i="23"/>
  <c r="BE120" i="23"/>
  <c r="BD120" i="23"/>
  <c r="BB120" i="23"/>
  <c r="BA120" i="23"/>
  <c r="AZ120" i="23"/>
  <c r="AY120" i="23"/>
  <c r="AX120" i="23"/>
  <c r="AV120" i="23"/>
  <c r="AU120" i="23"/>
  <c r="AT120" i="23"/>
  <c r="AS120" i="23"/>
  <c r="AR120" i="23"/>
  <c r="AQ120" i="23"/>
  <c r="AP120" i="23"/>
  <c r="AO120" i="23"/>
  <c r="AM120" i="23"/>
  <c r="AL120" i="23"/>
  <c r="AK120" i="23"/>
  <c r="AJ120" i="23"/>
  <c r="AI120" i="23"/>
  <c r="AG120" i="23"/>
  <c r="AD120" i="23"/>
  <c r="Z120" i="23"/>
  <c r="Y120" i="23"/>
  <c r="W120" i="23"/>
  <c r="V120" i="23"/>
  <c r="U120" i="23"/>
  <c r="S120" i="23"/>
  <c r="R120" i="23"/>
  <c r="Q120" i="23"/>
  <c r="P120" i="23"/>
  <c r="O120" i="23"/>
  <c r="N120" i="23"/>
  <c r="M120" i="23"/>
  <c r="L120" i="23"/>
  <c r="K120" i="23"/>
  <c r="J120" i="23"/>
  <c r="I120" i="23"/>
  <c r="H120" i="23"/>
  <c r="G120" i="23"/>
  <c r="F120" i="23"/>
  <c r="E120" i="23"/>
  <c r="BO119" i="23"/>
  <c r="BN119" i="23"/>
  <c r="BM119" i="23"/>
  <c r="BL119" i="23"/>
  <c r="BK119" i="23"/>
  <c r="BJ119" i="23"/>
  <c r="BI119" i="23"/>
  <c r="BH119" i="23"/>
  <c r="BG119" i="23"/>
  <c r="BF119" i="23"/>
  <c r="BE119" i="23"/>
  <c r="BD119" i="23"/>
  <c r="BB119" i="23"/>
  <c r="BA119" i="23"/>
  <c r="AZ119" i="23"/>
  <c r="AY119" i="23"/>
  <c r="AX119" i="23"/>
  <c r="AV119" i="23"/>
  <c r="AU119" i="23"/>
  <c r="AT119" i="23"/>
  <c r="AS119" i="23"/>
  <c r="AR119" i="23"/>
  <c r="AQ119" i="23"/>
  <c r="AP119" i="23"/>
  <c r="AO119" i="23"/>
  <c r="AM119" i="23"/>
  <c r="AL119" i="23"/>
  <c r="AK119" i="23"/>
  <c r="AJ119" i="23"/>
  <c r="AI119" i="23"/>
  <c r="AG119" i="23"/>
  <c r="AD119" i="23"/>
  <c r="Z119" i="23"/>
  <c r="Y119" i="23"/>
  <c r="W119" i="23"/>
  <c r="V119" i="23"/>
  <c r="U119" i="23"/>
  <c r="S119" i="23"/>
  <c r="R119" i="23"/>
  <c r="Q119" i="23"/>
  <c r="P119" i="23"/>
  <c r="O119" i="23"/>
  <c r="N119" i="23"/>
  <c r="M119" i="23"/>
  <c r="L119" i="23"/>
  <c r="BO118" i="23"/>
  <c r="BN118" i="23"/>
  <c r="BM118" i="23"/>
  <c r="BL118" i="23"/>
  <c r="BK118" i="23"/>
  <c r="BJ118" i="23"/>
  <c r="BI118" i="23"/>
  <c r="BH118" i="23"/>
  <c r="BG118" i="23"/>
  <c r="BF118" i="23"/>
  <c r="BE118" i="23"/>
  <c r="BD118" i="23"/>
  <c r="BC118" i="23"/>
  <c r="BB118" i="23"/>
  <c r="BA118" i="23"/>
  <c r="AZ118" i="23"/>
  <c r="AY118" i="23"/>
  <c r="AX118" i="23"/>
  <c r="AW118" i="23"/>
  <c r="AV118" i="23"/>
  <c r="AU118" i="23"/>
  <c r="AT118" i="23"/>
  <c r="AS118" i="23"/>
  <c r="AR118" i="23"/>
  <c r="AQ118" i="23"/>
  <c r="AP118" i="23"/>
  <c r="AO118" i="23"/>
  <c r="AN118" i="23"/>
  <c r="AM118" i="23"/>
  <c r="AL118" i="23"/>
  <c r="AK118" i="23"/>
  <c r="AJ118" i="23"/>
  <c r="AI118" i="23"/>
  <c r="AH118" i="23"/>
  <c r="AG118" i="23"/>
  <c r="AF118" i="23"/>
  <c r="AE118" i="23"/>
  <c r="AD118" i="23"/>
  <c r="AC118" i="23"/>
  <c r="AB118" i="23"/>
  <c r="AA118" i="23"/>
  <c r="Z118" i="23"/>
  <c r="Y118" i="23"/>
  <c r="W118" i="23"/>
  <c r="V118" i="23"/>
  <c r="U118" i="23"/>
  <c r="T118" i="23"/>
  <c r="S118" i="23"/>
  <c r="R118" i="23"/>
  <c r="Q118" i="23"/>
  <c r="P118" i="23"/>
  <c r="O118" i="23"/>
  <c r="N118" i="23"/>
  <c r="M118" i="23"/>
  <c r="L118" i="23"/>
  <c r="K118" i="23"/>
  <c r="J118" i="23"/>
  <c r="I118" i="23"/>
  <c r="H118" i="23"/>
  <c r="G118" i="23"/>
  <c r="F118" i="23"/>
  <c r="E118" i="23"/>
  <c r="D118" i="23"/>
  <c r="A118" i="23"/>
  <c r="BO117" i="23"/>
  <c r="BN117" i="23"/>
  <c r="BM117" i="23"/>
  <c r="BL117" i="23"/>
  <c r="BK117" i="23"/>
  <c r="BJ117" i="23"/>
  <c r="BI117" i="23"/>
  <c r="BH117" i="23"/>
  <c r="BG117" i="23"/>
  <c r="BF117" i="23"/>
  <c r="BE117" i="23"/>
  <c r="BD117" i="23"/>
  <c r="BB117" i="23"/>
  <c r="BA117" i="23"/>
  <c r="AZ117" i="23"/>
  <c r="AY117" i="23"/>
  <c r="AX117" i="23"/>
  <c r="AV117" i="23"/>
  <c r="AU117" i="23"/>
  <c r="AT117" i="23"/>
  <c r="AS117" i="23"/>
  <c r="AR117" i="23"/>
  <c r="AQ117" i="23"/>
  <c r="AP117" i="23"/>
  <c r="AO117" i="23"/>
  <c r="AM117" i="23"/>
  <c r="AL117" i="23"/>
  <c r="AK117" i="23"/>
  <c r="AJ117" i="23"/>
  <c r="AI117" i="23"/>
  <c r="AG117" i="23"/>
  <c r="AD117" i="23"/>
  <c r="Z117" i="23"/>
  <c r="Y117" i="23"/>
  <c r="W117" i="23"/>
  <c r="V117" i="23"/>
  <c r="U117" i="23"/>
  <c r="S117" i="23"/>
  <c r="R117" i="23"/>
  <c r="Q117" i="23"/>
  <c r="P117" i="23"/>
  <c r="O117" i="23"/>
  <c r="N117" i="23"/>
  <c r="M117" i="23"/>
  <c r="L117" i="23"/>
  <c r="K117" i="23"/>
  <c r="J117" i="23"/>
  <c r="I117" i="23"/>
  <c r="H117" i="23"/>
  <c r="G117" i="23"/>
  <c r="F117" i="23"/>
  <c r="E117" i="23"/>
  <c r="A117" i="23"/>
  <c r="BO116" i="23"/>
  <c r="BN116" i="23"/>
  <c r="BM116" i="23"/>
  <c r="BL116" i="23"/>
  <c r="BK116" i="23"/>
  <c r="BJ116" i="23"/>
  <c r="BI116" i="23"/>
  <c r="BH116" i="23"/>
  <c r="BG116" i="23"/>
  <c r="BF116" i="23"/>
  <c r="BE116" i="23"/>
  <c r="BD116" i="23"/>
  <c r="BC116" i="23"/>
  <c r="BB116" i="23"/>
  <c r="BA116" i="23"/>
  <c r="AZ116" i="23"/>
  <c r="AY116" i="23"/>
  <c r="AX116" i="23"/>
  <c r="AW116" i="23"/>
  <c r="AV116" i="23"/>
  <c r="AU116" i="23"/>
  <c r="AT116" i="23"/>
  <c r="AS116" i="23"/>
  <c r="AR116" i="23"/>
  <c r="AQ116" i="23"/>
  <c r="AP116" i="23"/>
  <c r="AO116" i="23"/>
  <c r="AN116" i="23"/>
  <c r="AM116" i="23"/>
  <c r="AL116" i="23"/>
  <c r="AK116" i="23"/>
  <c r="AJ116" i="23"/>
  <c r="AI116" i="23"/>
  <c r="AH116" i="23"/>
  <c r="AG116" i="23"/>
  <c r="AF116" i="23"/>
  <c r="AE116" i="23"/>
  <c r="AD116" i="23"/>
  <c r="AC116" i="23"/>
  <c r="AB116" i="23"/>
  <c r="AA116" i="23"/>
  <c r="Z116" i="23"/>
  <c r="Y116" i="23"/>
  <c r="W116" i="23"/>
  <c r="V116" i="23"/>
  <c r="U116" i="23"/>
  <c r="T116" i="23"/>
  <c r="S116" i="23"/>
  <c r="R116" i="23"/>
  <c r="Q116" i="23"/>
  <c r="P116" i="23"/>
  <c r="O116" i="23"/>
  <c r="N116" i="23"/>
  <c r="M116" i="23"/>
  <c r="L116" i="23"/>
  <c r="K116" i="23"/>
  <c r="J116" i="23"/>
  <c r="I116" i="23"/>
  <c r="H116" i="23"/>
  <c r="G116" i="23"/>
  <c r="F116" i="23"/>
  <c r="E116" i="23"/>
  <c r="D116" i="23"/>
  <c r="A116" i="23"/>
  <c r="BO115" i="23"/>
  <c r="BN115" i="23"/>
  <c r="BM115" i="23"/>
  <c r="BL115" i="23"/>
  <c r="BK115" i="23"/>
  <c r="BJ115" i="23"/>
  <c r="BI115" i="23"/>
  <c r="BH115" i="23"/>
  <c r="BG115" i="23"/>
  <c r="BF115" i="23"/>
  <c r="BE115" i="23"/>
  <c r="BD115" i="23"/>
  <c r="BB115" i="23"/>
  <c r="BA115" i="23"/>
  <c r="AZ115" i="23"/>
  <c r="AY115" i="23"/>
  <c r="AX115" i="23"/>
  <c r="AV115" i="23"/>
  <c r="AU115" i="23"/>
  <c r="AT115" i="23"/>
  <c r="AS115" i="23"/>
  <c r="AR115" i="23"/>
  <c r="AQ115" i="23"/>
  <c r="AP115" i="23"/>
  <c r="AO115" i="23"/>
  <c r="AM115" i="23"/>
  <c r="AL115" i="23"/>
  <c r="AK115" i="23"/>
  <c r="AJ115" i="23"/>
  <c r="AI115" i="23"/>
  <c r="AG115" i="23"/>
  <c r="AD115" i="23"/>
  <c r="Z115" i="23"/>
  <c r="Y115" i="23"/>
  <c r="W115" i="23"/>
  <c r="V115" i="23"/>
  <c r="U115" i="23"/>
  <c r="S115" i="23"/>
  <c r="R115" i="23"/>
  <c r="Q115" i="23"/>
  <c r="P115" i="23"/>
  <c r="O115" i="23"/>
  <c r="N115" i="23"/>
  <c r="M115" i="23"/>
  <c r="L115" i="23"/>
  <c r="K115" i="23"/>
  <c r="J115" i="23"/>
  <c r="I115" i="23"/>
  <c r="H115" i="23"/>
  <c r="G115" i="23"/>
  <c r="F115" i="23"/>
  <c r="E115" i="23"/>
  <c r="A115" i="23"/>
  <c r="BO114" i="23"/>
  <c r="BN114" i="23"/>
  <c r="BM114" i="23"/>
  <c r="BL114" i="23"/>
  <c r="BK114" i="23"/>
  <c r="BJ114" i="23"/>
  <c r="BI114" i="23"/>
  <c r="BH114" i="23"/>
  <c r="BG114" i="23"/>
  <c r="BF114" i="23"/>
  <c r="BE114" i="23"/>
  <c r="BD114" i="23"/>
  <c r="BB114" i="23"/>
  <c r="BA114" i="23"/>
  <c r="AZ114" i="23"/>
  <c r="AY114" i="23"/>
  <c r="AX114" i="23"/>
  <c r="AV114" i="23"/>
  <c r="AU114" i="23"/>
  <c r="AT114" i="23"/>
  <c r="AS114" i="23"/>
  <c r="AR114" i="23"/>
  <c r="AQ114" i="23"/>
  <c r="AP114" i="23"/>
  <c r="AO114" i="23"/>
  <c r="AM114" i="23"/>
  <c r="AL114" i="23"/>
  <c r="AK114" i="23"/>
  <c r="AJ114" i="23"/>
  <c r="AI114" i="23"/>
  <c r="AG114" i="23"/>
  <c r="AD114" i="23"/>
  <c r="Z114" i="23"/>
  <c r="Y114" i="23"/>
  <c r="W114" i="23"/>
  <c r="V114" i="23"/>
  <c r="U114" i="23"/>
  <c r="S114" i="23"/>
  <c r="R114" i="23"/>
  <c r="Q114" i="23"/>
  <c r="P114" i="23"/>
  <c r="O114" i="23"/>
  <c r="N114" i="23"/>
  <c r="M114" i="23"/>
  <c r="L114" i="23"/>
  <c r="K114" i="23"/>
  <c r="J114" i="23"/>
  <c r="I114" i="23"/>
  <c r="H114" i="23"/>
  <c r="G114" i="23"/>
  <c r="F114" i="23"/>
  <c r="E114" i="23"/>
  <c r="BO113" i="23"/>
  <c r="BN113" i="23"/>
  <c r="BM113" i="23"/>
  <c r="BL113" i="23"/>
  <c r="BK113" i="23"/>
  <c r="BJ113" i="23"/>
  <c r="BI113" i="23"/>
  <c r="BH113" i="23"/>
  <c r="BG113" i="23"/>
  <c r="BF113" i="23"/>
  <c r="BE113" i="23"/>
  <c r="BD113" i="23"/>
  <c r="BB113" i="23"/>
  <c r="BA113" i="23"/>
  <c r="AZ113" i="23"/>
  <c r="AY113" i="23"/>
  <c r="AX113" i="23"/>
  <c r="AV113" i="23"/>
  <c r="AU113" i="23"/>
  <c r="AT113" i="23"/>
  <c r="AS113" i="23"/>
  <c r="AR113" i="23"/>
  <c r="AQ113" i="23"/>
  <c r="AP113" i="23"/>
  <c r="AO113" i="23"/>
  <c r="AM113" i="23"/>
  <c r="AL113" i="23"/>
  <c r="AK113" i="23"/>
  <c r="AJ113" i="23"/>
  <c r="AI113" i="23"/>
  <c r="AG113" i="23"/>
  <c r="AD113" i="23"/>
  <c r="Z113" i="23"/>
  <c r="Y113" i="23"/>
  <c r="W113" i="23"/>
  <c r="V113" i="23"/>
  <c r="U113" i="23"/>
  <c r="S113" i="23"/>
  <c r="R113" i="23"/>
  <c r="Q113" i="23"/>
  <c r="P113" i="23"/>
  <c r="O113" i="23"/>
  <c r="N113" i="23"/>
  <c r="M113" i="23"/>
  <c r="L113" i="23"/>
  <c r="J113" i="23"/>
  <c r="I113" i="23"/>
  <c r="H113" i="23"/>
  <c r="G113" i="23"/>
  <c r="F113" i="23"/>
  <c r="E113" i="23"/>
  <c r="BO112" i="23"/>
  <c r="BN112" i="23"/>
  <c r="BM112" i="23"/>
  <c r="BL112" i="23"/>
  <c r="BK112" i="23"/>
  <c r="BJ112" i="23"/>
  <c r="BI112" i="23"/>
  <c r="BH112" i="23"/>
  <c r="BG112" i="23"/>
  <c r="BF112" i="23"/>
  <c r="BE112" i="23"/>
  <c r="BD112" i="23"/>
  <c r="BC112" i="23"/>
  <c r="BB112" i="23"/>
  <c r="BA112" i="23"/>
  <c r="AZ112" i="23"/>
  <c r="AY112" i="23"/>
  <c r="AX112" i="23"/>
  <c r="AW112" i="23"/>
  <c r="AV112" i="23"/>
  <c r="AU112" i="23"/>
  <c r="AT112" i="23"/>
  <c r="AS112" i="23"/>
  <c r="AR112" i="23"/>
  <c r="AQ112" i="23"/>
  <c r="AP112" i="23"/>
  <c r="AO112" i="23"/>
  <c r="AN112" i="23"/>
  <c r="AM112" i="23"/>
  <c r="AL112" i="23"/>
  <c r="AK112" i="23"/>
  <c r="AJ112" i="23"/>
  <c r="AI112" i="23"/>
  <c r="AH112" i="23"/>
  <c r="AG112" i="23"/>
  <c r="AF112" i="23"/>
  <c r="AE112" i="23"/>
  <c r="AD112" i="23"/>
  <c r="AC112" i="23"/>
  <c r="AB112" i="23"/>
  <c r="AA112" i="23"/>
  <c r="Z112" i="23"/>
  <c r="Y112" i="23"/>
  <c r="X112" i="23"/>
  <c r="W112" i="23"/>
  <c r="V112" i="23"/>
  <c r="U112" i="23"/>
  <c r="T112" i="23"/>
  <c r="S112" i="23"/>
  <c r="R112" i="23"/>
  <c r="Q112" i="23"/>
  <c r="P112" i="23"/>
  <c r="O112" i="23"/>
  <c r="N112" i="23"/>
  <c r="M112" i="23"/>
  <c r="L112" i="23"/>
  <c r="K112" i="23"/>
  <c r="J112" i="23"/>
  <c r="I112" i="23"/>
  <c r="H112" i="23"/>
  <c r="G112" i="23"/>
  <c r="F112" i="23"/>
  <c r="E112" i="23"/>
  <c r="D112" i="23"/>
  <c r="BO110" i="23"/>
  <c r="BN110" i="23"/>
  <c r="BM110" i="23"/>
  <c r="BL110" i="23"/>
  <c r="BK110" i="23"/>
  <c r="BJ110" i="23"/>
  <c r="BI110" i="23"/>
  <c r="BH110" i="23"/>
  <c r="BG110" i="23"/>
  <c r="BF110" i="23"/>
  <c r="BE110" i="23"/>
  <c r="BD110" i="23"/>
  <c r="BB110" i="23"/>
  <c r="BA110" i="23"/>
  <c r="AZ110" i="23"/>
  <c r="AY110" i="23"/>
  <c r="AX110" i="23"/>
  <c r="AV110" i="23"/>
  <c r="AU110" i="23"/>
  <c r="AT110" i="23"/>
  <c r="AS110" i="23"/>
  <c r="AR110" i="23"/>
  <c r="AQ110" i="23"/>
  <c r="AP110" i="23"/>
  <c r="AO110" i="23"/>
  <c r="AM110" i="23"/>
  <c r="AL110" i="23"/>
  <c r="AK110" i="23"/>
  <c r="AJ110" i="23"/>
  <c r="AI110" i="23"/>
  <c r="AG110" i="23"/>
  <c r="AD110" i="23"/>
  <c r="Z110" i="23"/>
  <c r="Y110" i="23"/>
  <c r="W110" i="23"/>
  <c r="V110" i="23"/>
  <c r="U110" i="23"/>
  <c r="BO109" i="23"/>
  <c r="BN109" i="23"/>
  <c r="BM109" i="23"/>
  <c r="BL109" i="23"/>
  <c r="BK109" i="23"/>
  <c r="BJ109" i="23"/>
  <c r="BI109" i="23"/>
  <c r="BH109" i="23"/>
  <c r="BG109" i="23"/>
  <c r="BF109" i="23"/>
  <c r="BE109" i="23"/>
  <c r="BD109" i="23"/>
  <c r="BB109" i="23"/>
  <c r="BA109" i="23"/>
  <c r="AZ109" i="23"/>
  <c r="AY109" i="23"/>
  <c r="AX109" i="23"/>
  <c r="AV109" i="23"/>
  <c r="AU109" i="23"/>
  <c r="AT109" i="23"/>
  <c r="AS109" i="23"/>
  <c r="AR109" i="23"/>
  <c r="AQ109" i="23"/>
  <c r="AP109" i="23"/>
  <c r="AO109" i="23"/>
  <c r="AM109" i="23"/>
  <c r="AL109" i="23"/>
  <c r="AK109" i="23"/>
  <c r="AJ109" i="23"/>
  <c r="AI109" i="23"/>
  <c r="AG109" i="23"/>
  <c r="AD109" i="23"/>
  <c r="Z109" i="23"/>
  <c r="Y109" i="23"/>
  <c r="W109" i="23"/>
  <c r="V109" i="23"/>
  <c r="U109" i="23"/>
  <c r="BO107" i="23"/>
  <c r="BN107" i="23"/>
  <c r="BM107" i="23"/>
  <c r="BL107" i="23"/>
  <c r="BK107" i="23"/>
  <c r="BJ107" i="23"/>
  <c r="BI107" i="23"/>
  <c r="BH107" i="23"/>
  <c r="BG107" i="23"/>
  <c r="BF107" i="23"/>
  <c r="BE107" i="23"/>
  <c r="BD107" i="23"/>
  <c r="BB107" i="23"/>
  <c r="BA107" i="23"/>
  <c r="AZ107" i="23"/>
  <c r="AY107" i="23"/>
  <c r="AX107" i="23"/>
  <c r="AV107" i="23"/>
  <c r="AU107" i="23"/>
  <c r="AT107" i="23"/>
  <c r="AS107" i="23"/>
  <c r="AR107" i="23"/>
  <c r="AQ107" i="23"/>
  <c r="AP107" i="23"/>
  <c r="AO107" i="23"/>
  <c r="AM107" i="23"/>
  <c r="AL107" i="23"/>
  <c r="AK107" i="23"/>
  <c r="AJ107" i="23"/>
  <c r="AI107" i="23"/>
  <c r="AG107" i="23"/>
  <c r="AD107" i="23"/>
  <c r="Z107" i="23"/>
  <c r="Y107" i="23"/>
  <c r="W107" i="23"/>
  <c r="V107" i="23"/>
  <c r="U107" i="23"/>
  <c r="S107" i="23"/>
  <c r="R107" i="23"/>
  <c r="Q107" i="23"/>
  <c r="P107" i="23"/>
  <c r="O107" i="23"/>
  <c r="N107" i="23"/>
  <c r="M107" i="23"/>
  <c r="L107" i="23"/>
  <c r="J107" i="23"/>
  <c r="I107" i="23"/>
  <c r="H107" i="23"/>
  <c r="G107" i="23"/>
  <c r="F107" i="23"/>
  <c r="E107" i="23"/>
  <c r="BO106" i="23"/>
  <c r="BN106" i="23"/>
  <c r="BM106" i="23"/>
  <c r="BL106" i="23"/>
  <c r="BK106" i="23"/>
  <c r="BJ106" i="23"/>
  <c r="BI106" i="23"/>
  <c r="BH106" i="23"/>
  <c r="BG106" i="23"/>
  <c r="BF106" i="23"/>
  <c r="BE106" i="23"/>
  <c r="BD106" i="23"/>
  <c r="BB106" i="23"/>
  <c r="BA106" i="23"/>
  <c r="AZ106" i="23"/>
  <c r="AY106" i="23"/>
  <c r="AX106" i="23"/>
  <c r="AV106" i="23"/>
  <c r="AU106" i="23"/>
  <c r="AT106" i="23"/>
  <c r="AS106" i="23"/>
  <c r="AR106" i="23"/>
  <c r="AQ106" i="23"/>
  <c r="AP106" i="23"/>
  <c r="AO106" i="23"/>
  <c r="AM106" i="23"/>
  <c r="AL106" i="23"/>
  <c r="AK106" i="23"/>
  <c r="AJ106" i="23"/>
  <c r="AI106" i="23"/>
  <c r="AG106" i="23"/>
  <c r="AD106" i="23"/>
  <c r="Z106" i="23"/>
  <c r="Y106" i="23"/>
  <c r="W106" i="23"/>
  <c r="V106" i="23"/>
  <c r="U106" i="23"/>
  <c r="BO105" i="23"/>
  <c r="BN105" i="23"/>
  <c r="BM105" i="23"/>
  <c r="BL105" i="23"/>
  <c r="BK105" i="23"/>
  <c r="BJ105" i="23"/>
  <c r="BI105" i="23"/>
  <c r="BH105" i="23"/>
  <c r="BG105" i="23"/>
  <c r="BF105" i="23"/>
  <c r="BE105" i="23"/>
  <c r="BD105" i="23"/>
  <c r="BC105" i="23"/>
  <c r="BB105" i="23"/>
  <c r="BA105" i="23"/>
  <c r="AZ105" i="23"/>
  <c r="AY105" i="23"/>
  <c r="AX105" i="23"/>
  <c r="AW105" i="23"/>
  <c r="AV105" i="23"/>
  <c r="AU105" i="23"/>
  <c r="AT105" i="23"/>
  <c r="AS105" i="23"/>
  <c r="AR105" i="23"/>
  <c r="AQ105" i="23"/>
  <c r="AP105" i="23"/>
  <c r="AO105" i="23"/>
  <c r="AN105" i="23"/>
  <c r="AM105" i="23"/>
  <c r="AL105" i="23"/>
  <c r="AK105" i="23"/>
  <c r="AJ105" i="23"/>
  <c r="AI105" i="23"/>
  <c r="AH105" i="23"/>
  <c r="AG105" i="23"/>
  <c r="AF105" i="23"/>
  <c r="AE105" i="23"/>
  <c r="AD105" i="23"/>
  <c r="AC105" i="23"/>
  <c r="AB105" i="23"/>
  <c r="AA105" i="23"/>
  <c r="Z105" i="23"/>
  <c r="Y105" i="23"/>
  <c r="X105" i="23"/>
  <c r="W105" i="23"/>
  <c r="V105" i="23"/>
  <c r="U105" i="23"/>
  <c r="T105" i="23"/>
  <c r="S105" i="23"/>
  <c r="R105" i="23"/>
  <c r="Q105" i="23"/>
  <c r="P105" i="23"/>
  <c r="O105" i="23"/>
  <c r="N105" i="23"/>
  <c r="M105" i="23"/>
  <c r="L105" i="23"/>
  <c r="K105" i="23"/>
  <c r="J105" i="23"/>
  <c r="I105" i="23"/>
  <c r="H105" i="23"/>
  <c r="G105" i="23"/>
  <c r="F105" i="23"/>
  <c r="E105" i="23"/>
  <c r="D105" i="23"/>
  <c r="A105" i="23"/>
  <c r="BO104" i="23"/>
  <c r="BN104" i="23"/>
  <c r="BM104" i="23"/>
  <c r="BL104" i="23"/>
  <c r="BK104" i="23"/>
  <c r="BJ104" i="23"/>
  <c r="BI104" i="23"/>
  <c r="BH104" i="23"/>
  <c r="BG104" i="23"/>
  <c r="BF104" i="23"/>
  <c r="BE104" i="23"/>
  <c r="BD104" i="23"/>
  <c r="BC104" i="23"/>
  <c r="BB104" i="23"/>
  <c r="BA104" i="23"/>
  <c r="AZ104" i="23"/>
  <c r="AY104" i="23"/>
  <c r="AX104" i="23"/>
  <c r="AW104" i="23"/>
  <c r="AV104" i="23"/>
  <c r="AU104" i="23"/>
  <c r="AT104" i="23"/>
  <c r="AS104" i="23"/>
  <c r="AR104" i="23"/>
  <c r="AQ104" i="23"/>
  <c r="AP104" i="23"/>
  <c r="AO104" i="23"/>
  <c r="AN104" i="23"/>
  <c r="AM104" i="23"/>
  <c r="AL104" i="23"/>
  <c r="AK104" i="23"/>
  <c r="AJ104" i="23"/>
  <c r="AI104" i="23"/>
  <c r="AH104" i="23"/>
  <c r="AG104" i="23"/>
  <c r="AF104" i="23"/>
  <c r="AE104" i="23"/>
  <c r="AD104" i="23"/>
  <c r="AC104" i="23"/>
  <c r="AB104" i="23"/>
  <c r="AA104" i="23"/>
  <c r="Z104" i="23"/>
  <c r="Y104" i="23"/>
  <c r="X104" i="23"/>
  <c r="W104" i="23"/>
  <c r="V104" i="23"/>
  <c r="U104" i="23"/>
  <c r="T104" i="23"/>
  <c r="S104" i="23"/>
  <c r="R104" i="23"/>
  <c r="Q104" i="23"/>
  <c r="P104" i="23"/>
  <c r="O104" i="23"/>
  <c r="N104" i="23"/>
  <c r="M104" i="23"/>
  <c r="L104" i="23"/>
  <c r="K104" i="23"/>
  <c r="J104" i="23"/>
  <c r="I104" i="23"/>
  <c r="H104" i="23"/>
  <c r="G104" i="23"/>
  <c r="F104" i="23"/>
  <c r="E104" i="23"/>
  <c r="D104" i="23"/>
  <c r="A104" i="23"/>
  <c r="BO103" i="23"/>
  <c r="BN103" i="23"/>
  <c r="BM103" i="23"/>
  <c r="BL103" i="23"/>
  <c r="BK103" i="23"/>
  <c r="BJ103" i="23"/>
  <c r="BI103" i="23"/>
  <c r="BH103" i="23"/>
  <c r="BG103" i="23"/>
  <c r="BF103" i="23"/>
  <c r="BE103" i="23"/>
  <c r="BD103" i="23"/>
  <c r="BC103" i="23"/>
  <c r="BB103" i="23"/>
  <c r="BA103" i="23"/>
  <c r="AZ103" i="23"/>
  <c r="AY103" i="23"/>
  <c r="AX103" i="23"/>
  <c r="AW103" i="23"/>
  <c r="AV103" i="23"/>
  <c r="AU103" i="23"/>
  <c r="AT103" i="23"/>
  <c r="AS103" i="23"/>
  <c r="AR103" i="23"/>
  <c r="AQ103" i="23"/>
  <c r="AP103" i="23"/>
  <c r="AO103" i="23"/>
  <c r="AN103" i="23"/>
  <c r="AM103" i="23"/>
  <c r="AL103" i="23"/>
  <c r="AK103" i="23"/>
  <c r="AJ103" i="23"/>
  <c r="AI103" i="23"/>
  <c r="AH103" i="23"/>
  <c r="AG103" i="23"/>
  <c r="AF103" i="23"/>
  <c r="AE103" i="23"/>
  <c r="AD103" i="23"/>
  <c r="AC103" i="23"/>
  <c r="AB103" i="23"/>
  <c r="AA103" i="23"/>
  <c r="Z103" i="23"/>
  <c r="Y103" i="23"/>
  <c r="X103" i="23"/>
  <c r="W103" i="23"/>
  <c r="V103" i="23"/>
  <c r="U103" i="23"/>
  <c r="T103" i="23"/>
  <c r="S103" i="23"/>
  <c r="R103" i="23"/>
  <c r="Q103" i="23"/>
  <c r="P103" i="23"/>
  <c r="O103" i="23"/>
  <c r="N103" i="23"/>
  <c r="M103" i="23"/>
  <c r="L103" i="23"/>
  <c r="K103" i="23"/>
  <c r="J103" i="23"/>
  <c r="I103" i="23"/>
  <c r="H103" i="23"/>
  <c r="G103" i="23"/>
  <c r="F103" i="23"/>
  <c r="E103" i="23"/>
  <c r="D103" i="23"/>
  <c r="A103" i="23"/>
  <c r="BO102" i="23"/>
  <c r="BN102" i="23"/>
  <c r="BM102" i="23"/>
  <c r="BL102" i="23"/>
  <c r="BK102" i="23"/>
  <c r="BJ102" i="23"/>
  <c r="BI102" i="23"/>
  <c r="BH102" i="23"/>
  <c r="BG102" i="23"/>
  <c r="BF102" i="23"/>
  <c r="BE102" i="23"/>
  <c r="BD102" i="23"/>
  <c r="BC102" i="23"/>
  <c r="BB102" i="23"/>
  <c r="BA102" i="23"/>
  <c r="AZ102" i="23"/>
  <c r="AY102" i="23"/>
  <c r="AX102" i="23"/>
  <c r="AW102" i="23"/>
  <c r="AV102" i="23"/>
  <c r="AU102" i="23"/>
  <c r="AT102" i="23"/>
  <c r="AS102" i="23"/>
  <c r="AR102" i="23"/>
  <c r="AQ102" i="23"/>
  <c r="AP102" i="23"/>
  <c r="AO102" i="23"/>
  <c r="AN102" i="23"/>
  <c r="AM102" i="23"/>
  <c r="AL102" i="23"/>
  <c r="AK102" i="23"/>
  <c r="AJ102" i="23"/>
  <c r="AI102" i="23"/>
  <c r="AH102" i="23"/>
  <c r="AG102" i="23"/>
  <c r="AF102" i="23"/>
  <c r="AE102" i="23"/>
  <c r="AD102" i="23"/>
  <c r="AC102" i="23"/>
  <c r="AB102" i="23"/>
  <c r="AA102" i="23"/>
  <c r="Z102" i="23"/>
  <c r="Y102" i="23"/>
  <c r="X102" i="23"/>
  <c r="W102" i="23"/>
  <c r="V102" i="23"/>
  <c r="U102" i="23"/>
  <c r="T102" i="23"/>
  <c r="S102" i="23"/>
  <c r="R102" i="23"/>
  <c r="Q102" i="23"/>
  <c r="P102" i="23"/>
  <c r="O102" i="23"/>
  <c r="N102" i="23"/>
  <c r="M102" i="23"/>
  <c r="L102" i="23"/>
  <c r="K102" i="23"/>
  <c r="J102" i="23"/>
  <c r="I102" i="23"/>
  <c r="H102" i="23"/>
  <c r="G102" i="23"/>
  <c r="F102" i="23"/>
  <c r="E102" i="23"/>
  <c r="D102" i="23"/>
  <c r="A102" i="23"/>
  <c r="BO101" i="23"/>
  <c r="BN101" i="23"/>
  <c r="BM101" i="23"/>
  <c r="BL101" i="23"/>
  <c r="BK101" i="23"/>
  <c r="BJ101" i="23"/>
  <c r="BI101" i="23"/>
  <c r="BH101" i="23"/>
  <c r="BG101" i="23"/>
  <c r="BF101" i="23"/>
  <c r="BE101" i="23"/>
  <c r="BD101" i="23"/>
  <c r="BC101" i="23"/>
  <c r="BB101" i="23"/>
  <c r="BA101" i="23"/>
  <c r="AZ101" i="23"/>
  <c r="AY101" i="23"/>
  <c r="AX101" i="23"/>
  <c r="AW101" i="23"/>
  <c r="AV101" i="23"/>
  <c r="AU101" i="23"/>
  <c r="AT101" i="23"/>
  <c r="AS101" i="23"/>
  <c r="AR101" i="23"/>
  <c r="AQ101" i="23"/>
  <c r="AP101" i="23"/>
  <c r="AO101" i="23"/>
  <c r="AN101" i="23"/>
  <c r="AM101" i="23"/>
  <c r="AL101" i="23"/>
  <c r="AK101" i="23"/>
  <c r="AJ101" i="23"/>
  <c r="AI101" i="23"/>
  <c r="AH101" i="23"/>
  <c r="AG101" i="23"/>
  <c r="AF101" i="23"/>
  <c r="AE101" i="23"/>
  <c r="AD101" i="23"/>
  <c r="AC101" i="23"/>
  <c r="AB101" i="23"/>
  <c r="AA101" i="23"/>
  <c r="Z101" i="23"/>
  <c r="Y101" i="23"/>
  <c r="X101" i="23"/>
  <c r="W101" i="23"/>
  <c r="V101" i="23"/>
  <c r="U101" i="23"/>
  <c r="T101" i="23"/>
  <c r="S101" i="23"/>
  <c r="R101" i="23"/>
  <c r="Q101" i="23"/>
  <c r="P101" i="23"/>
  <c r="O101" i="23"/>
  <c r="N101" i="23"/>
  <c r="M101" i="23"/>
  <c r="L101" i="23"/>
  <c r="K101" i="23"/>
  <c r="J101" i="23"/>
  <c r="I101" i="23"/>
  <c r="H101" i="23"/>
  <c r="G101" i="23"/>
  <c r="F101" i="23"/>
  <c r="E101" i="23"/>
  <c r="D101" i="23"/>
  <c r="A101" i="23"/>
  <c r="BO100" i="23"/>
  <c r="BN100" i="23"/>
  <c r="BM100" i="23"/>
  <c r="BL100" i="23"/>
  <c r="BK100" i="23"/>
  <c r="BJ100" i="23"/>
  <c r="BI100" i="23"/>
  <c r="BH100" i="23"/>
  <c r="BG100" i="23"/>
  <c r="BF100" i="23"/>
  <c r="BE100" i="23"/>
  <c r="BD100" i="23"/>
  <c r="BC100" i="23"/>
  <c r="BB100" i="23"/>
  <c r="BA100" i="23"/>
  <c r="AZ100" i="23"/>
  <c r="AY100" i="23"/>
  <c r="AX100" i="23"/>
  <c r="AW100" i="23"/>
  <c r="AV100" i="23"/>
  <c r="AU100" i="23"/>
  <c r="AT100" i="23"/>
  <c r="AS100" i="23"/>
  <c r="AR100" i="23"/>
  <c r="AQ100" i="23"/>
  <c r="AP100" i="23"/>
  <c r="AO100" i="23"/>
  <c r="AN100" i="23"/>
  <c r="AM100" i="23"/>
  <c r="AL100" i="23"/>
  <c r="AK100" i="23"/>
  <c r="AJ100" i="23"/>
  <c r="AI100" i="23"/>
  <c r="AH100" i="23"/>
  <c r="AG100" i="23"/>
  <c r="AF100" i="23"/>
  <c r="AE100" i="23"/>
  <c r="AD100" i="23"/>
  <c r="AC100" i="23"/>
  <c r="AB100" i="23"/>
  <c r="AA100" i="23"/>
  <c r="Z100" i="23"/>
  <c r="Y100" i="23"/>
  <c r="X100" i="23"/>
  <c r="W100" i="23"/>
  <c r="V100" i="23"/>
  <c r="U100" i="23"/>
  <c r="T100" i="23"/>
  <c r="S100" i="23"/>
  <c r="R100" i="23"/>
  <c r="Q100" i="23"/>
  <c r="P100" i="23"/>
  <c r="O100" i="23"/>
  <c r="N100" i="23"/>
  <c r="M100" i="23"/>
  <c r="L100" i="23"/>
  <c r="K100" i="23"/>
  <c r="J100" i="23"/>
  <c r="I100" i="23"/>
  <c r="H100" i="23"/>
  <c r="G100" i="23"/>
  <c r="F100" i="23"/>
  <c r="E100" i="23"/>
  <c r="D100" i="23"/>
  <c r="A100" i="23"/>
  <c r="BO99" i="23"/>
  <c r="BN99" i="23"/>
  <c r="BM99" i="23"/>
  <c r="BL99" i="23"/>
  <c r="BK99" i="23"/>
  <c r="BJ99" i="23"/>
  <c r="BI99" i="23"/>
  <c r="BH99" i="23"/>
  <c r="BG99" i="23"/>
  <c r="BF99" i="23"/>
  <c r="BE99" i="23"/>
  <c r="BD99" i="23"/>
  <c r="BC99" i="23"/>
  <c r="BB99" i="23"/>
  <c r="BA99" i="23"/>
  <c r="AZ99" i="23"/>
  <c r="AY99" i="23"/>
  <c r="AX99" i="23"/>
  <c r="AW99" i="23"/>
  <c r="AV99" i="23"/>
  <c r="AU99" i="23"/>
  <c r="AT99" i="23"/>
  <c r="AS99" i="23"/>
  <c r="AR99" i="23"/>
  <c r="AQ99" i="23"/>
  <c r="AP99" i="23"/>
  <c r="AO99" i="23"/>
  <c r="AN99" i="23"/>
  <c r="AM99" i="23"/>
  <c r="AL99" i="23"/>
  <c r="AK99" i="23"/>
  <c r="AJ99" i="23"/>
  <c r="AI99" i="23"/>
  <c r="AH99" i="23"/>
  <c r="AG99" i="23"/>
  <c r="AF99" i="23"/>
  <c r="AE99" i="23"/>
  <c r="AD99" i="23"/>
  <c r="AC99" i="23"/>
  <c r="AB99" i="23"/>
  <c r="AA99" i="23"/>
  <c r="Z99" i="23"/>
  <c r="Y99" i="23"/>
  <c r="X99" i="23"/>
  <c r="W99" i="23"/>
  <c r="V99" i="23"/>
  <c r="U99" i="23"/>
  <c r="T99" i="23"/>
  <c r="S99" i="23"/>
  <c r="R99" i="23"/>
  <c r="Q99" i="23"/>
  <c r="P99" i="23"/>
  <c r="O99" i="23"/>
  <c r="N99" i="23"/>
  <c r="M99" i="23"/>
  <c r="L99" i="23"/>
  <c r="K99" i="23"/>
  <c r="J99" i="23"/>
  <c r="I99" i="23"/>
  <c r="H99" i="23"/>
  <c r="G99" i="23"/>
  <c r="F99" i="23"/>
  <c r="E99" i="23"/>
  <c r="D99" i="23"/>
  <c r="A99" i="23"/>
  <c r="BO98" i="23"/>
  <c r="BN98" i="23"/>
  <c r="BM98" i="23"/>
  <c r="BL98" i="23"/>
  <c r="BK98" i="23"/>
  <c r="BJ98" i="23"/>
  <c r="BI98" i="23"/>
  <c r="BH98" i="23"/>
  <c r="BG98" i="23"/>
  <c r="BF98" i="23"/>
  <c r="BE98" i="23"/>
  <c r="BD98" i="23"/>
  <c r="BC98" i="23"/>
  <c r="BB98" i="23"/>
  <c r="BA98" i="23"/>
  <c r="AZ98" i="23"/>
  <c r="AY98" i="23"/>
  <c r="AX98" i="23"/>
  <c r="AW98" i="23"/>
  <c r="AV98" i="23"/>
  <c r="AU98" i="23"/>
  <c r="AT98" i="23"/>
  <c r="AS98" i="23"/>
  <c r="AR98" i="23"/>
  <c r="AQ98" i="23"/>
  <c r="AP98" i="23"/>
  <c r="AO98" i="23"/>
  <c r="AN98" i="23"/>
  <c r="AM98" i="23"/>
  <c r="AL98" i="23"/>
  <c r="AK98" i="23"/>
  <c r="AJ98" i="23"/>
  <c r="AI98" i="23"/>
  <c r="AH98" i="23"/>
  <c r="AG98" i="23"/>
  <c r="AF98" i="23"/>
  <c r="AE98" i="23"/>
  <c r="AD98" i="23"/>
  <c r="AC98" i="23"/>
  <c r="AB98" i="23"/>
  <c r="AA98" i="23"/>
  <c r="Z98" i="23"/>
  <c r="Y98" i="23"/>
  <c r="X98" i="23"/>
  <c r="W98" i="23"/>
  <c r="V98" i="23"/>
  <c r="U98" i="23"/>
  <c r="T98" i="23"/>
  <c r="S98" i="23"/>
  <c r="R98" i="23"/>
  <c r="Q98" i="23"/>
  <c r="P98" i="23"/>
  <c r="O98" i="23"/>
  <c r="N98" i="23"/>
  <c r="M98" i="23"/>
  <c r="L98" i="23"/>
  <c r="K98" i="23"/>
  <c r="J98" i="23"/>
  <c r="I98" i="23"/>
  <c r="H98" i="23"/>
  <c r="G98" i="23"/>
  <c r="F98" i="23"/>
  <c r="E98" i="23"/>
  <c r="D98" i="23"/>
  <c r="BO97" i="23"/>
  <c r="BN97" i="23"/>
  <c r="BM97" i="23"/>
  <c r="BL97" i="23"/>
  <c r="BK97" i="23"/>
  <c r="BJ97" i="23"/>
  <c r="BI97" i="23"/>
  <c r="BH97" i="23"/>
  <c r="BG97" i="23"/>
  <c r="BF97" i="23"/>
  <c r="BE97" i="23"/>
  <c r="BD97" i="23"/>
  <c r="BB97" i="23"/>
  <c r="BA97" i="23"/>
  <c r="AZ97" i="23"/>
  <c r="AY97" i="23"/>
  <c r="AX97" i="23"/>
  <c r="AV97" i="23"/>
  <c r="AU97" i="23"/>
  <c r="AT97" i="23"/>
  <c r="AS97" i="23"/>
  <c r="AR97" i="23"/>
  <c r="AQ97" i="23"/>
  <c r="AP97" i="23"/>
  <c r="AO97" i="23"/>
  <c r="AM97" i="23"/>
  <c r="AL97" i="23"/>
  <c r="AK97" i="23"/>
  <c r="AJ97" i="23"/>
  <c r="AI97" i="23"/>
  <c r="AG97" i="23"/>
  <c r="AD97" i="23"/>
  <c r="Z97" i="23"/>
  <c r="Y97" i="23"/>
  <c r="W97" i="23"/>
  <c r="V97" i="23"/>
  <c r="U97" i="23"/>
  <c r="S97" i="23"/>
  <c r="R97" i="23"/>
  <c r="Q97" i="23"/>
  <c r="P97" i="23"/>
  <c r="O97" i="23"/>
  <c r="N97" i="23"/>
  <c r="M97" i="23"/>
  <c r="L97" i="23"/>
  <c r="J97" i="23"/>
  <c r="I97" i="23"/>
  <c r="H97" i="23"/>
  <c r="G97" i="23"/>
  <c r="F97" i="23"/>
  <c r="E97" i="23"/>
  <c r="BO96" i="23"/>
  <c r="BN96" i="23"/>
  <c r="BM96" i="23"/>
  <c r="BL96" i="23"/>
  <c r="BK96" i="23"/>
  <c r="BJ96" i="23"/>
  <c r="BI96" i="23"/>
  <c r="BH96" i="23"/>
  <c r="BG96" i="23"/>
  <c r="BF96" i="23"/>
  <c r="BE96" i="23"/>
  <c r="BD96" i="23"/>
  <c r="BB96" i="23"/>
  <c r="BA96" i="23"/>
  <c r="AZ96" i="23"/>
  <c r="AY96" i="23"/>
  <c r="AX96" i="23"/>
  <c r="AV96" i="23"/>
  <c r="AU96" i="23"/>
  <c r="AT96" i="23"/>
  <c r="AS96" i="23"/>
  <c r="AR96" i="23"/>
  <c r="AQ96" i="23"/>
  <c r="AP96" i="23"/>
  <c r="AO96" i="23"/>
  <c r="AM96" i="23"/>
  <c r="AL96" i="23"/>
  <c r="AK96" i="23"/>
  <c r="AJ96" i="23"/>
  <c r="AI96" i="23"/>
  <c r="AG96" i="23"/>
  <c r="AD96" i="23"/>
  <c r="Z96" i="23"/>
  <c r="Y96" i="23"/>
  <c r="W96" i="23"/>
  <c r="V96" i="23"/>
  <c r="U96" i="23"/>
  <c r="S96" i="23"/>
  <c r="R96" i="23"/>
  <c r="Q96" i="23"/>
  <c r="P96" i="23"/>
  <c r="O96" i="23"/>
  <c r="N96" i="23"/>
  <c r="M96" i="23"/>
  <c r="L96" i="23"/>
  <c r="K96" i="23"/>
  <c r="J96" i="23"/>
  <c r="I96" i="23"/>
  <c r="H96" i="23"/>
  <c r="G96" i="23"/>
  <c r="F96" i="23"/>
  <c r="E96" i="23"/>
  <c r="A96" i="23"/>
  <c r="BO95" i="23"/>
  <c r="BN95" i="23"/>
  <c r="BM95" i="23"/>
  <c r="BL95" i="23"/>
  <c r="BK95" i="23"/>
  <c r="BJ95" i="23"/>
  <c r="BI95" i="23"/>
  <c r="BH95" i="23"/>
  <c r="BG95" i="23"/>
  <c r="BF95" i="23"/>
  <c r="BE95" i="23"/>
  <c r="BD95" i="23"/>
  <c r="BC95" i="23"/>
  <c r="BB95" i="23"/>
  <c r="BA95" i="23"/>
  <c r="AZ95" i="23"/>
  <c r="AY95" i="23"/>
  <c r="AX95" i="23"/>
  <c r="AW95" i="23"/>
  <c r="AV95" i="23"/>
  <c r="AU95" i="23"/>
  <c r="AT95" i="23"/>
  <c r="AS95" i="23"/>
  <c r="AR95" i="23"/>
  <c r="AQ95" i="23"/>
  <c r="AP95" i="23"/>
  <c r="AO95" i="23"/>
  <c r="AN95" i="23"/>
  <c r="AM95" i="23"/>
  <c r="AL95" i="23"/>
  <c r="AK95" i="23"/>
  <c r="AJ95" i="23"/>
  <c r="AI95" i="23"/>
  <c r="AH95" i="23"/>
  <c r="AG95" i="23"/>
  <c r="AF95" i="23"/>
  <c r="AE95" i="23"/>
  <c r="AD95" i="23"/>
  <c r="AC95" i="23"/>
  <c r="AB95" i="23"/>
  <c r="AA95" i="23"/>
  <c r="Z95" i="23"/>
  <c r="Y95" i="23"/>
  <c r="X95" i="23"/>
  <c r="W95" i="23"/>
  <c r="V95" i="23"/>
  <c r="U95" i="23"/>
  <c r="T95" i="23"/>
  <c r="S95" i="23"/>
  <c r="R95" i="23"/>
  <c r="Q95" i="23"/>
  <c r="P95" i="23"/>
  <c r="O95" i="23"/>
  <c r="N95" i="23"/>
  <c r="M95" i="23"/>
  <c r="L95" i="23"/>
  <c r="K95" i="23"/>
  <c r="J95" i="23"/>
  <c r="I95" i="23"/>
  <c r="H95" i="23"/>
  <c r="G95" i="23"/>
  <c r="F95" i="23"/>
  <c r="E95" i="23"/>
  <c r="D95" i="23"/>
  <c r="A95" i="23"/>
  <c r="BO94" i="23"/>
  <c r="BN94" i="23"/>
  <c r="BM94" i="23"/>
  <c r="BL94" i="23"/>
  <c r="BK94" i="23"/>
  <c r="BJ94" i="23"/>
  <c r="BI94" i="23"/>
  <c r="BH94" i="23"/>
  <c r="BG94" i="23"/>
  <c r="BF94" i="23"/>
  <c r="BE94" i="23"/>
  <c r="BD94" i="23"/>
  <c r="BB94" i="23"/>
  <c r="BA94" i="23"/>
  <c r="AZ94" i="23"/>
  <c r="AY94" i="23"/>
  <c r="AX94" i="23"/>
  <c r="AV94" i="23"/>
  <c r="AU94" i="23"/>
  <c r="AT94" i="23"/>
  <c r="AS94" i="23"/>
  <c r="AR94" i="23"/>
  <c r="AQ94" i="23"/>
  <c r="AP94" i="23"/>
  <c r="AO94" i="23"/>
  <c r="AM94" i="23"/>
  <c r="AL94" i="23"/>
  <c r="AK94" i="23"/>
  <c r="AJ94" i="23"/>
  <c r="AI94" i="23"/>
  <c r="AG94" i="23"/>
  <c r="AD94" i="23"/>
  <c r="Z94" i="23"/>
  <c r="Y94" i="23"/>
  <c r="W94" i="23"/>
  <c r="V94" i="23"/>
  <c r="U94" i="23"/>
  <c r="S94" i="23"/>
  <c r="R94" i="23"/>
  <c r="Q94" i="23"/>
  <c r="P94" i="23"/>
  <c r="O94" i="23"/>
  <c r="N94" i="23"/>
  <c r="M94" i="23"/>
  <c r="L94" i="23"/>
  <c r="K94" i="23"/>
  <c r="J94" i="23"/>
  <c r="I94" i="23"/>
  <c r="H94" i="23"/>
  <c r="G94" i="23"/>
  <c r="F94" i="23"/>
  <c r="E94" i="23"/>
  <c r="A94" i="23"/>
  <c r="BO93" i="23"/>
  <c r="BN93" i="23"/>
  <c r="BM93" i="23"/>
  <c r="BL93" i="23"/>
  <c r="BK93" i="23"/>
  <c r="BJ93" i="23"/>
  <c r="BI93" i="23"/>
  <c r="BH93" i="23"/>
  <c r="BG93" i="23"/>
  <c r="BF93" i="23"/>
  <c r="BE93" i="23"/>
  <c r="BD93" i="23"/>
  <c r="BC93" i="23"/>
  <c r="BB93" i="23"/>
  <c r="BA93" i="23"/>
  <c r="AZ93" i="23"/>
  <c r="AY93" i="23"/>
  <c r="AX93" i="23"/>
  <c r="AW93" i="23"/>
  <c r="AV93" i="23"/>
  <c r="AU93" i="23"/>
  <c r="AT93" i="23"/>
  <c r="AS93" i="23"/>
  <c r="AR93" i="23"/>
  <c r="AQ93" i="23"/>
  <c r="AP93" i="23"/>
  <c r="AO93" i="23"/>
  <c r="AN93" i="23"/>
  <c r="AM93" i="23"/>
  <c r="AL93" i="23"/>
  <c r="AK93" i="23"/>
  <c r="AJ93" i="23"/>
  <c r="AI93" i="23"/>
  <c r="AH93" i="23"/>
  <c r="AG93" i="23"/>
  <c r="AF93" i="23"/>
  <c r="AE93" i="23"/>
  <c r="AD93" i="23"/>
  <c r="AC93" i="23"/>
  <c r="AB93" i="23"/>
  <c r="AA93" i="23"/>
  <c r="Z93" i="23"/>
  <c r="Y93" i="23"/>
  <c r="X93" i="23"/>
  <c r="W93" i="23"/>
  <c r="V93" i="23"/>
  <c r="U93" i="23"/>
  <c r="T93" i="23"/>
  <c r="S93" i="23"/>
  <c r="R93" i="23"/>
  <c r="Q93" i="23"/>
  <c r="P93" i="23"/>
  <c r="O93" i="23"/>
  <c r="N93" i="23"/>
  <c r="M93" i="23"/>
  <c r="L93" i="23"/>
  <c r="K93" i="23"/>
  <c r="J93" i="23"/>
  <c r="I93" i="23"/>
  <c r="H93" i="23"/>
  <c r="G93" i="23"/>
  <c r="F93" i="23"/>
  <c r="E93" i="23"/>
  <c r="D93" i="23"/>
  <c r="A93" i="23"/>
  <c r="BO92" i="23"/>
  <c r="BN92" i="23"/>
  <c r="BM92" i="23"/>
  <c r="BL92" i="23"/>
  <c r="BK92" i="23"/>
  <c r="BJ92" i="23"/>
  <c r="BI92" i="23"/>
  <c r="BH92" i="23"/>
  <c r="BG92" i="23"/>
  <c r="BF92" i="23"/>
  <c r="BE92" i="23"/>
  <c r="BD92" i="23"/>
  <c r="BC92" i="23"/>
  <c r="BB92" i="23"/>
  <c r="BA92" i="23"/>
  <c r="AZ92" i="23"/>
  <c r="AY92" i="23"/>
  <c r="AX92" i="23"/>
  <c r="AW92" i="23"/>
  <c r="AV92" i="23"/>
  <c r="AU92" i="23"/>
  <c r="AT92" i="23"/>
  <c r="AS92" i="23"/>
  <c r="AR92" i="23"/>
  <c r="AQ92" i="23"/>
  <c r="AP92" i="23"/>
  <c r="AO92" i="23"/>
  <c r="AN92" i="23"/>
  <c r="AM92" i="23"/>
  <c r="AL92" i="23"/>
  <c r="AK92" i="23"/>
  <c r="AJ92" i="23"/>
  <c r="AI92" i="23"/>
  <c r="AH92" i="23"/>
  <c r="AG92" i="23"/>
  <c r="AF92" i="23"/>
  <c r="AE92" i="23"/>
  <c r="AD92" i="23"/>
  <c r="AC92" i="23"/>
  <c r="AB92" i="23"/>
  <c r="AA92" i="23"/>
  <c r="Z92" i="23"/>
  <c r="Y92" i="23"/>
  <c r="X92" i="23"/>
  <c r="W92" i="23"/>
  <c r="V92" i="23"/>
  <c r="U92" i="23"/>
  <c r="T92" i="23"/>
  <c r="S92" i="23"/>
  <c r="R92" i="23"/>
  <c r="Q92" i="23"/>
  <c r="P92" i="23"/>
  <c r="O92" i="23"/>
  <c r="N92" i="23"/>
  <c r="M92" i="23"/>
  <c r="L92" i="23"/>
  <c r="K92" i="23"/>
  <c r="J92" i="23"/>
  <c r="I92" i="23"/>
  <c r="H92" i="23"/>
  <c r="G92" i="23"/>
  <c r="F92" i="23"/>
  <c r="E92" i="23"/>
  <c r="D92" i="23"/>
  <c r="A92" i="23"/>
  <c r="BO91" i="23"/>
  <c r="BN91" i="23"/>
  <c r="BM91" i="23"/>
  <c r="BL91" i="23"/>
  <c r="BK91" i="23"/>
  <c r="BJ91" i="23"/>
  <c r="BI91" i="23"/>
  <c r="BH91" i="23"/>
  <c r="BG91" i="23"/>
  <c r="BF91" i="23"/>
  <c r="BE91" i="23"/>
  <c r="BD91" i="23"/>
  <c r="BC91" i="23"/>
  <c r="BB91" i="23"/>
  <c r="BA91" i="23"/>
  <c r="AZ91" i="23"/>
  <c r="AY91" i="23"/>
  <c r="AX91" i="23"/>
  <c r="AW91" i="23"/>
  <c r="AV91" i="23"/>
  <c r="AU91" i="23"/>
  <c r="AT91" i="23"/>
  <c r="AS91" i="23"/>
  <c r="AR91" i="23"/>
  <c r="AQ91" i="23"/>
  <c r="AP91" i="23"/>
  <c r="AO91" i="23"/>
  <c r="AN91" i="23"/>
  <c r="AM91" i="23"/>
  <c r="AL91" i="23"/>
  <c r="AK91" i="23"/>
  <c r="AJ91" i="23"/>
  <c r="AI91" i="23"/>
  <c r="AH91" i="23"/>
  <c r="AG91" i="23"/>
  <c r="AF91" i="23"/>
  <c r="AE91" i="23"/>
  <c r="AD91" i="23"/>
  <c r="AC91" i="23"/>
  <c r="AB91" i="23"/>
  <c r="AA91" i="23"/>
  <c r="Z91" i="23"/>
  <c r="Y91" i="23"/>
  <c r="X91" i="23"/>
  <c r="W91" i="23"/>
  <c r="V91" i="23"/>
  <c r="U91" i="23"/>
  <c r="T91" i="23"/>
  <c r="S91" i="23"/>
  <c r="R91" i="23"/>
  <c r="Q91" i="23"/>
  <c r="P91" i="23"/>
  <c r="O91" i="23"/>
  <c r="N91" i="23"/>
  <c r="M91" i="23"/>
  <c r="L91" i="23"/>
  <c r="K91" i="23"/>
  <c r="J91" i="23"/>
  <c r="I91" i="23"/>
  <c r="H91" i="23"/>
  <c r="G91" i="23"/>
  <c r="F91" i="23"/>
  <c r="E91" i="23"/>
  <c r="D91" i="23"/>
  <c r="A91" i="23"/>
  <c r="BO90" i="23"/>
  <c r="BN90" i="23"/>
  <c r="BM90" i="23"/>
  <c r="BL90" i="23"/>
  <c r="BK90" i="23"/>
  <c r="BJ90" i="23"/>
  <c r="BI90" i="23"/>
  <c r="BH90" i="23"/>
  <c r="BG90" i="23"/>
  <c r="BF90" i="23"/>
  <c r="BE90" i="23"/>
  <c r="BD90" i="23"/>
  <c r="BC90" i="23"/>
  <c r="BB90" i="23"/>
  <c r="BA90" i="23"/>
  <c r="AZ90" i="23"/>
  <c r="AY90" i="23"/>
  <c r="AX90" i="23"/>
  <c r="AW90" i="23"/>
  <c r="AV90" i="23"/>
  <c r="AU90" i="23"/>
  <c r="AT90" i="23"/>
  <c r="AS90" i="23"/>
  <c r="AR90" i="23"/>
  <c r="AQ90" i="23"/>
  <c r="AP90" i="23"/>
  <c r="AO90" i="23"/>
  <c r="AN90" i="23"/>
  <c r="AM90" i="23"/>
  <c r="AL90" i="23"/>
  <c r="AK90" i="23"/>
  <c r="AJ90" i="23"/>
  <c r="AI90" i="23"/>
  <c r="AH90" i="23"/>
  <c r="AG90" i="23"/>
  <c r="AF90" i="23"/>
  <c r="AE90" i="23"/>
  <c r="AD90" i="23"/>
  <c r="AC90" i="23"/>
  <c r="AB90" i="23"/>
  <c r="AA90" i="23"/>
  <c r="Z90" i="23"/>
  <c r="Y90" i="23"/>
  <c r="X90" i="23"/>
  <c r="W90" i="23"/>
  <c r="V90" i="23"/>
  <c r="U90" i="23"/>
  <c r="T90" i="23"/>
  <c r="S90" i="23"/>
  <c r="R90" i="23"/>
  <c r="Q90" i="23"/>
  <c r="P90" i="23"/>
  <c r="O90" i="23"/>
  <c r="N90" i="23"/>
  <c r="M90" i="23"/>
  <c r="L90" i="23"/>
  <c r="K90" i="23"/>
  <c r="J90" i="23"/>
  <c r="I90" i="23"/>
  <c r="H90" i="23"/>
  <c r="G90" i="23"/>
  <c r="F90" i="23"/>
  <c r="E90" i="23"/>
  <c r="D90" i="23"/>
  <c r="A90" i="23"/>
  <c r="BO89" i="23"/>
  <c r="BN89" i="23"/>
  <c r="BM89" i="23"/>
  <c r="BL89" i="23"/>
  <c r="BK89" i="23"/>
  <c r="BJ89" i="23"/>
  <c r="BI89" i="23"/>
  <c r="BH89" i="23"/>
  <c r="BG89" i="23"/>
  <c r="BF89" i="23"/>
  <c r="BE89" i="23"/>
  <c r="BD89" i="23"/>
  <c r="BC89" i="23"/>
  <c r="BB89" i="23"/>
  <c r="BA89" i="23"/>
  <c r="AZ89" i="23"/>
  <c r="AY89" i="23"/>
  <c r="AX89" i="23"/>
  <c r="AW89" i="23"/>
  <c r="AV89" i="23"/>
  <c r="AU89" i="23"/>
  <c r="AT89" i="23"/>
  <c r="AS89" i="23"/>
  <c r="AR89" i="23"/>
  <c r="AQ89" i="23"/>
  <c r="AP89" i="23"/>
  <c r="AO89" i="23"/>
  <c r="AN89" i="23"/>
  <c r="AM89" i="23"/>
  <c r="AL89" i="23"/>
  <c r="AK89" i="23"/>
  <c r="AJ89" i="23"/>
  <c r="AI89" i="23"/>
  <c r="AH89" i="23"/>
  <c r="AG89" i="23"/>
  <c r="AF89" i="23"/>
  <c r="AE89" i="23"/>
  <c r="AD89" i="23"/>
  <c r="AC89" i="23"/>
  <c r="AB89" i="23"/>
  <c r="AA89" i="23"/>
  <c r="Z89" i="23"/>
  <c r="Y89" i="23"/>
  <c r="X89" i="23"/>
  <c r="W89" i="23"/>
  <c r="V89" i="23"/>
  <c r="U89" i="23"/>
  <c r="T89" i="23"/>
  <c r="S89" i="23"/>
  <c r="R89" i="23"/>
  <c r="Q89" i="23"/>
  <c r="P89" i="23"/>
  <c r="O89" i="23"/>
  <c r="N89" i="23"/>
  <c r="M89" i="23"/>
  <c r="L89" i="23"/>
  <c r="K89" i="23"/>
  <c r="J89" i="23"/>
  <c r="I89" i="23"/>
  <c r="H89" i="23"/>
  <c r="G89" i="23"/>
  <c r="F89" i="23"/>
  <c r="E89" i="23"/>
  <c r="D89" i="23"/>
  <c r="A89" i="23"/>
  <c r="BO88" i="23"/>
  <c r="BN88" i="23"/>
  <c r="BM88" i="23"/>
  <c r="BL88" i="23"/>
  <c r="BK88" i="23"/>
  <c r="BJ88" i="23"/>
  <c r="BI88" i="23"/>
  <c r="BH88" i="23"/>
  <c r="BG88" i="23"/>
  <c r="BF88" i="23"/>
  <c r="BE88" i="23"/>
  <c r="BD88" i="23"/>
  <c r="BC88" i="23"/>
  <c r="BB88" i="23"/>
  <c r="BA88" i="23"/>
  <c r="AZ88" i="23"/>
  <c r="AY88" i="23"/>
  <c r="AX88" i="23"/>
  <c r="AW88" i="23"/>
  <c r="AV88" i="23"/>
  <c r="AU88" i="23"/>
  <c r="AT88" i="23"/>
  <c r="AS88" i="23"/>
  <c r="AR88" i="23"/>
  <c r="AQ88" i="23"/>
  <c r="AP88" i="23"/>
  <c r="AO88" i="23"/>
  <c r="AN88" i="23"/>
  <c r="AM88" i="23"/>
  <c r="AL88" i="23"/>
  <c r="AK88" i="23"/>
  <c r="AJ88" i="23"/>
  <c r="AI88" i="23"/>
  <c r="AH88" i="23"/>
  <c r="AG88" i="23"/>
  <c r="AF88" i="23"/>
  <c r="AE88" i="23"/>
  <c r="AD88" i="23"/>
  <c r="AC88" i="23"/>
  <c r="AB88" i="23"/>
  <c r="AA88" i="23"/>
  <c r="Z88" i="23"/>
  <c r="Y88" i="23"/>
  <c r="X88" i="23"/>
  <c r="W88" i="23"/>
  <c r="V88" i="23"/>
  <c r="U88" i="23"/>
  <c r="T88" i="23"/>
  <c r="S88" i="23"/>
  <c r="R88" i="23"/>
  <c r="Q88" i="23"/>
  <c r="P88" i="23"/>
  <c r="O88" i="23"/>
  <c r="N88" i="23"/>
  <c r="M88" i="23"/>
  <c r="L88" i="23"/>
  <c r="K88" i="23"/>
  <c r="J88" i="23"/>
  <c r="I88" i="23"/>
  <c r="H88" i="23"/>
  <c r="G88" i="23"/>
  <c r="F88" i="23"/>
  <c r="E88" i="23"/>
  <c r="D88" i="23"/>
  <c r="A88" i="23"/>
  <c r="BO86" i="23"/>
  <c r="BN86" i="23"/>
  <c r="BM86" i="23"/>
  <c r="BL86" i="23"/>
  <c r="BK86" i="23"/>
  <c r="BJ86" i="23"/>
  <c r="BI86" i="23"/>
  <c r="BH86" i="23"/>
  <c r="BG86" i="23"/>
  <c r="BF86" i="23"/>
  <c r="BE86" i="23"/>
  <c r="BD86" i="23"/>
  <c r="BB86" i="23"/>
  <c r="BA86" i="23"/>
  <c r="AZ86" i="23"/>
  <c r="AY86" i="23"/>
  <c r="AX86" i="23"/>
  <c r="AV86" i="23"/>
  <c r="AU86" i="23"/>
  <c r="AT86" i="23"/>
  <c r="AS86" i="23"/>
  <c r="AR86" i="23"/>
  <c r="AQ86" i="23"/>
  <c r="AP86" i="23"/>
  <c r="AO86" i="23"/>
  <c r="AM86" i="23"/>
  <c r="AL86" i="23"/>
  <c r="AK86" i="23"/>
  <c r="AJ86" i="23"/>
  <c r="AI86" i="23"/>
  <c r="AG86" i="23"/>
  <c r="AD86" i="23"/>
  <c r="Z86" i="23"/>
  <c r="Y86" i="23"/>
  <c r="W86" i="23"/>
  <c r="V86" i="23"/>
  <c r="U86" i="23"/>
  <c r="S86" i="23"/>
  <c r="R86" i="23"/>
  <c r="Q86" i="23"/>
  <c r="P86" i="23"/>
  <c r="O86" i="23"/>
  <c r="N86" i="23"/>
  <c r="M86" i="23"/>
  <c r="L86" i="23"/>
  <c r="J86" i="23"/>
  <c r="I86" i="23"/>
  <c r="H86" i="23"/>
  <c r="G86" i="23"/>
  <c r="F86" i="23"/>
  <c r="E86" i="23"/>
  <c r="BO85" i="23"/>
  <c r="BN85" i="23"/>
  <c r="BM85" i="23"/>
  <c r="BL85" i="23"/>
  <c r="BK85" i="23"/>
  <c r="BJ85" i="23"/>
  <c r="BI85" i="23"/>
  <c r="BH85" i="23"/>
  <c r="BG85" i="23"/>
  <c r="BF85" i="23"/>
  <c r="BE85" i="23"/>
  <c r="BD85" i="23"/>
  <c r="BB85" i="23"/>
  <c r="BA85" i="23"/>
  <c r="AZ85" i="23"/>
  <c r="AY85" i="23"/>
  <c r="AX85" i="23"/>
  <c r="AV85" i="23"/>
  <c r="AU85" i="23"/>
  <c r="AT85" i="23"/>
  <c r="AS85" i="23"/>
  <c r="AR85" i="23"/>
  <c r="AQ85" i="23"/>
  <c r="AP85" i="23"/>
  <c r="AO85" i="23"/>
  <c r="AM85" i="23"/>
  <c r="AL85" i="23"/>
  <c r="AK85" i="23"/>
  <c r="AJ85" i="23"/>
  <c r="AI85" i="23"/>
  <c r="AG85" i="23"/>
  <c r="AD85" i="23"/>
  <c r="Z85" i="23"/>
  <c r="Y85" i="23"/>
  <c r="W85" i="23"/>
  <c r="V85" i="23"/>
  <c r="U85" i="23"/>
  <c r="S85" i="23"/>
  <c r="R85" i="23"/>
  <c r="Q85" i="23"/>
  <c r="P85" i="23"/>
  <c r="O85" i="23"/>
  <c r="N85" i="23"/>
  <c r="M85" i="23"/>
  <c r="L85" i="23"/>
  <c r="K85" i="23"/>
  <c r="J85" i="23"/>
  <c r="I85" i="23"/>
  <c r="H85" i="23"/>
  <c r="G85" i="23"/>
  <c r="F85" i="23"/>
  <c r="E85" i="23"/>
  <c r="A85" i="23"/>
  <c r="BO84" i="23"/>
  <c r="BN84" i="23"/>
  <c r="BM84" i="23"/>
  <c r="BL84" i="23"/>
  <c r="BK84" i="23"/>
  <c r="BJ84" i="23"/>
  <c r="BI84" i="23"/>
  <c r="BH84" i="23"/>
  <c r="BG84" i="23"/>
  <c r="BF84" i="23"/>
  <c r="BE84" i="23"/>
  <c r="BD84" i="23"/>
  <c r="BB84" i="23"/>
  <c r="BA84" i="23"/>
  <c r="AZ84" i="23"/>
  <c r="AY84" i="23"/>
  <c r="AX84" i="23"/>
  <c r="AV84" i="23"/>
  <c r="AU84" i="23"/>
  <c r="AT84" i="23"/>
  <c r="AS84" i="23"/>
  <c r="AR84" i="23"/>
  <c r="AQ84" i="23"/>
  <c r="AP84" i="23"/>
  <c r="AO84" i="23"/>
  <c r="AM84" i="23"/>
  <c r="AL84" i="23"/>
  <c r="AK84" i="23"/>
  <c r="AJ84" i="23"/>
  <c r="AI84" i="23"/>
  <c r="AG84" i="23"/>
  <c r="AD84" i="23"/>
  <c r="Z84" i="23"/>
  <c r="Y84" i="23"/>
  <c r="W84" i="23"/>
  <c r="V84" i="23"/>
  <c r="U84" i="23"/>
  <c r="S84" i="23"/>
  <c r="R84" i="23"/>
  <c r="Q84" i="23"/>
  <c r="P84" i="23"/>
  <c r="O84" i="23"/>
  <c r="N84" i="23"/>
  <c r="M84" i="23"/>
  <c r="L84" i="23"/>
  <c r="K84" i="23"/>
  <c r="J84" i="23"/>
  <c r="I84" i="23"/>
  <c r="H84" i="23"/>
  <c r="G84" i="23"/>
  <c r="F84" i="23"/>
  <c r="E84" i="23"/>
  <c r="A84" i="23"/>
  <c r="BO83" i="23"/>
  <c r="BN83" i="23"/>
  <c r="BM83" i="23"/>
  <c r="BL83" i="23"/>
  <c r="BK83" i="23"/>
  <c r="BJ83" i="23"/>
  <c r="BI83" i="23"/>
  <c r="BH83" i="23"/>
  <c r="BG83" i="23"/>
  <c r="BF83" i="23"/>
  <c r="BE83" i="23"/>
  <c r="BD83" i="23"/>
  <c r="BB83" i="23"/>
  <c r="BA83" i="23"/>
  <c r="AZ83" i="23"/>
  <c r="AY83" i="23"/>
  <c r="AX83" i="23"/>
  <c r="AV83" i="23"/>
  <c r="AU83" i="23"/>
  <c r="AT83" i="23"/>
  <c r="AS83" i="23"/>
  <c r="AR83" i="23"/>
  <c r="AQ83" i="23"/>
  <c r="AP83" i="23"/>
  <c r="AO83" i="23"/>
  <c r="AM83" i="23"/>
  <c r="AL83" i="23"/>
  <c r="AK83" i="23"/>
  <c r="AJ83" i="23"/>
  <c r="AI83" i="23"/>
  <c r="AG83" i="23"/>
  <c r="AD83" i="23"/>
  <c r="Z83" i="23"/>
  <c r="Y83" i="23"/>
  <c r="W83" i="23"/>
  <c r="V83" i="23"/>
  <c r="U83" i="23"/>
  <c r="S83" i="23"/>
  <c r="R83" i="23"/>
  <c r="Q83" i="23"/>
  <c r="P83" i="23"/>
  <c r="O83" i="23"/>
  <c r="N83" i="23"/>
  <c r="M83" i="23"/>
  <c r="L83" i="23"/>
  <c r="K83" i="23"/>
  <c r="J83" i="23"/>
  <c r="I83" i="23"/>
  <c r="H83" i="23"/>
  <c r="G83" i="23"/>
  <c r="F83" i="23"/>
  <c r="E83" i="23"/>
  <c r="A83" i="23"/>
  <c r="BO82" i="23"/>
  <c r="BN82" i="23"/>
  <c r="BM82" i="23"/>
  <c r="BL82" i="23"/>
  <c r="BK82" i="23"/>
  <c r="BJ82" i="23"/>
  <c r="BI82" i="23"/>
  <c r="BH82" i="23"/>
  <c r="BG82" i="23"/>
  <c r="BF82" i="23"/>
  <c r="BE82" i="23"/>
  <c r="BD82" i="23"/>
  <c r="BB82" i="23"/>
  <c r="BA82" i="23"/>
  <c r="AZ82" i="23"/>
  <c r="AY82" i="23"/>
  <c r="AX82" i="23"/>
  <c r="AV82" i="23"/>
  <c r="AU82" i="23"/>
  <c r="AT82" i="23"/>
  <c r="AS82" i="23"/>
  <c r="AR82" i="23"/>
  <c r="AQ82" i="23"/>
  <c r="AP82" i="23"/>
  <c r="AO82" i="23"/>
  <c r="AM82" i="23"/>
  <c r="AL82" i="23"/>
  <c r="AK82" i="23"/>
  <c r="AJ82" i="23"/>
  <c r="AI82" i="23"/>
  <c r="AG82" i="23"/>
  <c r="AD82" i="23"/>
  <c r="Z82" i="23"/>
  <c r="Y82" i="23"/>
  <c r="W82" i="23"/>
  <c r="V82" i="23"/>
  <c r="U82" i="23"/>
  <c r="S82" i="23"/>
  <c r="R82" i="23"/>
  <c r="Q82" i="23"/>
  <c r="P82" i="23"/>
  <c r="O82" i="23"/>
  <c r="N82" i="23"/>
  <c r="M82" i="23"/>
  <c r="L82" i="23"/>
  <c r="K82" i="23"/>
  <c r="J82" i="23"/>
  <c r="I82" i="23"/>
  <c r="H82" i="23"/>
  <c r="G82" i="23"/>
  <c r="F82" i="23"/>
  <c r="E82" i="23"/>
  <c r="A82" i="23"/>
  <c r="BO81" i="23"/>
  <c r="BN81" i="23"/>
  <c r="BM81" i="23"/>
  <c r="BL81" i="23"/>
  <c r="BK81" i="23"/>
  <c r="BJ81" i="23"/>
  <c r="BI81" i="23"/>
  <c r="BH81" i="23"/>
  <c r="BG81" i="23"/>
  <c r="BF81" i="23"/>
  <c r="BE81" i="23"/>
  <c r="BD81" i="23"/>
  <c r="BB81" i="23"/>
  <c r="BA81" i="23"/>
  <c r="AZ81" i="23"/>
  <c r="AY81" i="23"/>
  <c r="AX81" i="23"/>
  <c r="AV81" i="23"/>
  <c r="AU81" i="23"/>
  <c r="AT81" i="23"/>
  <c r="AS81" i="23"/>
  <c r="AR81" i="23"/>
  <c r="AQ81" i="23"/>
  <c r="AP81" i="23"/>
  <c r="AO81" i="23"/>
  <c r="AM81" i="23"/>
  <c r="AL81" i="23"/>
  <c r="AK81" i="23"/>
  <c r="AJ81" i="23"/>
  <c r="AI81" i="23"/>
  <c r="AG81" i="23"/>
  <c r="AD81" i="23"/>
  <c r="Z81" i="23"/>
  <c r="Y81" i="23"/>
  <c r="W81" i="23"/>
  <c r="V81" i="23"/>
  <c r="U81" i="23"/>
  <c r="S81" i="23"/>
  <c r="R81" i="23"/>
  <c r="Q81" i="23"/>
  <c r="P81" i="23"/>
  <c r="O81" i="23"/>
  <c r="N81" i="23"/>
  <c r="M81" i="23"/>
  <c r="L81" i="23"/>
  <c r="K81" i="23"/>
  <c r="J81" i="23"/>
  <c r="I81" i="23"/>
  <c r="H81" i="23"/>
  <c r="G81" i="23"/>
  <c r="F81" i="23"/>
  <c r="E81" i="23"/>
  <c r="A81" i="23"/>
  <c r="BO80" i="23"/>
  <c r="BN80" i="23"/>
  <c r="BM80" i="23"/>
  <c r="BL80" i="23"/>
  <c r="BK80" i="23"/>
  <c r="BJ80" i="23"/>
  <c r="BI80" i="23"/>
  <c r="BH80" i="23"/>
  <c r="BG80" i="23"/>
  <c r="BF80" i="23"/>
  <c r="BE80" i="23"/>
  <c r="BD80" i="23"/>
  <c r="BB80" i="23"/>
  <c r="BA80" i="23"/>
  <c r="AZ80" i="23"/>
  <c r="AY80" i="23"/>
  <c r="AX80" i="23"/>
  <c r="AV80" i="23"/>
  <c r="AU80" i="23"/>
  <c r="AT80" i="23"/>
  <c r="AS80" i="23"/>
  <c r="AR80" i="23"/>
  <c r="AQ80" i="23"/>
  <c r="AP80" i="23"/>
  <c r="AO80" i="23"/>
  <c r="AM80" i="23"/>
  <c r="AL80" i="23"/>
  <c r="AK80" i="23"/>
  <c r="AJ80" i="23"/>
  <c r="AI80" i="23"/>
  <c r="AG80" i="23"/>
  <c r="AD80" i="23"/>
  <c r="Z80" i="23"/>
  <c r="Y80" i="23"/>
  <c r="W80" i="23"/>
  <c r="V80" i="23"/>
  <c r="U80" i="23"/>
  <c r="S80" i="23"/>
  <c r="R80" i="23"/>
  <c r="Q80" i="23"/>
  <c r="P80" i="23"/>
  <c r="O80" i="23"/>
  <c r="N80" i="23"/>
  <c r="M80" i="23"/>
  <c r="L80" i="23"/>
  <c r="K80" i="23"/>
  <c r="J80" i="23"/>
  <c r="I80" i="23"/>
  <c r="H80" i="23"/>
  <c r="G80" i="23"/>
  <c r="F80" i="23"/>
  <c r="E80" i="23"/>
  <c r="A80" i="23"/>
  <c r="BO79" i="23"/>
  <c r="BN79" i="23"/>
  <c r="BM79" i="23"/>
  <c r="BL79" i="23"/>
  <c r="BK79" i="23"/>
  <c r="BJ79" i="23"/>
  <c r="BI79" i="23"/>
  <c r="BH79" i="23"/>
  <c r="BG79" i="23"/>
  <c r="BF79" i="23"/>
  <c r="BE79" i="23"/>
  <c r="BD79" i="23"/>
  <c r="BB79" i="23"/>
  <c r="BA79" i="23"/>
  <c r="AZ79" i="23"/>
  <c r="AY79" i="23"/>
  <c r="AX79" i="23"/>
  <c r="AV79" i="23"/>
  <c r="AU79" i="23"/>
  <c r="AT79" i="23"/>
  <c r="AS79" i="23"/>
  <c r="AR79" i="23"/>
  <c r="AQ79" i="23"/>
  <c r="AP79" i="23"/>
  <c r="AO79" i="23"/>
  <c r="AM79" i="23"/>
  <c r="AL79" i="23"/>
  <c r="AK79" i="23"/>
  <c r="AJ79" i="23"/>
  <c r="AI79" i="23"/>
  <c r="AG79" i="23"/>
  <c r="AD79" i="23"/>
  <c r="Z79" i="23"/>
  <c r="Y79" i="23"/>
  <c r="W79" i="23"/>
  <c r="V79" i="23"/>
  <c r="U79" i="23"/>
  <c r="S79" i="23"/>
  <c r="R79" i="23"/>
  <c r="Q79" i="23"/>
  <c r="P79" i="23"/>
  <c r="O79" i="23"/>
  <c r="N79" i="23"/>
  <c r="M79" i="23"/>
  <c r="L79" i="23"/>
  <c r="K79" i="23"/>
  <c r="J79" i="23"/>
  <c r="I79" i="23"/>
  <c r="H79" i="23"/>
  <c r="G79" i="23"/>
  <c r="F79" i="23"/>
  <c r="E79" i="23"/>
  <c r="A79" i="23"/>
  <c r="BO78" i="23"/>
  <c r="BN78" i="23"/>
  <c r="BM78" i="23"/>
  <c r="BL78" i="23"/>
  <c r="BK78" i="23"/>
  <c r="BJ78" i="23"/>
  <c r="BI78" i="23"/>
  <c r="BH78" i="23"/>
  <c r="BG78" i="23"/>
  <c r="BF78" i="23"/>
  <c r="BE78" i="23"/>
  <c r="BD78" i="23"/>
  <c r="BC78" i="23"/>
  <c r="BB78" i="23"/>
  <c r="BA78" i="23"/>
  <c r="AZ78" i="23"/>
  <c r="AY78" i="23"/>
  <c r="AX78" i="23"/>
  <c r="AW78" i="23"/>
  <c r="AV78" i="23"/>
  <c r="AU78" i="23"/>
  <c r="AT78" i="23"/>
  <c r="AS78" i="23"/>
  <c r="AR78" i="23"/>
  <c r="AQ78" i="23"/>
  <c r="AP78" i="23"/>
  <c r="AO78" i="23"/>
  <c r="AN78" i="23"/>
  <c r="AM78" i="23"/>
  <c r="AL78" i="23"/>
  <c r="AK78" i="23"/>
  <c r="AJ78" i="23"/>
  <c r="AI78" i="23"/>
  <c r="AH78" i="23"/>
  <c r="AG78" i="23"/>
  <c r="AF78" i="23"/>
  <c r="AE78" i="23"/>
  <c r="AD78" i="23"/>
  <c r="AC78" i="23"/>
  <c r="AB78" i="23"/>
  <c r="AA78" i="23"/>
  <c r="Z78" i="23"/>
  <c r="Y78" i="23"/>
  <c r="X78" i="23"/>
  <c r="W78" i="23"/>
  <c r="V78" i="23"/>
  <c r="U78" i="23"/>
  <c r="T78" i="23"/>
  <c r="S78" i="23"/>
  <c r="R78" i="23"/>
  <c r="Q78" i="23"/>
  <c r="P78" i="23"/>
  <c r="O78" i="23"/>
  <c r="N78" i="23"/>
  <c r="M78" i="23"/>
  <c r="L78" i="23"/>
  <c r="K78" i="23"/>
  <c r="J78" i="23"/>
  <c r="I78" i="23"/>
  <c r="H78" i="23"/>
  <c r="G78" i="23"/>
  <c r="F78" i="23"/>
  <c r="E78" i="23"/>
  <c r="D78" i="23"/>
  <c r="A78" i="23"/>
  <c r="BO77" i="23"/>
  <c r="BN77" i="23"/>
  <c r="BM77" i="23"/>
  <c r="BL77" i="23"/>
  <c r="BK77" i="23"/>
  <c r="BJ77" i="23"/>
  <c r="BI77" i="23"/>
  <c r="BH77" i="23"/>
  <c r="BG77" i="23"/>
  <c r="BF77" i="23"/>
  <c r="BE77" i="23"/>
  <c r="BD77" i="23"/>
  <c r="BC77" i="23"/>
  <c r="BB77" i="23"/>
  <c r="BA77" i="23"/>
  <c r="AZ77" i="23"/>
  <c r="AY77" i="23"/>
  <c r="AX77" i="23"/>
  <c r="AW77" i="23"/>
  <c r="AV77" i="23"/>
  <c r="AU77" i="23"/>
  <c r="AT77" i="23"/>
  <c r="AS77" i="23"/>
  <c r="AR77" i="23"/>
  <c r="AQ77" i="23"/>
  <c r="AP77" i="23"/>
  <c r="AO77" i="23"/>
  <c r="AN77" i="23"/>
  <c r="AM77" i="23"/>
  <c r="AL77" i="23"/>
  <c r="AK77" i="23"/>
  <c r="AJ77" i="23"/>
  <c r="AI77" i="23"/>
  <c r="AH77" i="23"/>
  <c r="AG77" i="23"/>
  <c r="AF77" i="23"/>
  <c r="AE77" i="23"/>
  <c r="AD77" i="23"/>
  <c r="AC77" i="23"/>
  <c r="AB77" i="23"/>
  <c r="AA77" i="23"/>
  <c r="Z77" i="23"/>
  <c r="Y77" i="23"/>
  <c r="X77" i="23"/>
  <c r="W77" i="23"/>
  <c r="V77" i="23"/>
  <c r="U77" i="23"/>
  <c r="T77" i="23"/>
  <c r="S77" i="23"/>
  <c r="R77" i="23"/>
  <c r="Q77" i="23"/>
  <c r="P77" i="23"/>
  <c r="O77" i="23"/>
  <c r="N77" i="23"/>
  <c r="M77" i="23"/>
  <c r="L77" i="23"/>
  <c r="K77" i="23"/>
  <c r="J77" i="23"/>
  <c r="I77" i="23"/>
  <c r="H77" i="23"/>
  <c r="G77" i="23"/>
  <c r="F77" i="23"/>
  <c r="E77" i="23"/>
  <c r="D77" i="23"/>
  <c r="BO76" i="23"/>
  <c r="BN76" i="23"/>
  <c r="BM76" i="23"/>
  <c r="BL76" i="23"/>
  <c r="BK76" i="23"/>
  <c r="BJ76" i="23"/>
  <c r="BI76" i="23"/>
  <c r="BH76" i="23"/>
  <c r="BG76" i="23"/>
  <c r="BF76" i="23"/>
  <c r="BE76" i="23"/>
  <c r="BD76" i="23"/>
  <c r="BB76" i="23"/>
  <c r="BA76" i="23"/>
  <c r="AZ76" i="23"/>
  <c r="AY76" i="23"/>
  <c r="AX76" i="23"/>
  <c r="AV76" i="23"/>
  <c r="AU76" i="23"/>
  <c r="AT76" i="23"/>
  <c r="AS76" i="23"/>
  <c r="AR76" i="23"/>
  <c r="AQ76" i="23"/>
  <c r="AP76" i="23"/>
  <c r="AO76" i="23"/>
  <c r="AM76" i="23"/>
  <c r="AL76" i="23"/>
  <c r="AK76" i="23"/>
  <c r="AJ76" i="23"/>
  <c r="AI76" i="23"/>
  <c r="AG76" i="23"/>
  <c r="AD76" i="23"/>
  <c r="Z76" i="23"/>
  <c r="Y76" i="23"/>
  <c r="W76" i="23"/>
  <c r="V76" i="23"/>
  <c r="U76" i="23"/>
  <c r="S76" i="23"/>
  <c r="R76" i="23"/>
  <c r="Q76" i="23"/>
  <c r="P76" i="23"/>
  <c r="O76" i="23"/>
  <c r="N76" i="23"/>
  <c r="M76" i="23"/>
  <c r="L76" i="23"/>
  <c r="J76" i="23"/>
  <c r="I76" i="23"/>
  <c r="H76" i="23"/>
  <c r="G76" i="23"/>
  <c r="F76" i="23"/>
  <c r="E76" i="23"/>
  <c r="A75" i="23"/>
  <c r="A74" i="23"/>
  <c r="A73" i="23"/>
  <c r="D72" i="23"/>
  <c r="BO70" i="23"/>
  <c r="BN70" i="23"/>
  <c r="BM70" i="23"/>
  <c r="BL70" i="23"/>
  <c r="BK70" i="23"/>
  <c r="BJ70" i="23"/>
  <c r="BI70" i="23"/>
  <c r="BH70" i="23"/>
  <c r="BG70" i="23"/>
  <c r="BF70" i="23"/>
  <c r="BE70" i="23"/>
  <c r="BD70" i="23"/>
  <c r="BB70" i="23"/>
  <c r="BA70" i="23"/>
  <c r="AZ70" i="23"/>
  <c r="AY70" i="23"/>
  <c r="AX70" i="23"/>
  <c r="AV70" i="23"/>
  <c r="AU70" i="23"/>
  <c r="AT70" i="23"/>
  <c r="AS70" i="23"/>
  <c r="AR70" i="23"/>
  <c r="AQ70" i="23"/>
  <c r="AP70" i="23"/>
  <c r="AO70" i="23"/>
  <c r="AM70" i="23"/>
  <c r="AL70" i="23"/>
  <c r="AK70" i="23"/>
  <c r="AJ70" i="23"/>
  <c r="AI70" i="23"/>
  <c r="AG70" i="23"/>
  <c r="AD70" i="23"/>
  <c r="Z70" i="23"/>
  <c r="Y70" i="23"/>
  <c r="W70" i="23"/>
  <c r="V70" i="23"/>
  <c r="U70" i="23"/>
  <c r="S70" i="23"/>
  <c r="R70" i="23"/>
  <c r="Q70" i="23"/>
  <c r="P70" i="23"/>
  <c r="O70" i="23"/>
  <c r="N70" i="23"/>
  <c r="M70" i="23"/>
  <c r="L70" i="23"/>
  <c r="J70" i="23"/>
  <c r="I70" i="23"/>
  <c r="H70" i="23"/>
  <c r="G70" i="23"/>
  <c r="F70" i="23"/>
  <c r="E70" i="23"/>
  <c r="A70" i="23"/>
  <c r="BO69" i="23"/>
  <c r="BN69" i="23"/>
  <c r="BM69" i="23"/>
  <c r="BL69" i="23"/>
  <c r="BK69" i="23"/>
  <c r="BJ69" i="23"/>
  <c r="BI69" i="23"/>
  <c r="BH69" i="23"/>
  <c r="BG69" i="23"/>
  <c r="BF69" i="23"/>
  <c r="BE69" i="23"/>
  <c r="BD69" i="23"/>
  <c r="BC69" i="23"/>
  <c r="BB69" i="23"/>
  <c r="BA69" i="23"/>
  <c r="AZ69" i="23"/>
  <c r="AY69" i="23"/>
  <c r="AX69" i="23"/>
  <c r="AW69" i="23"/>
  <c r="AV69" i="23"/>
  <c r="AU69" i="23"/>
  <c r="AT69" i="23"/>
  <c r="AS69" i="23"/>
  <c r="AR69" i="23"/>
  <c r="AQ69" i="23"/>
  <c r="AP69" i="23"/>
  <c r="AO69" i="23"/>
  <c r="AN69" i="23"/>
  <c r="AM69" i="23"/>
  <c r="AL69" i="23"/>
  <c r="AK69" i="23"/>
  <c r="AJ69" i="23"/>
  <c r="AI69" i="23"/>
  <c r="AH69" i="23"/>
  <c r="AG69" i="23"/>
  <c r="AF69" i="23"/>
  <c r="AE69" i="23"/>
  <c r="AD69" i="23"/>
  <c r="AC69" i="23"/>
  <c r="AB69" i="23"/>
  <c r="AA69" i="23"/>
  <c r="Z69" i="23"/>
  <c r="Y69" i="23"/>
  <c r="X69" i="23"/>
  <c r="W69" i="23"/>
  <c r="V69" i="23"/>
  <c r="U69" i="23"/>
  <c r="T69" i="23"/>
  <c r="S69" i="23"/>
  <c r="R69" i="23"/>
  <c r="Q69" i="23"/>
  <c r="P69" i="23"/>
  <c r="O69" i="23"/>
  <c r="N69" i="23"/>
  <c r="M69" i="23"/>
  <c r="L69" i="23"/>
  <c r="K69" i="23"/>
  <c r="J69" i="23"/>
  <c r="I69" i="23"/>
  <c r="H69" i="23"/>
  <c r="G69" i="23"/>
  <c r="F69" i="23"/>
  <c r="E69" i="23"/>
  <c r="D69" i="23"/>
  <c r="A69" i="23"/>
  <c r="BO68" i="23"/>
  <c r="BN68" i="23"/>
  <c r="BM68" i="23"/>
  <c r="BL68" i="23"/>
  <c r="BK68" i="23"/>
  <c r="BJ68" i="23"/>
  <c r="BI68" i="23"/>
  <c r="BH68" i="23"/>
  <c r="BG68" i="23"/>
  <c r="BF68" i="23"/>
  <c r="BE68" i="23"/>
  <c r="BD68" i="23"/>
  <c r="BB68" i="23"/>
  <c r="BA68" i="23"/>
  <c r="AZ68" i="23"/>
  <c r="AY68" i="23"/>
  <c r="AX68" i="23"/>
  <c r="AV68" i="23"/>
  <c r="AU68" i="23"/>
  <c r="AT68" i="23"/>
  <c r="AS68" i="23"/>
  <c r="AR68" i="23"/>
  <c r="AQ68" i="23"/>
  <c r="AP68" i="23"/>
  <c r="AO68" i="23"/>
  <c r="AM68" i="23"/>
  <c r="AL68" i="23"/>
  <c r="AK68" i="23"/>
  <c r="AJ68" i="23"/>
  <c r="AI68" i="23"/>
  <c r="AG68" i="23"/>
  <c r="AD68" i="23"/>
  <c r="Z68" i="23"/>
  <c r="Y68" i="23"/>
  <c r="W68" i="23"/>
  <c r="V68" i="23"/>
  <c r="U68" i="23"/>
  <c r="S68" i="23"/>
  <c r="R68" i="23"/>
  <c r="Q68" i="23"/>
  <c r="P68" i="23"/>
  <c r="O68" i="23"/>
  <c r="N68" i="23"/>
  <c r="M68" i="23"/>
  <c r="L68" i="23"/>
  <c r="J68" i="23"/>
  <c r="I68" i="23"/>
  <c r="H68" i="23"/>
  <c r="G68" i="23"/>
  <c r="F68" i="23"/>
  <c r="E68" i="23"/>
  <c r="A68" i="23"/>
  <c r="BO67" i="23"/>
  <c r="BN67" i="23"/>
  <c r="BM67" i="23"/>
  <c r="BL67" i="23"/>
  <c r="BK67" i="23"/>
  <c r="BJ67" i="23"/>
  <c r="BI67" i="23"/>
  <c r="BH67" i="23"/>
  <c r="BG67" i="23"/>
  <c r="BF67" i="23"/>
  <c r="BE67" i="23"/>
  <c r="BD67" i="23"/>
  <c r="BC67" i="23"/>
  <c r="BB67" i="23"/>
  <c r="BA67" i="23"/>
  <c r="AZ67" i="23"/>
  <c r="AY67" i="23"/>
  <c r="AX67" i="23"/>
  <c r="AW67" i="23"/>
  <c r="AV67" i="23"/>
  <c r="AU67" i="23"/>
  <c r="AT67" i="23"/>
  <c r="AS67" i="23"/>
  <c r="AR67" i="23"/>
  <c r="AQ67" i="23"/>
  <c r="AP67" i="23"/>
  <c r="AO67" i="23"/>
  <c r="AN67" i="23"/>
  <c r="AM67" i="23"/>
  <c r="AL67" i="23"/>
  <c r="AK67" i="23"/>
  <c r="AJ67" i="23"/>
  <c r="AI67" i="23"/>
  <c r="AH67" i="23"/>
  <c r="AG67" i="23"/>
  <c r="AF67" i="23"/>
  <c r="AE67" i="23"/>
  <c r="AD67" i="23"/>
  <c r="AC67" i="23"/>
  <c r="AB67" i="23"/>
  <c r="AA67" i="23"/>
  <c r="Z67" i="23"/>
  <c r="Y67" i="23"/>
  <c r="X67" i="23"/>
  <c r="W67" i="23"/>
  <c r="V67" i="23"/>
  <c r="U67" i="23"/>
  <c r="T67" i="23"/>
  <c r="S67" i="23"/>
  <c r="R67" i="23"/>
  <c r="Q67" i="23"/>
  <c r="P67" i="23"/>
  <c r="O67" i="23"/>
  <c r="N67" i="23"/>
  <c r="M67" i="23"/>
  <c r="L67" i="23"/>
  <c r="K67" i="23"/>
  <c r="J67" i="23"/>
  <c r="I67" i="23"/>
  <c r="H67" i="23"/>
  <c r="G67" i="23"/>
  <c r="F67" i="23"/>
  <c r="E67" i="23"/>
  <c r="D67" i="23"/>
  <c r="A67" i="23"/>
  <c r="BO66" i="23"/>
  <c r="BN66" i="23"/>
  <c r="BM66" i="23"/>
  <c r="BL66" i="23"/>
  <c r="BK66" i="23"/>
  <c r="BJ66" i="23"/>
  <c r="BI66" i="23"/>
  <c r="BH66" i="23"/>
  <c r="BG66" i="23"/>
  <c r="BF66" i="23"/>
  <c r="BE66" i="23"/>
  <c r="BD66" i="23"/>
  <c r="BB66" i="23"/>
  <c r="BA66" i="23"/>
  <c r="AZ66" i="23"/>
  <c r="AY66" i="23"/>
  <c r="AX66" i="23"/>
  <c r="AV66" i="23"/>
  <c r="AU66" i="23"/>
  <c r="AT66" i="23"/>
  <c r="AS66" i="23"/>
  <c r="AR66" i="23"/>
  <c r="AQ66" i="23"/>
  <c r="AP66" i="23"/>
  <c r="AO66" i="23"/>
  <c r="AM66" i="23"/>
  <c r="AL66" i="23"/>
  <c r="AK66" i="23"/>
  <c r="AJ66" i="23"/>
  <c r="AI66" i="23"/>
  <c r="AG66" i="23"/>
  <c r="AD66" i="23"/>
  <c r="Z66" i="23"/>
  <c r="Y66" i="23"/>
  <c r="W66" i="23"/>
  <c r="V66" i="23"/>
  <c r="U66" i="23"/>
  <c r="S66" i="23"/>
  <c r="R66" i="23"/>
  <c r="Q66" i="23"/>
  <c r="P66" i="23"/>
  <c r="O66" i="23"/>
  <c r="N66" i="23"/>
  <c r="M66" i="23"/>
  <c r="L66" i="23"/>
  <c r="J66" i="23"/>
  <c r="I66" i="23"/>
  <c r="H66" i="23"/>
  <c r="G66" i="23"/>
  <c r="F66" i="23"/>
  <c r="E66" i="23"/>
  <c r="A66" i="23"/>
  <c r="BO65" i="23"/>
  <c r="BN65" i="23"/>
  <c r="BM65" i="23"/>
  <c r="BL65" i="23"/>
  <c r="BK65" i="23"/>
  <c r="BJ65" i="23"/>
  <c r="BI65" i="23"/>
  <c r="BH65" i="23"/>
  <c r="BG65" i="23"/>
  <c r="BF65" i="23"/>
  <c r="BE65" i="23"/>
  <c r="BD65" i="23"/>
  <c r="BC65" i="23"/>
  <c r="BB65" i="23"/>
  <c r="BA65" i="23"/>
  <c r="AZ65" i="23"/>
  <c r="AY65" i="23"/>
  <c r="AX65" i="23"/>
  <c r="AW65" i="23"/>
  <c r="AV65" i="23"/>
  <c r="AU65" i="23"/>
  <c r="AT65" i="23"/>
  <c r="AS65" i="23"/>
  <c r="AR65" i="23"/>
  <c r="AQ65" i="23"/>
  <c r="AP65" i="23"/>
  <c r="AO65" i="23"/>
  <c r="AN65" i="23"/>
  <c r="AM65" i="23"/>
  <c r="AL65" i="23"/>
  <c r="AK65" i="23"/>
  <c r="AJ65" i="23"/>
  <c r="AI65" i="23"/>
  <c r="AH65" i="23"/>
  <c r="AG65" i="23"/>
  <c r="AF65" i="23"/>
  <c r="AE65" i="23"/>
  <c r="AD65" i="23"/>
  <c r="AC65" i="23"/>
  <c r="AB65" i="23"/>
  <c r="AA65" i="23"/>
  <c r="Z65" i="23"/>
  <c r="Y65" i="23"/>
  <c r="X65" i="23"/>
  <c r="W65" i="23"/>
  <c r="V65" i="23"/>
  <c r="U65" i="23"/>
  <c r="T65" i="23"/>
  <c r="S65" i="23"/>
  <c r="R65" i="23"/>
  <c r="Q65" i="23"/>
  <c r="P65" i="23"/>
  <c r="O65" i="23"/>
  <c r="N65" i="23"/>
  <c r="M65" i="23"/>
  <c r="L65" i="23"/>
  <c r="K65" i="23"/>
  <c r="J65" i="23"/>
  <c r="I65" i="23"/>
  <c r="H65" i="23"/>
  <c r="G65" i="23"/>
  <c r="F65" i="23"/>
  <c r="E65" i="23"/>
  <c r="D65" i="23"/>
  <c r="A65" i="23"/>
  <c r="BO64" i="23"/>
  <c r="BN64" i="23"/>
  <c r="BM64" i="23"/>
  <c r="BL64" i="23"/>
  <c r="BK64" i="23"/>
  <c r="BJ64" i="23"/>
  <c r="BI64" i="23"/>
  <c r="BH64" i="23"/>
  <c r="BG64" i="23"/>
  <c r="BF64" i="23"/>
  <c r="BE64" i="23"/>
  <c r="BD64" i="23"/>
  <c r="BB64" i="23"/>
  <c r="BA64" i="23"/>
  <c r="AZ64" i="23"/>
  <c r="AY64" i="23"/>
  <c r="AX64" i="23"/>
  <c r="AV64" i="23"/>
  <c r="AU64" i="23"/>
  <c r="AT64" i="23"/>
  <c r="AS64" i="23"/>
  <c r="AR64" i="23"/>
  <c r="AQ64" i="23"/>
  <c r="AP64" i="23"/>
  <c r="AO64" i="23"/>
  <c r="AM64" i="23"/>
  <c r="AL64" i="23"/>
  <c r="AK64" i="23"/>
  <c r="AJ64" i="23"/>
  <c r="AI64" i="23"/>
  <c r="AG64" i="23"/>
  <c r="AD64" i="23"/>
  <c r="Z64" i="23"/>
  <c r="Y64" i="23"/>
  <c r="W64" i="23"/>
  <c r="V64" i="23"/>
  <c r="U64" i="23"/>
  <c r="S64" i="23"/>
  <c r="R64" i="23"/>
  <c r="Q64" i="23"/>
  <c r="P64" i="23"/>
  <c r="O64" i="23"/>
  <c r="N64" i="23"/>
  <c r="M64" i="23"/>
  <c r="L64" i="23"/>
  <c r="J64" i="23"/>
  <c r="I64" i="23"/>
  <c r="H64" i="23"/>
  <c r="G64" i="23"/>
  <c r="F64" i="23"/>
  <c r="E64" i="23"/>
  <c r="A64" i="23"/>
  <c r="BO63" i="23"/>
  <c r="BN63" i="23"/>
  <c r="BM63" i="23"/>
  <c r="BL63" i="23"/>
  <c r="BK63" i="23"/>
  <c r="BJ63" i="23"/>
  <c r="BI63" i="23"/>
  <c r="BH63" i="23"/>
  <c r="BG63" i="23"/>
  <c r="BF63" i="23"/>
  <c r="BE63" i="23"/>
  <c r="BD63" i="23"/>
  <c r="BC63" i="23"/>
  <c r="BB63" i="23"/>
  <c r="BA63" i="23"/>
  <c r="AZ63" i="23"/>
  <c r="AY63" i="23"/>
  <c r="AX63" i="23"/>
  <c r="AW63" i="23"/>
  <c r="AV63" i="23"/>
  <c r="AU63" i="23"/>
  <c r="AT63" i="23"/>
  <c r="AS63" i="23"/>
  <c r="AR63" i="23"/>
  <c r="AQ63" i="23"/>
  <c r="AP63" i="23"/>
  <c r="AO63" i="23"/>
  <c r="AN63" i="23"/>
  <c r="AM63" i="23"/>
  <c r="AL63" i="23"/>
  <c r="AK63" i="23"/>
  <c r="AJ63" i="23"/>
  <c r="AI63" i="23"/>
  <c r="AH63" i="23"/>
  <c r="AG63" i="23"/>
  <c r="AF63" i="23"/>
  <c r="AE63" i="23"/>
  <c r="AD63" i="23"/>
  <c r="AC63" i="23"/>
  <c r="AB63" i="23"/>
  <c r="AA63" i="23"/>
  <c r="Z63" i="23"/>
  <c r="Y63" i="23"/>
  <c r="X63" i="23"/>
  <c r="W63" i="23"/>
  <c r="V63" i="23"/>
  <c r="U63" i="23"/>
  <c r="T63" i="23"/>
  <c r="S63" i="23"/>
  <c r="R63" i="23"/>
  <c r="Q63" i="23"/>
  <c r="P63" i="23"/>
  <c r="O63" i="23"/>
  <c r="N63" i="23"/>
  <c r="M63" i="23"/>
  <c r="L63" i="23"/>
  <c r="K63" i="23"/>
  <c r="J63" i="23"/>
  <c r="I63" i="23"/>
  <c r="H63" i="23"/>
  <c r="G63" i="23"/>
  <c r="F63" i="23"/>
  <c r="E63" i="23"/>
  <c r="D63" i="23"/>
  <c r="BO62" i="23"/>
  <c r="BN62" i="23"/>
  <c r="BM62" i="23"/>
  <c r="BL62" i="23"/>
  <c r="BK62" i="23"/>
  <c r="BJ62" i="23"/>
  <c r="BI62" i="23"/>
  <c r="BH62" i="23"/>
  <c r="BG62" i="23"/>
  <c r="BF62" i="23"/>
  <c r="BE62" i="23"/>
  <c r="BD62" i="23"/>
  <c r="BB62" i="23"/>
  <c r="BA62" i="23"/>
  <c r="AZ62" i="23"/>
  <c r="AY62" i="23"/>
  <c r="AX62" i="23"/>
  <c r="AV62" i="23"/>
  <c r="AU62" i="23"/>
  <c r="AT62" i="23"/>
  <c r="AS62" i="23"/>
  <c r="AR62" i="23"/>
  <c r="AQ62" i="23"/>
  <c r="AP62" i="23"/>
  <c r="AO62" i="23"/>
  <c r="AM62" i="23"/>
  <c r="AL62" i="23"/>
  <c r="AK62" i="23"/>
  <c r="AJ62" i="23"/>
  <c r="AI62" i="23"/>
  <c r="AG62" i="23"/>
  <c r="AD62" i="23"/>
  <c r="Z62" i="23"/>
  <c r="Y62" i="23"/>
  <c r="W62" i="23"/>
  <c r="V62" i="23"/>
  <c r="U62" i="23"/>
  <c r="S62" i="23"/>
  <c r="R62" i="23"/>
  <c r="Q62" i="23"/>
  <c r="P62" i="23"/>
  <c r="O62" i="23"/>
  <c r="N62" i="23"/>
  <c r="M62" i="23"/>
  <c r="L62" i="23"/>
  <c r="J62" i="23"/>
  <c r="I62" i="23"/>
  <c r="H62" i="23"/>
  <c r="G62" i="23"/>
  <c r="F62" i="23"/>
  <c r="E62" i="23"/>
  <c r="BO61" i="23"/>
  <c r="BN61" i="23"/>
  <c r="BM61" i="23"/>
  <c r="BL61" i="23"/>
  <c r="BK61" i="23"/>
  <c r="BJ61" i="23"/>
  <c r="BI61" i="23"/>
  <c r="BH61" i="23"/>
  <c r="BG61" i="23"/>
  <c r="BF61" i="23"/>
  <c r="BE61" i="23"/>
  <c r="BD61" i="23"/>
  <c r="BB61" i="23"/>
  <c r="BA61" i="23"/>
  <c r="AZ61" i="23"/>
  <c r="AY61" i="23"/>
  <c r="AX61" i="23"/>
  <c r="AV61" i="23"/>
  <c r="AU61" i="23"/>
  <c r="AT61" i="23"/>
  <c r="AS61" i="23"/>
  <c r="AR61" i="23"/>
  <c r="AQ61" i="23"/>
  <c r="AP61" i="23"/>
  <c r="AO61" i="23"/>
  <c r="AM61" i="23"/>
  <c r="AL61" i="23"/>
  <c r="AK61" i="23"/>
  <c r="AJ61" i="23"/>
  <c r="AI61" i="23"/>
  <c r="AG61" i="23"/>
  <c r="AD61" i="23"/>
  <c r="Z61" i="23"/>
  <c r="Y61" i="23"/>
  <c r="W61" i="23"/>
  <c r="V61" i="23"/>
  <c r="U61" i="23"/>
  <c r="S61" i="23"/>
  <c r="R61" i="23"/>
  <c r="Q61" i="23"/>
  <c r="P61" i="23"/>
  <c r="O61" i="23"/>
  <c r="N61" i="23"/>
  <c r="M61" i="23"/>
  <c r="L61" i="23"/>
  <c r="J61" i="23"/>
  <c r="I61" i="23"/>
  <c r="H61" i="23"/>
  <c r="G61" i="23"/>
  <c r="F61" i="23"/>
  <c r="E61" i="23"/>
  <c r="BO59" i="23"/>
  <c r="BN59" i="23"/>
  <c r="BM59" i="23"/>
  <c r="BL59" i="23"/>
  <c r="BK59" i="23"/>
  <c r="BJ59" i="23"/>
  <c r="BI59" i="23"/>
  <c r="BH59" i="23"/>
  <c r="BG59" i="23"/>
  <c r="BF59" i="23"/>
  <c r="BE59" i="23"/>
  <c r="BD59" i="23"/>
  <c r="BB59" i="23"/>
  <c r="BA59" i="23"/>
  <c r="AZ59" i="23"/>
  <c r="AY59" i="23"/>
  <c r="AX59" i="23"/>
  <c r="AV59" i="23"/>
  <c r="AU59" i="23"/>
  <c r="AT59" i="23"/>
  <c r="AS59" i="23"/>
  <c r="AR59" i="23"/>
  <c r="AQ59" i="23"/>
  <c r="AP59" i="23"/>
  <c r="AO59" i="23"/>
  <c r="AM59" i="23"/>
  <c r="AL59" i="23"/>
  <c r="AK59" i="23"/>
  <c r="AJ59" i="23"/>
  <c r="AI59" i="23"/>
  <c r="AG59" i="23"/>
  <c r="AD59" i="23"/>
  <c r="Z59" i="23"/>
  <c r="Y59" i="23"/>
  <c r="W59" i="23"/>
  <c r="V59" i="23"/>
  <c r="U59" i="23"/>
  <c r="S59" i="23"/>
  <c r="R59" i="23"/>
  <c r="Q59" i="23"/>
  <c r="P59" i="23"/>
  <c r="O59" i="23"/>
  <c r="N59" i="23"/>
  <c r="M59" i="23"/>
  <c r="L59" i="23"/>
  <c r="J59" i="23"/>
  <c r="I59" i="23"/>
  <c r="H59" i="23"/>
  <c r="G59" i="23"/>
  <c r="F59" i="23"/>
  <c r="E59" i="23"/>
  <c r="A59" i="23"/>
  <c r="BO58" i="23"/>
  <c r="BN58" i="23"/>
  <c r="BM58" i="23"/>
  <c r="BL58" i="23"/>
  <c r="BK58" i="23"/>
  <c r="BJ58" i="23"/>
  <c r="BI58" i="23"/>
  <c r="BH58" i="23"/>
  <c r="BG58" i="23"/>
  <c r="BF58" i="23"/>
  <c r="BE58" i="23"/>
  <c r="BD58" i="23"/>
  <c r="BB58" i="23"/>
  <c r="BA58" i="23"/>
  <c r="AZ58" i="23"/>
  <c r="AY58" i="23"/>
  <c r="AX58" i="23"/>
  <c r="AV58" i="23"/>
  <c r="AU58" i="23"/>
  <c r="AT58" i="23"/>
  <c r="AS58" i="23"/>
  <c r="AR58" i="23"/>
  <c r="AQ58" i="23"/>
  <c r="AP58" i="23"/>
  <c r="AO58" i="23"/>
  <c r="AM58" i="23"/>
  <c r="AL58" i="23"/>
  <c r="AK58" i="23"/>
  <c r="AJ58" i="23"/>
  <c r="AI58" i="23"/>
  <c r="AG58" i="23"/>
  <c r="AD58" i="23"/>
  <c r="Z58" i="23"/>
  <c r="Y58" i="23"/>
  <c r="W58" i="23"/>
  <c r="V58" i="23"/>
  <c r="U58" i="23"/>
  <c r="S58" i="23"/>
  <c r="R58" i="23"/>
  <c r="Q58" i="23"/>
  <c r="P58" i="23"/>
  <c r="O58" i="23"/>
  <c r="N58" i="23"/>
  <c r="M58" i="23"/>
  <c r="L58" i="23"/>
  <c r="J58" i="23"/>
  <c r="I58" i="23"/>
  <c r="H58" i="23"/>
  <c r="G58" i="23"/>
  <c r="F58" i="23"/>
  <c r="E58" i="23"/>
  <c r="BO57" i="23"/>
  <c r="BN57" i="23"/>
  <c r="BM57" i="23"/>
  <c r="BL57" i="23"/>
  <c r="BK57" i="23"/>
  <c r="BJ57" i="23"/>
  <c r="BI57" i="23"/>
  <c r="BH57" i="23"/>
  <c r="BG57" i="23"/>
  <c r="BF57" i="23"/>
  <c r="BE57" i="23"/>
  <c r="BD57" i="23"/>
  <c r="BB57" i="23"/>
  <c r="BA57" i="23"/>
  <c r="AZ57" i="23"/>
  <c r="AY57" i="23"/>
  <c r="AX57" i="23"/>
  <c r="AV57" i="23"/>
  <c r="AU57" i="23"/>
  <c r="AT57" i="23"/>
  <c r="AS57" i="23"/>
  <c r="AR57" i="23"/>
  <c r="AQ57" i="23"/>
  <c r="AP57" i="23"/>
  <c r="AO57" i="23"/>
  <c r="AM57" i="23"/>
  <c r="AL57" i="23"/>
  <c r="AK57" i="23"/>
  <c r="AJ57" i="23"/>
  <c r="AI57" i="23"/>
  <c r="AG57" i="23"/>
  <c r="AD57" i="23"/>
  <c r="Z57" i="23"/>
  <c r="Y57" i="23"/>
  <c r="W57" i="23"/>
  <c r="V57" i="23"/>
  <c r="U57" i="23"/>
  <c r="S57" i="23"/>
  <c r="R57" i="23"/>
  <c r="Q57" i="23"/>
  <c r="P57" i="23"/>
  <c r="O57" i="23"/>
  <c r="N57" i="23"/>
  <c r="M57" i="23"/>
  <c r="L57" i="23"/>
  <c r="J57" i="23"/>
  <c r="I57" i="23"/>
  <c r="H57" i="23"/>
  <c r="G57" i="23"/>
  <c r="F57" i="23"/>
  <c r="E57" i="23"/>
  <c r="BO56" i="23"/>
  <c r="BN56" i="23"/>
  <c r="BM56" i="23"/>
  <c r="BL56" i="23"/>
  <c r="BK56" i="23"/>
  <c r="BJ56" i="23"/>
  <c r="BI56" i="23"/>
  <c r="BH56" i="23"/>
  <c r="BG56" i="23"/>
  <c r="BF56" i="23"/>
  <c r="BE56" i="23"/>
  <c r="BD56" i="23"/>
  <c r="BB56" i="23"/>
  <c r="BA56" i="23"/>
  <c r="AZ56" i="23"/>
  <c r="AY56" i="23"/>
  <c r="AX56" i="23"/>
  <c r="AV56" i="23"/>
  <c r="AU56" i="23"/>
  <c r="AT56" i="23"/>
  <c r="AS56" i="23"/>
  <c r="AR56" i="23"/>
  <c r="AQ56" i="23"/>
  <c r="AP56" i="23"/>
  <c r="AO56" i="23"/>
  <c r="AM56" i="23"/>
  <c r="AL56" i="23"/>
  <c r="AK56" i="23"/>
  <c r="AJ56" i="23"/>
  <c r="AI56" i="23"/>
  <c r="AG56" i="23"/>
  <c r="AD56" i="23"/>
  <c r="Z56" i="23"/>
  <c r="Y56" i="23"/>
  <c r="W56" i="23"/>
  <c r="V56" i="23"/>
  <c r="U56" i="23"/>
  <c r="S56" i="23"/>
  <c r="R56" i="23"/>
  <c r="Q56" i="23"/>
  <c r="P56" i="23"/>
  <c r="O56" i="23"/>
  <c r="N56" i="23"/>
  <c r="M56" i="23"/>
  <c r="L56" i="23"/>
  <c r="J56" i="23"/>
  <c r="I56" i="23"/>
  <c r="H56" i="23"/>
  <c r="G56" i="23"/>
  <c r="F56" i="23"/>
  <c r="E56" i="23"/>
  <c r="BO55" i="23"/>
  <c r="BN55" i="23"/>
  <c r="BM55" i="23"/>
  <c r="BL55" i="23"/>
  <c r="BK55" i="23"/>
  <c r="BJ55" i="23"/>
  <c r="BI55" i="23"/>
  <c r="BH55" i="23"/>
  <c r="BG55" i="23"/>
  <c r="BF55" i="23"/>
  <c r="BE55" i="23"/>
  <c r="BD55" i="23"/>
  <c r="BB55" i="23"/>
  <c r="BA55" i="23"/>
  <c r="AZ55" i="23"/>
  <c r="AY55" i="23"/>
  <c r="AX55" i="23"/>
  <c r="AV55" i="23"/>
  <c r="AU55" i="23"/>
  <c r="AT55" i="23"/>
  <c r="AS55" i="23"/>
  <c r="AR55" i="23"/>
  <c r="AQ55" i="23"/>
  <c r="AP55" i="23"/>
  <c r="AO55" i="23"/>
  <c r="AM55" i="23"/>
  <c r="AL55" i="23"/>
  <c r="AK55" i="23"/>
  <c r="AJ55" i="23"/>
  <c r="AI55" i="23"/>
  <c r="AG55" i="23"/>
  <c r="AD55" i="23"/>
  <c r="Z55" i="23"/>
  <c r="Y55" i="23"/>
  <c r="W55" i="23"/>
  <c r="V55" i="23"/>
  <c r="U55" i="23"/>
  <c r="S55" i="23"/>
  <c r="R55" i="23"/>
  <c r="Q55" i="23"/>
  <c r="P55" i="23"/>
  <c r="O55" i="23"/>
  <c r="N55" i="23"/>
  <c r="M55" i="23"/>
  <c r="L55" i="23"/>
  <c r="J55" i="23"/>
  <c r="I55" i="23"/>
  <c r="H55" i="23"/>
  <c r="G55" i="23"/>
  <c r="F55" i="23"/>
  <c r="E55" i="23"/>
  <c r="A55" i="23"/>
  <c r="BO53" i="23"/>
  <c r="BN53" i="23"/>
  <c r="BM53" i="23"/>
  <c r="BL53" i="23"/>
  <c r="BK53" i="23"/>
  <c r="BJ53" i="23"/>
  <c r="BI53" i="23"/>
  <c r="BH53" i="23"/>
  <c r="BG53" i="23"/>
  <c r="BF53" i="23"/>
  <c r="BE53" i="23"/>
  <c r="BD53" i="23"/>
  <c r="BB53" i="23"/>
  <c r="BA53" i="23"/>
  <c r="AZ53" i="23"/>
  <c r="AY53" i="23"/>
  <c r="AX53" i="23"/>
  <c r="AV53" i="23"/>
  <c r="AU53" i="23"/>
  <c r="AT53" i="23"/>
  <c r="AS53" i="23"/>
  <c r="AR53" i="23"/>
  <c r="AQ53" i="23"/>
  <c r="AP53" i="23"/>
  <c r="AO53" i="23"/>
  <c r="AM53" i="23"/>
  <c r="AL53" i="23"/>
  <c r="AK53" i="23"/>
  <c r="AJ53" i="23"/>
  <c r="AI53" i="23"/>
  <c r="AG53" i="23"/>
  <c r="AD53" i="23"/>
  <c r="Z53" i="23"/>
  <c r="Y53" i="23"/>
  <c r="W53" i="23"/>
  <c r="V53" i="23"/>
  <c r="U53" i="23"/>
  <c r="S53" i="23"/>
  <c r="R53" i="23"/>
  <c r="Q53" i="23"/>
  <c r="P53" i="23"/>
  <c r="O53" i="23"/>
  <c r="N53" i="23"/>
  <c r="M53" i="23"/>
  <c r="L53" i="23"/>
  <c r="J53" i="23"/>
  <c r="I53" i="23"/>
  <c r="H53" i="23"/>
  <c r="G53" i="23"/>
  <c r="F53" i="23"/>
  <c r="E53" i="23"/>
  <c r="A53" i="23"/>
  <c r="BO52" i="23"/>
  <c r="BN52" i="23"/>
  <c r="BM52" i="23"/>
  <c r="BL52" i="23"/>
  <c r="BK52" i="23"/>
  <c r="BJ52" i="23"/>
  <c r="BI52" i="23"/>
  <c r="BH52" i="23"/>
  <c r="BG52" i="23"/>
  <c r="BF52" i="23"/>
  <c r="BE52" i="23"/>
  <c r="BD52" i="23"/>
  <c r="BB52" i="23"/>
  <c r="BA52" i="23"/>
  <c r="AZ52" i="23"/>
  <c r="AY52" i="23"/>
  <c r="AX52" i="23"/>
  <c r="AV52" i="23"/>
  <c r="AU52" i="23"/>
  <c r="AT52" i="23"/>
  <c r="AS52" i="23"/>
  <c r="AR52" i="23"/>
  <c r="AQ52" i="23"/>
  <c r="AP52" i="23"/>
  <c r="AO52" i="23"/>
  <c r="AM52" i="23"/>
  <c r="AL52" i="23"/>
  <c r="AK52" i="23"/>
  <c r="AJ52" i="23"/>
  <c r="AI52" i="23"/>
  <c r="AG52" i="23"/>
  <c r="AD52" i="23"/>
  <c r="Z52" i="23"/>
  <c r="Y52" i="23"/>
  <c r="W52" i="23"/>
  <c r="V52" i="23"/>
  <c r="U52" i="23"/>
  <c r="S52" i="23"/>
  <c r="R52" i="23"/>
  <c r="Q52" i="23"/>
  <c r="P52" i="23"/>
  <c r="O52" i="23"/>
  <c r="N52" i="23"/>
  <c r="M52" i="23"/>
  <c r="L52" i="23"/>
  <c r="J52" i="23"/>
  <c r="I52" i="23"/>
  <c r="H52" i="23"/>
  <c r="G52" i="23"/>
  <c r="F52" i="23"/>
  <c r="E52" i="23"/>
  <c r="BO51" i="23"/>
  <c r="BN51" i="23"/>
  <c r="BM51" i="23"/>
  <c r="BL51" i="23"/>
  <c r="BK51" i="23"/>
  <c r="BJ51" i="23"/>
  <c r="BI51" i="23"/>
  <c r="BH51" i="23"/>
  <c r="BG51" i="23"/>
  <c r="BF51" i="23"/>
  <c r="BE51" i="23"/>
  <c r="BD51" i="23"/>
  <c r="BB51" i="23"/>
  <c r="BA51" i="23"/>
  <c r="AZ51" i="23"/>
  <c r="AY51" i="23"/>
  <c r="AX51" i="23"/>
  <c r="AV51" i="23"/>
  <c r="AU51" i="23"/>
  <c r="AT51" i="23"/>
  <c r="AS51" i="23"/>
  <c r="AR51" i="23"/>
  <c r="AQ51" i="23"/>
  <c r="AP51" i="23"/>
  <c r="AO51" i="23"/>
  <c r="AM51" i="23"/>
  <c r="AL51" i="23"/>
  <c r="AK51" i="23"/>
  <c r="AJ51" i="23"/>
  <c r="AI51" i="23"/>
  <c r="AG51" i="23"/>
  <c r="AD51" i="23"/>
  <c r="Z51" i="23"/>
  <c r="Y51" i="23"/>
  <c r="W51" i="23"/>
  <c r="V51" i="23"/>
  <c r="U51" i="23"/>
  <c r="S51" i="23"/>
  <c r="R51" i="23"/>
  <c r="Q51" i="23"/>
  <c r="P51" i="23"/>
  <c r="O51" i="23"/>
  <c r="N51" i="23"/>
  <c r="M51" i="23"/>
  <c r="L51" i="23"/>
  <c r="J51" i="23"/>
  <c r="I51" i="23"/>
  <c r="H51" i="23"/>
  <c r="G51" i="23"/>
  <c r="F51" i="23"/>
  <c r="E51" i="23"/>
  <c r="BO50" i="23"/>
  <c r="BN50" i="23"/>
  <c r="BM50" i="23"/>
  <c r="BL50" i="23"/>
  <c r="BK50" i="23"/>
  <c r="BJ50" i="23"/>
  <c r="BI50" i="23"/>
  <c r="BH50" i="23"/>
  <c r="BG50" i="23"/>
  <c r="BF50" i="23"/>
  <c r="BE50" i="23"/>
  <c r="BD50" i="23"/>
  <c r="BB50" i="23"/>
  <c r="BA50" i="23"/>
  <c r="AZ50" i="23"/>
  <c r="AY50" i="23"/>
  <c r="AX50" i="23"/>
  <c r="AV50" i="23"/>
  <c r="AU50" i="23"/>
  <c r="AT50" i="23"/>
  <c r="AS50" i="23"/>
  <c r="AR50" i="23"/>
  <c r="AQ50" i="23"/>
  <c r="AP50" i="23"/>
  <c r="AO50" i="23"/>
  <c r="AM50" i="23"/>
  <c r="AL50" i="23"/>
  <c r="AK50" i="23"/>
  <c r="AJ50" i="23"/>
  <c r="AI50" i="23"/>
  <c r="AG50" i="23"/>
  <c r="AD50" i="23"/>
  <c r="Z50" i="23"/>
  <c r="Y50" i="23"/>
  <c r="W50" i="23"/>
  <c r="V50" i="23"/>
  <c r="U50" i="23"/>
  <c r="S50" i="23"/>
  <c r="R50" i="23"/>
  <c r="Q50" i="23"/>
  <c r="P50" i="23"/>
  <c r="O50" i="23"/>
  <c r="N50" i="23"/>
  <c r="M50" i="23"/>
  <c r="L50" i="23"/>
  <c r="J50" i="23"/>
  <c r="I50" i="23"/>
  <c r="H50" i="23"/>
  <c r="G50" i="23"/>
  <c r="F50" i="23"/>
  <c r="E50" i="23"/>
  <c r="A50" i="23"/>
  <c r="BO49" i="23"/>
  <c r="BN49" i="23"/>
  <c r="BM49" i="23"/>
  <c r="BL49" i="23"/>
  <c r="BK49" i="23"/>
  <c r="BJ49" i="23"/>
  <c r="BI49" i="23"/>
  <c r="BH49" i="23"/>
  <c r="BG49" i="23"/>
  <c r="BF49" i="23"/>
  <c r="BE49" i="23"/>
  <c r="BD49" i="23"/>
  <c r="BB49" i="23"/>
  <c r="BA49" i="23"/>
  <c r="AZ49" i="23"/>
  <c r="AY49" i="23"/>
  <c r="AX49" i="23"/>
  <c r="AV49" i="23"/>
  <c r="AU49" i="23"/>
  <c r="AT49" i="23"/>
  <c r="AS49" i="23"/>
  <c r="AR49" i="23"/>
  <c r="AQ49" i="23"/>
  <c r="AP49" i="23"/>
  <c r="AO49" i="23"/>
  <c r="AM49" i="23"/>
  <c r="AL49" i="23"/>
  <c r="AK49" i="23"/>
  <c r="AJ49" i="23"/>
  <c r="AI49" i="23"/>
  <c r="AG49" i="23"/>
  <c r="AD49" i="23"/>
  <c r="Z49" i="23"/>
  <c r="Y49" i="23"/>
  <c r="W49" i="23"/>
  <c r="V49" i="23"/>
  <c r="U49" i="23"/>
  <c r="S49" i="23"/>
  <c r="R49" i="23"/>
  <c r="Q49" i="23"/>
  <c r="P49" i="23"/>
  <c r="O49" i="23"/>
  <c r="N49" i="23"/>
  <c r="M49" i="23"/>
  <c r="L49" i="23"/>
  <c r="J49" i="23"/>
  <c r="I49" i="23"/>
  <c r="H49" i="23"/>
  <c r="G49" i="23"/>
  <c r="F49" i="23"/>
  <c r="E49" i="23"/>
  <c r="A49" i="23"/>
  <c r="BO48" i="23"/>
  <c r="BN48" i="23"/>
  <c r="BM48" i="23"/>
  <c r="BL48" i="23"/>
  <c r="BK48" i="23"/>
  <c r="BJ48" i="23"/>
  <c r="BI48" i="23"/>
  <c r="BH48" i="23"/>
  <c r="BG48" i="23"/>
  <c r="BF48" i="23"/>
  <c r="BE48" i="23"/>
  <c r="BD48" i="23"/>
  <c r="BB48" i="23"/>
  <c r="BA48" i="23"/>
  <c r="AZ48" i="23"/>
  <c r="AY48" i="23"/>
  <c r="AX48" i="23"/>
  <c r="AV48" i="23"/>
  <c r="AU48" i="23"/>
  <c r="AT48" i="23"/>
  <c r="AS48" i="23"/>
  <c r="AR48" i="23"/>
  <c r="AQ48" i="23"/>
  <c r="AP48" i="23"/>
  <c r="AO48" i="23"/>
  <c r="AM48" i="23"/>
  <c r="AL48" i="23"/>
  <c r="AK48" i="23"/>
  <c r="AJ48" i="23"/>
  <c r="AI48" i="23"/>
  <c r="AG48" i="23"/>
  <c r="AD48" i="23"/>
  <c r="Z48" i="23"/>
  <c r="Y48" i="23"/>
  <c r="W48" i="23"/>
  <c r="V48" i="23"/>
  <c r="U48" i="23"/>
  <c r="S48" i="23"/>
  <c r="R48" i="23"/>
  <c r="Q48" i="23"/>
  <c r="P48" i="23"/>
  <c r="O48" i="23"/>
  <c r="N48" i="23"/>
  <c r="M48" i="23"/>
  <c r="L48" i="23"/>
  <c r="J48" i="23"/>
  <c r="I48" i="23"/>
  <c r="H48" i="23"/>
  <c r="G48" i="23"/>
  <c r="F48" i="23"/>
  <c r="E48" i="23"/>
  <c r="A48" i="23"/>
  <c r="BO47" i="23"/>
  <c r="BN47" i="23"/>
  <c r="BM47" i="23"/>
  <c r="BL47" i="23"/>
  <c r="BK47" i="23"/>
  <c r="BJ47" i="23"/>
  <c r="BI47" i="23"/>
  <c r="BH47" i="23"/>
  <c r="BG47" i="23"/>
  <c r="BF47" i="23"/>
  <c r="BE47" i="23"/>
  <c r="BD47" i="23"/>
  <c r="BB47" i="23"/>
  <c r="BA47" i="23"/>
  <c r="AZ47" i="23"/>
  <c r="AY47" i="23"/>
  <c r="AX47" i="23"/>
  <c r="AV47" i="23"/>
  <c r="AU47" i="23"/>
  <c r="AT47" i="23"/>
  <c r="AS47" i="23"/>
  <c r="AR47" i="23"/>
  <c r="AQ47" i="23"/>
  <c r="AP47" i="23"/>
  <c r="AO47" i="23"/>
  <c r="AM47" i="23"/>
  <c r="AL47" i="23"/>
  <c r="AK47" i="23"/>
  <c r="AJ47" i="23"/>
  <c r="AI47" i="23"/>
  <c r="AG47" i="23"/>
  <c r="AD47" i="23"/>
  <c r="Z47" i="23"/>
  <c r="Y47" i="23"/>
  <c r="W47" i="23"/>
  <c r="V47" i="23"/>
  <c r="U47" i="23"/>
  <c r="S47" i="23"/>
  <c r="R47" i="23"/>
  <c r="Q47" i="23"/>
  <c r="P47" i="23"/>
  <c r="O47" i="23"/>
  <c r="N47" i="23"/>
  <c r="M47" i="23"/>
  <c r="L47" i="23"/>
  <c r="J47" i="23"/>
  <c r="I47" i="23"/>
  <c r="H47" i="23"/>
  <c r="G47" i="23"/>
  <c r="F47" i="23"/>
  <c r="E47" i="23"/>
  <c r="A47" i="23"/>
  <c r="BO46" i="23"/>
  <c r="BN46" i="23"/>
  <c r="BM46" i="23"/>
  <c r="BL46" i="23"/>
  <c r="BK46" i="23"/>
  <c r="BJ46" i="23"/>
  <c r="BI46" i="23"/>
  <c r="BH46" i="23"/>
  <c r="BG46" i="23"/>
  <c r="BF46" i="23"/>
  <c r="BE46" i="23"/>
  <c r="BD46" i="23"/>
  <c r="BB46" i="23"/>
  <c r="BA46" i="23"/>
  <c r="AZ46" i="23"/>
  <c r="AY46" i="23"/>
  <c r="AX46" i="23"/>
  <c r="AV46" i="23"/>
  <c r="AU46" i="23"/>
  <c r="AT46" i="23"/>
  <c r="AS46" i="23"/>
  <c r="AR46" i="23"/>
  <c r="AQ46" i="23"/>
  <c r="AP46" i="23"/>
  <c r="AO46" i="23"/>
  <c r="AM46" i="23"/>
  <c r="AL46" i="23"/>
  <c r="AK46" i="23"/>
  <c r="AJ46" i="23"/>
  <c r="AI46" i="23"/>
  <c r="AG46" i="23"/>
  <c r="AD46" i="23"/>
  <c r="Z46" i="23"/>
  <c r="Y46" i="23"/>
  <c r="W46" i="23"/>
  <c r="V46" i="23"/>
  <c r="U46" i="23"/>
  <c r="S46" i="23"/>
  <c r="R46" i="23"/>
  <c r="Q46" i="23"/>
  <c r="P46" i="23"/>
  <c r="O46" i="23"/>
  <c r="N46" i="23"/>
  <c r="M46" i="23"/>
  <c r="L46" i="23"/>
  <c r="J46" i="23"/>
  <c r="I46" i="23"/>
  <c r="H46" i="23"/>
  <c r="G46" i="23"/>
  <c r="F46" i="23"/>
  <c r="E46" i="23"/>
  <c r="A46" i="23"/>
  <c r="BO45" i="23"/>
  <c r="BN45" i="23"/>
  <c r="BM45" i="23"/>
  <c r="BL45" i="23"/>
  <c r="BK45" i="23"/>
  <c r="BJ45" i="23"/>
  <c r="BI45" i="23"/>
  <c r="BH45" i="23"/>
  <c r="BG45" i="23"/>
  <c r="BF45" i="23"/>
  <c r="BE45" i="23"/>
  <c r="BD45" i="23"/>
  <c r="BB45" i="23"/>
  <c r="BA45" i="23"/>
  <c r="AZ45" i="23"/>
  <c r="AY45" i="23"/>
  <c r="AX45" i="23"/>
  <c r="AV45" i="23"/>
  <c r="AU45" i="23"/>
  <c r="AT45" i="23"/>
  <c r="AS45" i="23"/>
  <c r="AR45" i="23"/>
  <c r="AQ45" i="23"/>
  <c r="AP45" i="23"/>
  <c r="AO45" i="23"/>
  <c r="AM45" i="23"/>
  <c r="AL45" i="23"/>
  <c r="AK45" i="23"/>
  <c r="AJ45" i="23"/>
  <c r="AI45" i="23"/>
  <c r="AG45" i="23"/>
  <c r="AD45" i="23"/>
  <c r="Z45" i="23"/>
  <c r="Y45" i="23"/>
  <c r="W45" i="23"/>
  <c r="V45" i="23"/>
  <c r="U45" i="23"/>
  <c r="S45" i="23"/>
  <c r="R45" i="23"/>
  <c r="Q45" i="23"/>
  <c r="P45" i="23"/>
  <c r="O45" i="23"/>
  <c r="N45" i="23"/>
  <c r="M45" i="23"/>
  <c r="L45" i="23"/>
  <c r="J45" i="23"/>
  <c r="I45" i="23"/>
  <c r="H45" i="23"/>
  <c r="G45" i="23"/>
  <c r="F45" i="23"/>
  <c r="E45" i="23"/>
  <c r="A45" i="23"/>
  <c r="BO44" i="23"/>
  <c r="BN44" i="23"/>
  <c r="BM44" i="23"/>
  <c r="BL44" i="23"/>
  <c r="BK44" i="23"/>
  <c r="BJ44" i="23"/>
  <c r="BI44" i="23"/>
  <c r="BH44" i="23"/>
  <c r="BG44" i="23"/>
  <c r="BF44" i="23"/>
  <c r="BE44" i="23"/>
  <c r="BD44" i="23"/>
  <c r="BB44" i="23"/>
  <c r="BA44" i="23"/>
  <c r="AZ44" i="23"/>
  <c r="AY44" i="23"/>
  <c r="AX44" i="23"/>
  <c r="AV44" i="23"/>
  <c r="AU44" i="23"/>
  <c r="AT44" i="23"/>
  <c r="AS44" i="23"/>
  <c r="AR44" i="23"/>
  <c r="AQ44" i="23"/>
  <c r="AP44" i="23"/>
  <c r="AO44" i="23"/>
  <c r="AM44" i="23"/>
  <c r="AL44" i="23"/>
  <c r="AK44" i="23"/>
  <c r="AJ44" i="23"/>
  <c r="AI44" i="23"/>
  <c r="AG44" i="23"/>
  <c r="AD44" i="23"/>
  <c r="Z44" i="23"/>
  <c r="Y44" i="23"/>
  <c r="W44" i="23"/>
  <c r="V44" i="23"/>
  <c r="U44" i="23"/>
  <c r="S44" i="23"/>
  <c r="R44" i="23"/>
  <c r="Q44" i="23"/>
  <c r="P44" i="23"/>
  <c r="O44" i="23"/>
  <c r="N44" i="23"/>
  <c r="M44" i="23"/>
  <c r="L44" i="23"/>
  <c r="J44" i="23"/>
  <c r="I44" i="23"/>
  <c r="H44" i="23"/>
  <c r="G44" i="23"/>
  <c r="F44" i="23"/>
  <c r="E44" i="23"/>
  <c r="A44" i="23"/>
  <c r="BO43" i="23"/>
  <c r="BN43" i="23"/>
  <c r="BM43" i="23"/>
  <c r="BL43" i="23"/>
  <c r="BK43" i="23"/>
  <c r="BJ43" i="23"/>
  <c r="BI43" i="23"/>
  <c r="BH43" i="23"/>
  <c r="BG43" i="23"/>
  <c r="BF43" i="23"/>
  <c r="BE43" i="23"/>
  <c r="BD43" i="23"/>
  <c r="BB43" i="23"/>
  <c r="BA43" i="23"/>
  <c r="AZ43" i="23"/>
  <c r="AY43" i="23"/>
  <c r="AX43" i="23"/>
  <c r="AV43" i="23"/>
  <c r="AU43" i="23"/>
  <c r="AT43" i="23"/>
  <c r="AS43" i="23"/>
  <c r="AR43" i="23"/>
  <c r="AQ43" i="23"/>
  <c r="AP43" i="23"/>
  <c r="AO43" i="23"/>
  <c r="AM43" i="23"/>
  <c r="AL43" i="23"/>
  <c r="AK43" i="23"/>
  <c r="AJ43" i="23"/>
  <c r="AI43" i="23"/>
  <c r="AG43" i="23"/>
  <c r="AD43" i="23"/>
  <c r="Z43" i="23"/>
  <c r="Y43" i="23"/>
  <c r="W43" i="23"/>
  <c r="V43" i="23"/>
  <c r="U43" i="23"/>
  <c r="S43" i="23"/>
  <c r="R43" i="23"/>
  <c r="Q43" i="23"/>
  <c r="P43" i="23"/>
  <c r="O43" i="23"/>
  <c r="N43" i="23"/>
  <c r="M43" i="23"/>
  <c r="L43" i="23"/>
  <c r="J43" i="23"/>
  <c r="I43" i="23"/>
  <c r="H43" i="23"/>
  <c r="G43" i="23"/>
  <c r="F43" i="23"/>
  <c r="E43" i="23"/>
  <c r="BO42" i="23"/>
  <c r="BN42" i="23"/>
  <c r="BM42" i="23"/>
  <c r="BL42" i="23"/>
  <c r="BK42" i="23"/>
  <c r="BJ42" i="23"/>
  <c r="BI42" i="23"/>
  <c r="BH42" i="23"/>
  <c r="BG42" i="23"/>
  <c r="BF42" i="23"/>
  <c r="BE42" i="23"/>
  <c r="BD42" i="23"/>
  <c r="BB42" i="23"/>
  <c r="BA42" i="23"/>
  <c r="AZ42" i="23"/>
  <c r="AY42" i="23"/>
  <c r="AX42" i="23"/>
  <c r="AV42" i="23"/>
  <c r="AU42" i="23"/>
  <c r="AT42" i="23"/>
  <c r="AS42" i="23"/>
  <c r="AR42" i="23"/>
  <c r="AQ42" i="23"/>
  <c r="AP42" i="23"/>
  <c r="AO42" i="23"/>
  <c r="AM42" i="23"/>
  <c r="AL42" i="23"/>
  <c r="AK42" i="23"/>
  <c r="AJ42" i="23"/>
  <c r="AI42" i="23"/>
  <c r="AG42" i="23"/>
  <c r="AD42" i="23"/>
  <c r="Z42" i="23"/>
  <c r="Y42" i="23"/>
  <c r="W42" i="23"/>
  <c r="V42" i="23"/>
  <c r="U42" i="23"/>
  <c r="S42" i="23"/>
  <c r="R42" i="23"/>
  <c r="Q42" i="23"/>
  <c r="P42" i="23"/>
  <c r="O42" i="23"/>
  <c r="N42" i="23"/>
  <c r="M42" i="23"/>
  <c r="L42" i="23"/>
  <c r="J42" i="23"/>
  <c r="I42" i="23"/>
  <c r="H42" i="23"/>
  <c r="G42" i="23"/>
  <c r="F42" i="23"/>
  <c r="E42" i="23"/>
  <c r="BO41" i="23"/>
  <c r="BN41" i="23"/>
  <c r="BM41" i="23"/>
  <c r="BL41" i="23"/>
  <c r="BK41" i="23"/>
  <c r="BJ41" i="23"/>
  <c r="BI41" i="23"/>
  <c r="BH41" i="23"/>
  <c r="BG41" i="23"/>
  <c r="BF41" i="23"/>
  <c r="BE41" i="23"/>
  <c r="BD41" i="23"/>
  <c r="BB41" i="23"/>
  <c r="BA41" i="23"/>
  <c r="AZ41" i="23"/>
  <c r="AY41" i="23"/>
  <c r="AX41" i="23"/>
  <c r="AV41" i="23"/>
  <c r="AU41" i="23"/>
  <c r="AT41" i="23"/>
  <c r="AS41" i="23"/>
  <c r="AR41" i="23"/>
  <c r="AQ41" i="23"/>
  <c r="AP41" i="23"/>
  <c r="AO41" i="23"/>
  <c r="AM41" i="23"/>
  <c r="AL41" i="23"/>
  <c r="AK41" i="23"/>
  <c r="AJ41" i="23"/>
  <c r="AI41" i="23"/>
  <c r="AG41" i="23"/>
  <c r="AD41" i="23"/>
  <c r="Z41" i="23"/>
  <c r="Y41" i="23"/>
  <c r="W41" i="23"/>
  <c r="V41" i="23"/>
  <c r="U41" i="23"/>
  <c r="S41" i="23"/>
  <c r="R41" i="23"/>
  <c r="Q41" i="23"/>
  <c r="P41" i="23"/>
  <c r="O41" i="23"/>
  <c r="N41" i="23"/>
  <c r="M41" i="23"/>
  <c r="L41" i="23"/>
  <c r="J41" i="23"/>
  <c r="I41" i="23"/>
  <c r="H41" i="23"/>
  <c r="G41" i="23"/>
  <c r="F41" i="23"/>
  <c r="E41" i="23"/>
  <c r="A41" i="23"/>
  <c r="BO40" i="23"/>
  <c r="BN40" i="23"/>
  <c r="BM40" i="23"/>
  <c r="BL40" i="23"/>
  <c r="BK40" i="23"/>
  <c r="BJ40" i="23"/>
  <c r="BI40" i="23"/>
  <c r="BH40" i="23"/>
  <c r="BG40" i="23"/>
  <c r="BF40" i="23"/>
  <c r="BE40" i="23"/>
  <c r="BD40" i="23"/>
  <c r="BB40" i="23"/>
  <c r="BA40" i="23"/>
  <c r="AZ40" i="23"/>
  <c r="AY40" i="23"/>
  <c r="AX40" i="23"/>
  <c r="AV40" i="23"/>
  <c r="AU40" i="23"/>
  <c r="AT40" i="23"/>
  <c r="AS40" i="23"/>
  <c r="AR40" i="23"/>
  <c r="AQ40" i="23"/>
  <c r="AP40" i="23"/>
  <c r="AO40" i="23"/>
  <c r="AM40" i="23"/>
  <c r="AL40" i="23"/>
  <c r="AK40" i="23"/>
  <c r="AJ40" i="23"/>
  <c r="AI40" i="23"/>
  <c r="AG40" i="23"/>
  <c r="AD40" i="23"/>
  <c r="Z40" i="23"/>
  <c r="Y40" i="23"/>
  <c r="W40" i="23"/>
  <c r="V40" i="23"/>
  <c r="U40" i="23"/>
  <c r="S40" i="23"/>
  <c r="R40" i="23"/>
  <c r="Q40" i="23"/>
  <c r="P40" i="23"/>
  <c r="O40" i="23"/>
  <c r="N40" i="23"/>
  <c r="M40" i="23"/>
  <c r="L40" i="23"/>
  <c r="J40" i="23"/>
  <c r="I40" i="23"/>
  <c r="H40" i="23"/>
  <c r="G40" i="23"/>
  <c r="F40" i="23"/>
  <c r="E40" i="23"/>
  <c r="A40" i="23"/>
  <c r="BO39" i="23"/>
  <c r="BN39" i="23"/>
  <c r="BM39" i="23"/>
  <c r="BL39" i="23"/>
  <c r="BK39" i="23"/>
  <c r="BJ39" i="23"/>
  <c r="BI39" i="23"/>
  <c r="BH39" i="23"/>
  <c r="BG39" i="23"/>
  <c r="BF39" i="23"/>
  <c r="BE39" i="23"/>
  <c r="BD39" i="23"/>
  <c r="BB39" i="23"/>
  <c r="BA39" i="23"/>
  <c r="AZ39" i="23"/>
  <c r="AY39" i="23"/>
  <c r="AX39" i="23"/>
  <c r="AV39" i="23"/>
  <c r="AU39" i="23"/>
  <c r="AT39" i="23"/>
  <c r="AS39" i="23"/>
  <c r="AR39" i="23"/>
  <c r="AQ39" i="23"/>
  <c r="AP39" i="23"/>
  <c r="AO39" i="23"/>
  <c r="AM39" i="23"/>
  <c r="AL39" i="23"/>
  <c r="AK39" i="23"/>
  <c r="AJ39" i="23"/>
  <c r="AI39" i="23"/>
  <c r="AG39" i="23"/>
  <c r="AD39" i="23"/>
  <c r="Z39" i="23"/>
  <c r="Y39" i="23"/>
  <c r="W39" i="23"/>
  <c r="V39" i="23"/>
  <c r="U39" i="23"/>
  <c r="S39" i="23"/>
  <c r="R39" i="23"/>
  <c r="Q39" i="23"/>
  <c r="P39" i="23"/>
  <c r="O39" i="23"/>
  <c r="N39" i="23"/>
  <c r="M39" i="23"/>
  <c r="L39" i="23"/>
  <c r="J39" i="23"/>
  <c r="I39" i="23"/>
  <c r="H39" i="23"/>
  <c r="G39" i="23"/>
  <c r="F39" i="23"/>
  <c r="E39" i="23"/>
  <c r="A39" i="23"/>
  <c r="BO38" i="23"/>
  <c r="BN38" i="23"/>
  <c r="BM38" i="23"/>
  <c r="BL38" i="23"/>
  <c r="BK38" i="23"/>
  <c r="BJ38" i="23"/>
  <c r="BI38" i="23"/>
  <c r="BH38" i="23"/>
  <c r="BG38" i="23"/>
  <c r="BF38" i="23"/>
  <c r="BE38" i="23"/>
  <c r="BD38" i="23"/>
  <c r="BB38" i="23"/>
  <c r="BA38" i="23"/>
  <c r="AZ38" i="23"/>
  <c r="AY38" i="23"/>
  <c r="AX38" i="23"/>
  <c r="AV38" i="23"/>
  <c r="AU38" i="23"/>
  <c r="AT38" i="23"/>
  <c r="AS38" i="23"/>
  <c r="AR38" i="23"/>
  <c r="AQ38" i="23"/>
  <c r="AP38" i="23"/>
  <c r="AO38" i="23"/>
  <c r="AM38" i="23"/>
  <c r="AL38" i="23"/>
  <c r="AK38" i="23"/>
  <c r="AJ38" i="23"/>
  <c r="AI38" i="23"/>
  <c r="AG38" i="23"/>
  <c r="AD38" i="23"/>
  <c r="Z38" i="23"/>
  <c r="Y38" i="23"/>
  <c r="W38" i="23"/>
  <c r="V38" i="23"/>
  <c r="U38" i="23"/>
  <c r="S38" i="23"/>
  <c r="R38" i="23"/>
  <c r="Q38" i="23"/>
  <c r="P38" i="23"/>
  <c r="O38" i="23"/>
  <c r="N38" i="23"/>
  <c r="M38" i="23"/>
  <c r="L38" i="23"/>
  <c r="J38" i="23"/>
  <c r="I38" i="23"/>
  <c r="H38" i="23"/>
  <c r="G38" i="23"/>
  <c r="F38" i="23"/>
  <c r="E38" i="23"/>
  <c r="A38" i="23"/>
  <c r="BO37" i="23"/>
  <c r="BN37" i="23"/>
  <c r="BM37" i="23"/>
  <c r="BL37" i="23"/>
  <c r="BK37" i="23"/>
  <c r="BJ37" i="23"/>
  <c r="BI37" i="23"/>
  <c r="BH37" i="23"/>
  <c r="BG37" i="23"/>
  <c r="BF37" i="23"/>
  <c r="BE37" i="23"/>
  <c r="BD37" i="23"/>
  <c r="BB37" i="23"/>
  <c r="BA37" i="23"/>
  <c r="AZ37" i="23"/>
  <c r="AY37" i="23"/>
  <c r="AX37" i="23"/>
  <c r="AV37" i="23"/>
  <c r="AU37" i="23"/>
  <c r="AT37" i="23"/>
  <c r="AS37" i="23"/>
  <c r="AR37" i="23"/>
  <c r="AQ37" i="23"/>
  <c r="AP37" i="23"/>
  <c r="AO37" i="23"/>
  <c r="AM37" i="23"/>
  <c r="AL37" i="23"/>
  <c r="AK37" i="23"/>
  <c r="AJ37" i="23"/>
  <c r="AI37" i="23"/>
  <c r="AG37" i="23"/>
  <c r="AD37" i="23"/>
  <c r="Z37" i="23"/>
  <c r="Y37" i="23"/>
  <c r="W37" i="23"/>
  <c r="V37" i="23"/>
  <c r="U37" i="23"/>
  <c r="S37" i="23"/>
  <c r="R37" i="23"/>
  <c r="Q37" i="23"/>
  <c r="P37" i="23"/>
  <c r="O37" i="23"/>
  <c r="N37" i="23"/>
  <c r="M37" i="23"/>
  <c r="L37" i="23"/>
  <c r="J37" i="23"/>
  <c r="I37" i="23"/>
  <c r="H37" i="23"/>
  <c r="G37" i="23"/>
  <c r="F37" i="23"/>
  <c r="E37" i="23"/>
  <c r="A37" i="23"/>
  <c r="BO36" i="23"/>
  <c r="BN36" i="23"/>
  <c r="BM36" i="23"/>
  <c r="BL36" i="23"/>
  <c r="BK36" i="23"/>
  <c r="BJ36" i="23"/>
  <c r="BI36" i="23"/>
  <c r="BH36" i="23"/>
  <c r="BG36" i="23"/>
  <c r="BF36" i="23"/>
  <c r="BE36" i="23"/>
  <c r="BD36" i="23"/>
  <c r="BB36" i="23"/>
  <c r="BA36" i="23"/>
  <c r="AZ36" i="23"/>
  <c r="AY36" i="23"/>
  <c r="AX36" i="23"/>
  <c r="AV36" i="23"/>
  <c r="AU36" i="23"/>
  <c r="AT36" i="23"/>
  <c r="AS36" i="23"/>
  <c r="AR36" i="23"/>
  <c r="AQ36" i="23"/>
  <c r="AP36" i="23"/>
  <c r="AO36" i="23"/>
  <c r="AM36" i="23"/>
  <c r="AL36" i="23"/>
  <c r="AK36" i="23"/>
  <c r="AJ36" i="23"/>
  <c r="AI36" i="23"/>
  <c r="AG36" i="23"/>
  <c r="AD36" i="23"/>
  <c r="Z36" i="23"/>
  <c r="Y36" i="23"/>
  <c r="W36" i="23"/>
  <c r="V36" i="23"/>
  <c r="U36" i="23"/>
  <c r="S36" i="23"/>
  <c r="R36" i="23"/>
  <c r="Q36" i="23"/>
  <c r="P36" i="23"/>
  <c r="O36" i="23"/>
  <c r="N36" i="23"/>
  <c r="M36" i="23"/>
  <c r="L36" i="23"/>
  <c r="J36" i="23"/>
  <c r="I36" i="23"/>
  <c r="H36" i="23"/>
  <c r="G36" i="23"/>
  <c r="F36" i="23"/>
  <c r="E36" i="23"/>
  <c r="A36" i="23"/>
  <c r="BO35" i="23"/>
  <c r="BN35" i="23"/>
  <c r="BM35" i="23"/>
  <c r="BL35" i="23"/>
  <c r="BK35" i="23"/>
  <c r="BJ35" i="23"/>
  <c r="BI35" i="23"/>
  <c r="BH35" i="23"/>
  <c r="BG35" i="23"/>
  <c r="BF35" i="23"/>
  <c r="BE35" i="23"/>
  <c r="BD35" i="23"/>
  <c r="BB35" i="23"/>
  <c r="BA35" i="23"/>
  <c r="AZ35" i="23"/>
  <c r="AY35" i="23"/>
  <c r="AX35" i="23"/>
  <c r="AV35" i="23"/>
  <c r="AU35" i="23"/>
  <c r="AT35" i="23"/>
  <c r="AS35" i="23"/>
  <c r="AR35" i="23"/>
  <c r="AQ35" i="23"/>
  <c r="AP35" i="23"/>
  <c r="AO35" i="23"/>
  <c r="AM35" i="23"/>
  <c r="AL35" i="23"/>
  <c r="AK35" i="23"/>
  <c r="AJ35" i="23"/>
  <c r="AI35" i="23"/>
  <c r="AG35" i="23"/>
  <c r="AD35" i="23"/>
  <c r="Z35" i="23"/>
  <c r="Y35" i="23"/>
  <c r="W35" i="23"/>
  <c r="V35" i="23"/>
  <c r="U35" i="23"/>
  <c r="S35" i="23"/>
  <c r="R35" i="23"/>
  <c r="Q35" i="23"/>
  <c r="P35" i="23"/>
  <c r="O35" i="23"/>
  <c r="N35" i="23"/>
  <c r="M35" i="23"/>
  <c r="L35" i="23"/>
  <c r="J35" i="23"/>
  <c r="I35" i="23"/>
  <c r="H35" i="23"/>
  <c r="G35" i="23"/>
  <c r="F35" i="23"/>
  <c r="E35" i="23"/>
  <c r="A35" i="23"/>
  <c r="BO34" i="23"/>
  <c r="BN34" i="23"/>
  <c r="BM34" i="23"/>
  <c r="BL34" i="23"/>
  <c r="BK34" i="23"/>
  <c r="BJ34" i="23"/>
  <c r="BI34" i="23"/>
  <c r="BH34" i="23"/>
  <c r="BG34" i="23"/>
  <c r="BF34" i="23"/>
  <c r="BE34" i="23"/>
  <c r="BD34" i="23"/>
  <c r="BB34" i="23"/>
  <c r="BA34" i="23"/>
  <c r="AZ34" i="23"/>
  <c r="AY34" i="23"/>
  <c r="AX34" i="23"/>
  <c r="AV34" i="23"/>
  <c r="AU34" i="23"/>
  <c r="AT34" i="23"/>
  <c r="AS34" i="23"/>
  <c r="AR34" i="23"/>
  <c r="AQ34" i="23"/>
  <c r="AP34" i="23"/>
  <c r="AO34" i="23"/>
  <c r="AM34" i="23"/>
  <c r="AL34" i="23"/>
  <c r="AK34" i="23"/>
  <c r="AJ34" i="23"/>
  <c r="AI34" i="23"/>
  <c r="AG34" i="23"/>
  <c r="AD34" i="23"/>
  <c r="Z34" i="23"/>
  <c r="Y34" i="23"/>
  <c r="W34" i="23"/>
  <c r="V34" i="23"/>
  <c r="U34" i="23"/>
  <c r="S34" i="23"/>
  <c r="R34" i="23"/>
  <c r="Q34" i="23"/>
  <c r="P34" i="23"/>
  <c r="O34" i="23"/>
  <c r="N34" i="23"/>
  <c r="M34" i="23"/>
  <c r="L34" i="23"/>
  <c r="J34" i="23"/>
  <c r="I34" i="23"/>
  <c r="H34" i="23"/>
  <c r="G34" i="23"/>
  <c r="F34" i="23"/>
  <c r="E34" i="23"/>
  <c r="A34" i="23"/>
  <c r="BO33" i="23"/>
  <c r="BN33" i="23"/>
  <c r="BM33" i="23"/>
  <c r="BL33" i="23"/>
  <c r="BK33" i="23"/>
  <c r="BJ33" i="23"/>
  <c r="BI33" i="23"/>
  <c r="BH33" i="23"/>
  <c r="BG33" i="23"/>
  <c r="BF33" i="23"/>
  <c r="BE33" i="23"/>
  <c r="BD33" i="23"/>
  <c r="BB33" i="23"/>
  <c r="BA33" i="23"/>
  <c r="AZ33" i="23"/>
  <c r="AY33" i="23"/>
  <c r="AX33" i="23"/>
  <c r="AV33" i="23"/>
  <c r="AU33" i="23"/>
  <c r="AT33" i="23"/>
  <c r="AS33" i="23"/>
  <c r="AR33" i="23"/>
  <c r="AQ33" i="23"/>
  <c r="AP33" i="23"/>
  <c r="AO33" i="23"/>
  <c r="AM33" i="23"/>
  <c r="AL33" i="23"/>
  <c r="AK33" i="23"/>
  <c r="AJ33" i="23"/>
  <c r="AI33" i="23"/>
  <c r="AG33" i="23"/>
  <c r="AD33" i="23"/>
  <c r="Z33" i="23"/>
  <c r="Y33" i="23"/>
  <c r="W33" i="23"/>
  <c r="V33" i="23"/>
  <c r="U33" i="23"/>
  <c r="S33" i="23"/>
  <c r="R33" i="23"/>
  <c r="Q33" i="23"/>
  <c r="P33" i="23"/>
  <c r="O33" i="23"/>
  <c r="N33" i="23"/>
  <c r="M33" i="23"/>
  <c r="L33" i="23"/>
  <c r="J33" i="23"/>
  <c r="I33" i="23"/>
  <c r="H33" i="23"/>
  <c r="G33" i="23"/>
  <c r="F33" i="23"/>
  <c r="E33" i="23"/>
  <c r="A33" i="23"/>
  <c r="BO32" i="23"/>
  <c r="BN32" i="23"/>
  <c r="BM32" i="23"/>
  <c r="BL32" i="23"/>
  <c r="BK32" i="23"/>
  <c r="BJ32" i="23"/>
  <c r="BI32" i="23"/>
  <c r="BH32" i="23"/>
  <c r="BG32" i="23"/>
  <c r="BF32" i="23"/>
  <c r="BE32" i="23"/>
  <c r="BD32" i="23"/>
  <c r="BB32" i="23"/>
  <c r="BA32" i="23"/>
  <c r="AZ32" i="23"/>
  <c r="AY32" i="23"/>
  <c r="AX32" i="23"/>
  <c r="AV32" i="23"/>
  <c r="AU32" i="23"/>
  <c r="AT32" i="23"/>
  <c r="AS32" i="23"/>
  <c r="AR32" i="23"/>
  <c r="AQ32" i="23"/>
  <c r="AP32" i="23"/>
  <c r="AO32" i="23"/>
  <c r="AM32" i="23"/>
  <c r="AL32" i="23"/>
  <c r="AK32" i="23"/>
  <c r="AJ32" i="23"/>
  <c r="AI32" i="23"/>
  <c r="AG32" i="23"/>
  <c r="AD32" i="23"/>
  <c r="Z32" i="23"/>
  <c r="Y32" i="23"/>
  <c r="W32" i="23"/>
  <c r="V32" i="23"/>
  <c r="U32" i="23"/>
  <c r="S32" i="23"/>
  <c r="R32" i="23"/>
  <c r="Q32" i="23"/>
  <c r="P32" i="23"/>
  <c r="O32" i="23"/>
  <c r="N32" i="23"/>
  <c r="M32" i="23"/>
  <c r="L32" i="23"/>
  <c r="J32" i="23"/>
  <c r="I32" i="23"/>
  <c r="H32" i="23"/>
  <c r="G32" i="23"/>
  <c r="F32" i="23"/>
  <c r="E32" i="23"/>
  <c r="BO31" i="23"/>
  <c r="BN31" i="23"/>
  <c r="BM31" i="23"/>
  <c r="BL31" i="23"/>
  <c r="BK31" i="23"/>
  <c r="BJ31" i="23"/>
  <c r="BI31" i="23"/>
  <c r="BH31" i="23"/>
  <c r="BG31" i="23"/>
  <c r="BF31" i="23"/>
  <c r="BE31" i="23"/>
  <c r="BD31" i="23"/>
  <c r="BB31" i="23"/>
  <c r="BA31" i="23"/>
  <c r="AZ31" i="23"/>
  <c r="AY31" i="23"/>
  <c r="AX31" i="23"/>
  <c r="AM31" i="23"/>
  <c r="AL31" i="23"/>
  <c r="AK31" i="23"/>
  <c r="AJ31" i="23"/>
  <c r="AI31" i="23"/>
  <c r="AG31" i="23"/>
  <c r="AD31" i="23"/>
  <c r="Z31" i="23"/>
  <c r="Y31" i="23"/>
  <c r="W31" i="23"/>
  <c r="V31" i="23"/>
  <c r="U31" i="23"/>
  <c r="S31" i="23"/>
  <c r="R31" i="23"/>
  <c r="Q31" i="23"/>
  <c r="P31" i="23"/>
  <c r="O31" i="23"/>
  <c r="N31" i="23"/>
  <c r="M31" i="23"/>
  <c r="L31" i="23"/>
  <c r="J31" i="23"/>
  <c r="I31" i="23"/>
  <c r="H31" i="23"/>
  <c r="G31" i="23"/>
  <c r="F31" i="23"/>
  <c r="E31" i="23"/>
  <c r="BO30" i="23"/>
  <c r="BN30" i="23"/>
  <c r="BM30" i="23"/>
  <c r="BL30" i="23"/>
  <c r="BK30" i="23"/>
  <c r="BJ30" i="23"/>
  <c r="BI30" i="23"/>
  <c r="BH30" i="23"/>
  <c r="BG30" i="23"/>
  <c r="BF30" i="23"/>
  <c r="BE30" i="23"/>
  <c r="BD30" i="23"/>
  <c r="BB30" i="23"/>
  <c r="BA30" i="23"/>
  <c r="AZ30" i="23"/>
  <c r="AY30" i="23"/>
  <c r="AX30" i="23"/>
  <c r="AV30" i="23"/>
  <c r="AU30" i="23"/>
  <c r="AT30" i="23"/>
  <c r="AS30" i="23"/>
  <c r="AR30" i="23"/>
  <c r="AQ30" i="23"/>
  <c r="AP30" i="23"/>
  <c r="AO30" i="23"/>
  <c r="AM30" i="23"/>
  <c r="AL30" i="23"/>
  <c r="AK30" i="23"/>
  <c r="AJ30" i="23"/>
  <c r="AI30" i="23"/>
  <c r="AG30" i="23"/>
  <c r="AD30" i="23"/>
  <c r="Z30" i="23"/>
  <c r="Y30" i="23"/>
  <c r="W30" i="23"/>
  <c r="V30" i="23"/>
  <c r="U30" i="23"/>
  <c r="S30" i="23"/>
  <c r="R30" i="23"/>
  <c r="Q30" i="23"/>
  <c r="P30" i="23"/>
  <c r="O30" i="23"/>
  <c r="N30" i="23"/>
  <c r="M30" i="23"/>
  <c r="L30" i="23"/>
  <c r="J30" i="23"/>
  <c r="I30" i="23"/>
  <c r="H30" i="23"/>
  <c r="G30" i="23"/>
  <c r="F30" i="23"/>
  <c r="E30" i="23"/>
  <c r="A30" i="23"/>
  <c r="BO29" i="23"/>
  <c r="BN29" i="23"/>
  <c r="BM29" i="23"/>
  <c r="BL29" i="23"/>
  <c r="BK29" i="23"/>
  <c r="BJ29" i="23"/>
  <c r="BI29" i="23"/>
  <c r="BH29" i="23"/>
  <c r="BG29" i="23"/>
  <c r="BF29" i="23"/>
  <c r="BE29" i="23"/>
  <c r="BD29" i="23"/>
  <c r="BB29" i="23"/>
  <c r="BA29" i="23"/>
  <c r="AZ29" i="23"/>
  <c r="AY29" i="23"/>
  <c r="AX29" i="23"/>
  <c r="AV29" i="23"/>
  <c r="AU29" i="23"/>
  <c r="AT29" i="23"/>
  <c r="AS29" i="23"/>
  <c r="AR29" i="23"/>
  <c r="AQ29" i="23"/>
  <c r="AP29" i="23"/>
  <c r="AO29" i="23"/>
  <c r="AM29" i="23"/>
  <c r="AL29" i="23"/>
  <c r="AK29" i="23"/>
  <c r="AJ29" i="23"/>
  <c r="AI29" i="23"/>
  <c r="AG29" i="23"/>
  <c r="AD29" i="23"/>
  <c r="Z29" i="23"/>
  <c r="Y29" i="23"/>
  <c r="W29" i="23"/>
  <c r="V29" i="23"/>
  <c r="U29" i="23"/>
  <c r="S29" i="23"/>
  <c r="R29" i="23"/>
  <c r="Q29" i="23"/>
  <c r="P29" i="23"/>
  <c r="O29" i="23"/>
  <c r="N29" i="23"/>
  <c r="M29" i="23"/>
  <c r="L29" i="23"/>
  <c r="J29" i="23"/>
  <c r="I29" i="23"/>
  <c r="H29" i="23"/>
  <c r="G29" i="23"/>
  <c r="F29" i="23"/>
  <c r="E29" i="23"/>
  <c r="A29" i="23"/>
  <c r="BO28" i="23"/>
  <c r="BN28" i="23"/>
  <c r="BM28" i="23"/>
  <c r="BL28" i="23"/>
  <c r="BK28" i="23"/>
  <c r="BJ28" i="23"/>
  <c r="BI28" i="23"/>
  <c r="BH28" i="23"/>
  <c r="BG28" i="23"/>
  <c r="BF28" i="23"/>
  <c r="BE28" i="23"/>
  <c r="BD28" i="23"/>
  <c r="BB28" i="23"/>
  <c r="BA28" i="23"/>
  <c r="AZ28" i="23"/>
  <c r="AY28" i="23"/>
  <c r="AX28" i="23"/>
  <c r="AM28" i="23"/>
  <c r="AL28" i="23"/>
  <c r="AK28" i="23"/>
  <c r="AJ28" i="23"/>
  <c r="AI28" i="23"/>
  <c r="AG28" i="23"/>
  <c r="AD28" i="23"/>
  <c r="Z28" i="23"/>
  <c r="Y28" i="23"/>
  <c r="W28" i="23"/>
  <c r="V28" i="23"/>
  <c r="U28" i="23"/>
  <c r="S28" i="23"/>
  <c r="R28" i="23"/>
  <c r="Q28" i="23"/>
  <c r="P28" i="23"/>
  <c r="O28" i="23"/>
  <c r="N28" i="23"/>
  <c r="M28" i="23"/>
  <c r="L28" i="23"/>
  <c r="J28" i="23"/>
  <c r="I28" i="23"/>
  <c r="H28" i="23"/>
  <c r="G28" i="23"/>
  <c r="F28" i="23"/>
  <c r="E28" i="23"/>
  <c r="A28" i="23"/>
  <c r="BO27" i="23"/>
  <c r="BN27" i="23"/>
  <c r="BM27" i="23"/>
  <c r="BL27" i="23"/>
  <c r="BK27" i="23"/>
  <c r="BJ27" i="23"/>
  <c r="BI27" i="23"/>
  <c r="BH27" i="23"/>
  <c r="BG27" i="23"/>
  <c r="BF27" i="23"/>
  <c r="BE27" i="23"/>
  <c r="BD27" i="23"/>
  <c r="BB27" i="23"/>
  <c r="BA27" i="23"/>
  <c r="AZ27" i="23"/>
  <c r="AY27" i="23"/>
  <c r="AX27" i="23"/>
  <c r="AV27" i="23"/>
  <c r="AU27" i="23"/>
  <c r="AT27" i="23"/>
  <c r="AS27" i="23"/>
  <c r="AR27" i="23"/>
  <c r="AQ27" i="23"/>
  <c r="AP27" i="23"/>
  <c r="AO27" i="23"/>
  <c r="AM27" i="23"/>
  <c r="AL27" i="23"/>
  <c r="AK27" i="23"/>
  <c r="AJ27" i="23"/>
  <c r="AI27" i="23"/>
  <c r="AG27" i="23"/>
  <c r="AD27" i="23"/>
  <c r="Z27" i="23"/>
  <c r="Y27" i="23"/>
  <c r="W27" i="23"/>
  <c r="V27" i="23"/>
  <c r="U27" i="23"/>
  <c r="S27" i="23"/>
  <c r="R27" i="23"/>
  <c r="Q27" i="23"/>
  <c r="P27" i="23"/>
  <c r="O27" i="23"/>
  <c r="N27" i="23"/>
  <c r="M27" i="23"/>
  <c r="L27" i="23"/>
  <c r="J27" i="23"/>
  <c r="I27" i="23"/>
  <c r="H27" i="23"/>
  <c r="G27" i="23"/>
  <c r="F27" i="23"/>
  <c r="E27" i="23"/>
  <c r="A27" i="23"/>
  <c r="BO26" i="23"/>
  <c r="BN26" i="23"/>
  <c r="BM26" i="23"/>
  <c r="BL26" i="23"/>
  <c r="BK26" i="23"/>
  <c r="BJ26" i="23"/>
  <c r="BI26" i="23"/>
  <c r="BH26" i="23"/>
  <c r="BG26" i="23"/>
  <c r="BF26" i="23"/>
  <c r="BE26" i="23"/>
  <c r="BD26" i="23"/>
  <c r="BB26" i="23"/>
  <c r="BA26" i="23"/>
  <c r="AZ26" i="23"/>
  <c r="AY26" i="23"/>
  <c r="AX26" i="23"/>
  <c r="AV26" i="23"/>
  <c r="AU26" i="23"/>
  <c r="AT26" i="23"/>
  <c r="AS26" i="23"/>
  <c r="AR26" i="23"/>
  <c r="AQ26" i="23"/>
  <c r="AP26" i="23"/>
  <c r="AO26" i="23"/>
  <c r="AM26" i="23"/>
  <c r="AL26" i="23"/>
  <c r="AK26" i="23"/>
  <c r="AJ26" i="23"/>
  <c r="AI26" i="23"/>
  <c r="AG26" i="23"/>
  <c r="AD26" i="23"/>
  <c r="Z26" i="23"/>
  <c r="Y26" i="23"/>
  <c r="W26" i="23"/>
  <c r="V26" i="23"/>
  <c r="U26" i="23"/>
  <c r="S26" i="23"/>
  <c r="R26" i="23"/>
  <c r="Q26" i="23"/>
  <c r="P26" i="23"/>
  <c r="O26" i="23"/>
  <c r="N26" i="23"/>
  <c r="M26" i="23"/>
  <c r="L26" i="23"/>
  <c r="J26" i="23"/>
  <c r="I26" i="23"/>
  <c r="H26" i="23"/>
  <c r="G26" i="23"/>
  <c r="F26" i="23"/>
  <c r="E26" i="23"/>
  <c r="A26" i="23"/>
  <c r="BO25" i="23"/>
  <c r="BN25" i="23"/>
  <c r="BM25" i="23"/>
  <c r="BL25" i="23"/>
  <c r="BK25" i="23"/>
  <c r="BJ25" i="23"/>
  <c r="BI25" i="23"/>
  <c r="BH25" i="23"/>
  <c r="BG25" i="23"/>
  <c r="BF25" i="23"/>
  <c r="BE25" i="23"/>
  <c r="BD25" i="23"/>
  <c r="BB25" i="23"/>
  <c r="BA25" i="23"/>
  <c r="AZ25" i="23"/>
  <c r="AY25" i="23"/>
  <c r="AX25" i="23"/>
  <c r="AV25" i="23"/>
  <c r="AU25" i="23"/>
  <c r="AT25" i="23"/>
  <c r="AS25" i="23"/>
  <c r="AR25" i="23"/>
  <c r="AQ25" i="23"/>
  <c r="AP25" i="23"/>
  <c r="AO25" i="23"/>
  <c r="AM25" i="23"/>
  <c r="AL25" i="23"/>
  <c r="AK25" i="23"/>
  <c r="AJ25" i="23"/>
  <c r="AI25" i="23"/>
  <c r="AG25" i="23"/>
  <c r="AD25" i="23"/>
  <c r="Z25" i="23"/>
  <c r="Y25" i="23"/>
  <c r="W25" i="23"/>
  <c r="V25" i="23"/>
  <c r="U25" i="23"/>
  <c r="S25" i="23"/>
  <c r="R25" i="23"/>
  <c r="Q25" i="23"/>
  <c r="P25" i="23"/>
  <c r="O25" i="23"/>
  <c r="N25" i="23"/>
  <c r="M25" i="23"/>
  <c r="L25" i="23"/>
  <c r="J25" i="23"/>
  <c r="I25" i="23"/>
  <c r="H25" i="23"/>
  <c r="G25" i="23"/>
  <c r="F25" i="23"/>
  <c r="E25" i="23"/>
  <c r="A25" i="23"/>
  <c r="BO24" i="23"/>
  <c r="BN24" i="23"/>
  <c r="BM24" i="23"/>
  <c r="BL24" i="23"/>
  <c r="BK24" i="23"/>
  <c r="BJ24" i="23"/>
  <c r="BI24" i="23"/>
  <c r="BH24" i="23"/>
  <c r="BG24" i="23"/>
  <c r="BF24" i="23"/>
  <c r="BE24" i="23"/>
  <c r="BD24" i="23"/>
  <c r="BB24" i="23"/>
  <c r="BA24" i="23"/>
  <c r="AZ24" i="23"/>
  <c r="AY24" i="23"/>
  <c r="AX24" i="23"/>
  <c r="AV24" i="23"/>
  <c r="AU24" i="23"/>
  <c r="AT24" i="23"/>
  <c r="AS24" i="23"/>
  <c r="AR24" i="23"/>
  <c r="AQ24" i="23"/>
  <c r="AP24" i="23"/>
  <c r="AO24" i="23"/>
  <c r="AM24" i="23"/>
  <c r="AL24" i="23"/>
  <c r="AK24" i="23"/>
  <c r="AJ24" i="23"/>
  <c r="AI24" i="23"/>
  <c r="AG24" i="23"/>
  <c r="AD24" i="23"/>
  <c r="Z24" i="23"/>
  <c r="Y24" i="23"/>
  <c r="W24" i="23"/>
  <c r="V24" i="23"/>
  <c r="U24" i="23"/>
  <c r="S24" i="23"/>
  <c r="R24" i="23"/>
  <c r="Q24" i="23"/>
  <c r="P24" i="23"/>
  <c r="O24" i="23"/>
  <c r="N24" i="23"/>
  <c r="M24" i="23"/>
  <c r="L24" i="23"/>
  <c r="J24" i="23"/>
  <c r="I24" i="23"/>
  <c r="H24" i="23"/>
  <c r="G24" i="23"/>
  <c r="F24" i="23"/>
  <c r="E24" i="23"/>
  <c r="A24" i="23"/>
  <c r="BO23" i="23"/>
  <c r="BN23" i="23"/>
  <c r="BM23" i="23"/>
  <c r="BL23" i="23"/>
  <c r="BK23" i="23"/>
  <c r="BJ23" i="23"/>
  <c r="BI23" i="23"/>
  <c r="BH23" i="23"/>
  <c r="BG23" i="23"/>
  <c r="BF23" i="23"/>
  <c r="BE23" i="23"/>
  <c r="BD23" i="23"/>
  <c r="BB23" i="23"/>
  <c r="BA23" i="23"/>
  <c r="AZ23" i="23"/>
  <c r="AY23" i="23"/>
  <c r="AX23" i="23"/>
  <c r="AV23" i="23"/>
  <c r="AU23" i="23"/>
  <c r="AT23" i="23"/>
  <c r="AS23" i="23"/>
  <c r="AR23" i="23"/>
  <c r="AQ23" i="23"/>
  <c r="AP23" i="23"/>
  <c r="AO23" i="23"/>
  <c r="AM23" i="23"/>
  <c r="AL23" i="23"/>
  <c r="AK23" i="23"/>
  <c r="AJ23" i="23"/>
  <c r="AI23" i="23"/>
  <c r="AG23" i="23"/>
  <c r="AD23" i="23"/>
  <c r="Z23" i="23"/>
  <c r="Y23" i="23"/>
  <c r="W23" i="23"/>
  <c r="V23" i="23"/>
  <c r="U23" i="23"/>
  <c r="S23" i="23"/>
  <c r="R23" i="23"/>
  <c r="Q23" i="23"/>
  <c r="P23" i="23"/>
  <c r="O23" i="23"/>
  <c r="N23" i="23"/>
  <c r="M23" i="23"/>
  <c r="L23" i="23"/>
  <c r="J23" i="23"/>
  <c r="I23" i="23"/>
  <c r="H23" i="23"/>
  <c r="G23" i="23"/>
  <c r="F23" i="23"/>
  <c r="E23" i="23"/>
  <c r="BO22" i="23"/>
  <c r="BN22" i="23"/>
  <c r="BM22" i="23"/>
  <c r="BL22" i="23"/>
  <c r="BK22" i="23"/>
  <c r="BJ22" i="23"/>
  <c r="BI22" i="23"/>
  <c r="BH22" i="23"/>
  <c r="BG22" i="23"/>
  <c r="BF22" i="23"/>
  <c r="BE22" i="23"/>
  <c r="BD22" i="23"/>
  <c r="BB22" i="23"/>
  <c r="BA22" i="23"/>
  <c r="AZ22" i="23"/>
  <c r="AY22" i="23"/>
  <c r="AX22" i="23"/>
  <c r="AV22" i="23"/>
  <c r="AU22" i="23"/>
  <c r="AT22" i="23"/>
  <c r="AS22" i="23"/>
  <c r="AR22" i="23"/>
  <c r="AQ22" i="23"/>
  <c r="AP22" i="23"/>
  <c r="AO22" i="23"/>
  <c r="AM22" i="23"/>
  <c r="AL22" i="23"/>
  <c r="AK22" i="23"/>
  <c r="AJ22" i="23"/>
  <c r="AI22" i="23"/>
  <c r="AG22" i="23"/>
  <c r="AD22" i="23"/>
  <c r="Z22" i="23"/>
  <c r="Y22" i="23"/>
  <c r="W22" i="23"/>
  <c r="V22" i="23"/>
  <c r="U22" i="23"/>
  <c r="S22" i="23"/>
  <c r="R22" i="23"/>
  <c r="Q22" i="23"/>
  <c r="P22" i="23"/>
  <c r="O22" i="23"/>
  <c r="N22" i="23"/>
  <c r="M22" i="23"/>
  <c r="L22" i="23"/>
  <c r="J22" i="23"/>
  <c r="I22" i="23"/>
  <c r="H22" i="23"/>
  <c r="G22" i="23"/>
  <c r="F22" i="23"/>
  <c r="E22" i="23"/>
  <c r="BO18" i="23"/>
  <c r="BN18" i="23"/>
  <c r="BM18" i="23"/>
  <c r="BL18" i="23"/>
  <c r="BK18" i="23"/>
  <c r="BJ18" i="23"/>
  <c r="BI18" i="23"/>
  <c r="BH18" i="23"/>
  <c r="BG18" i="23"/>
  <c r="BF18" i="23"/>
  <c r="BE18" i="23"/>
  <c r="BD18" i="23"/>
  <c r="BB18" i="23"/>
  <c r="BA18" i="23"/>
  <c r="AZ18" i="23"/>
  <c r="AY18" i="23"/>
  <c r="AX18" i="23"/>
  <c r="AV18" i="23"/>
  <c r="AU18" i="23"/>
  <c r="AT18" i="23"/>
  <c r="AS18" i="23"/>
  <c r="AR18" i="23"/>
  <c r="AQ18" i="23"/>
  <c r="AP18" i="23"/>
  <c r="AO18" i="23"/>
  <c r="AM18" i="23"/>
  <c r="AL18" i="23"/>
  <c r="AK18" i="23"/>
  <c r="AJ18" i="23"/>
  <c r="AI18" i="23"/>
  <c r="AG18" i="23"/>
  <c r="AD18" i="23"/>
  <c r="Z18" i="23"/>
  <c r="Y18" i="23"/>
  <c r="W18" i="23"/>
  <c r="V18" i="23"/>
  <c r="U18" i="23"/>
  <c r="S18" i="23"/>
  <c r="R18" i="23"/>
  <c r="Q18" i="23"/>
  <c r="P18" i="23"/>
  <c r="O18" i="23"/>
  <c r="N18" i="23"/>
  <c r="M18" i="23"/>
  <c r="L18" i="23"/>
  <c r="J18" i="23"/>
  <c r="I18" i="23"/>
  <c r="H18" i="23"/>
  <c r="G18" i="23"/>
  <c r="F18" i="23"/>
  <c r="E18" i="23"/>
  <c r="A18" i="23"/>
  <c r="BO17" i="23"/>
  <c r="BN17" i="23"/>
  <c r="BM17" i="23"/>
  <c r="BL17" i="23"/>
  <c r="BK17" i="23"/>
  <c r="BJ17" i="23"/>
  <c r="BI17" i="23"/>
  <c r="BH17" i="23"/>
  <c r="BG17" i="23"/>
  <c r="BF17" i="23"/>
  <c r="BE17" i="23"/>
  <c r="BD17" i="23"/>
  <c r="BB17" i="23"/>
  <c r="BA17" i="23"/>
  <c r="AZ17" i="23"/>
  <c r="AY17" i="23"/>
  <c r="AX17" i="23"/>
  <c r="AV17" i="23"/>
  <c r="AU17" i="23"/>
  <c r="AT17" i="23"/>
  <c r="AS17" i="23"/>
  <c r="AR17" i="23"/>
  <c r="AQ17" i="23"/>
  <c r="AP17" i="23"/>
  <c r="AO17" i="23"/>
  <c r="AM17" i="23"/>
  <c r="AL17" i="23"/>
  <c r="AK17" i="23"/>
  <c r="AJ17" i="23"/>
  <c r="AI17" i="23"/>
  <c r="AG17" i="23"/>
  <c r="AD17" i="23"/>
  <c r="Z17" i="23"/>
  <c r="Y17" i="23"/>
  <c r="W17" i="23"/>
  <c r="V17" i="23"/>
  <c r="U17" i="23"/>
  <c r="S17" i="23"/>
  <c r="R17" i="23"/>
  <c r="Q17" i="23"/>
  <c r="P17" i="23"/>
  <c r="O17" i="23"/>
  <c r="N17" i="23"/>
  <c r="M17" i="23"/>
  <c r="L17" i="23"/>
  <c r="J17" i="23"/>
  <c r="I17" i="23"/>
  <c r="H17" i="23"/>
  <c r="G17" i="23"/>
  <c r="F17" i="23"/>
  <c r="E17" i="23"/>
  <c r="A17" i="23"/>
  <c r="BO16" i="23"/>
  <c r="BN16" i="23"/>
  <c r="BM16" i="23"/>
  <c r="BL16" i="23"/>
  <c r="BK16" i="23"/>
  <c r="BJ16" i="23"/>
  <c r="BI16" i="23"/>
  <c r="BH16" i="23"/>
  <c r="BG16" i="23"/>
  <c r="BF16" i="23"/>
  <c r="BE16" i="23"/>
  <c r="BD16" i="23"/>
  <c r="BB16" i="23"/>
  <c r="BA16" i="23"/>
  <c r="AZ16" i="23"/>
  <c r="AY16" i="23"/>
  <c r="AX16" i="23"/>
  <c r="AV16" i="23"/>
  <c r="AU16" i="23"/>
  <c r="AT16" i="23"/>
  <c r="AS16" i="23"/>
  <c r="AR16" i="23"/>
  <c r="AQ16" i="23"/>
  <c r="AP16" i="23"/>
  <c r="AO16" i="23"/>
  <c r="AM16" i="23"/>
  <c r="AL16" i="23"/>
  <c r="AK16" i="23"/>
  <c r="AJ16" i="23"/>
  <c r="AI16" i="23"/>
  <c r="AG16" i="23"/>
  <c r="AD16" i="23"/>
  <c r="Z16" i="23"/>
  <c r="Y16" i="23"/>
  <c r="W16" i="23"/>
  <c r="V16" i="23"/>
  <c r="U16" i="23"/>
  <c r="S16" i="23"/>
  <c r="R16" i="23"/>
  <c r="Q16" i="23"/>
  <c r="P16" i="23"/>
  <c r="O16" i="23"/>
  <c r="N16" i="23"/>
  <c r="M16" i="23"/>
  <c r="L16" i="23"/>
  <c r="J16" i="23"/>
  <c r="I16" i="23"/>
  <c r="H16" i="23"/>
  <c r="G16" i="23"/>
  <c r="F16" i="23"/>
  <c r="E16" i="23"/>
  <c r="A16" i="23"/>
  <c r="A15" i="23"/>
  <c r="A14" i="23"/>
  <c r="A13" i="23"/>
  <c r="A12" i="23"/>
  <c r="BO11" i="23"/>
  <c r="BN11" i="23"/>
  <c r="BM11" i="23"/>
  <c r="BL11" i="23"/>
  <c r="BK11" i="23"/>
  <c r="BJ11" i="23"/>
  <c r="BI11" i="23"/>
  <c r="BH11" i="23"/>
  <c r="BG11" i="23"/>
  <c r="BF11" i="23"/>
  <c r="BE11" i="23"/>
  <c r="BD11" i="23"/>
  <c r="BB11" i="23"/>
  <c r="BA11" i="23"/>
  <c r="AZ11" i="23"/>
  <c r="AY11" i="23"/>
  <c r="AX11" i="23"/>
  <c r="AV11" i="23"/>
  <c r="AU11" i="23"/>
  <c r="AT11" i="23"/>
  <c r="AS11" i="23"/>
  <c r="AR11" i="23"/>
  <c r="AQ11" i="23"/>
  <c r="AP11" i="23"/>
  <c r="AO11" i="23"/>
  <c r="AM11" i="23"/>
  <c r="AL11" i="23"/>
  <c r="AK11" i="23"/>
  <c r="AJ11" i="23"/>
  <c r="AI11" i="23"/>
  <c r="AG11" i="23"/>
  <c r="AD11" i="23"/>
  <c r="Z11" i="23"/>
  <c r="Y11" i="23"/>
  <c r="W11" i="23"/>
  <c r="V11" i="23"/>
  <c r="U11" i="23"/>
  <c r="S11" i="23"/>
  <c r="R11" i="23"/>
  <c r="Q11" i="23"/>
  <c r="P11" i="23"/>
  <c r="O11" i="23"/>
  <c r="N11" i="23"/>
  <c r="M11" i="23"/>
  <c r="L11" i="23"/>
  <c r="J11" i="23"/>
  <c r="I11" i="23"/>
  <c r="H11" i="23"/>
  <c r="G11" i="23"/>
  <c r="F11" i="23"/>
  <c r="E11" i="23"/>
  <c r="A11" i="23"/>
  <c r="BO10" i="23"/>
  <c r="BN10" i="23"/>
  <c r="BM10" i="23"/>
  <c r="BL10" i="23"/>
  <c r="BK10" i="23"/>
  <c r="BJ10" i="23"/>
  <c r="BI10" i="23"/>
  <c r="BH10" i="23"/>
  <c r="BG10" i="23"/>
  <c r="BF10" i="23"/>
  <c r="BE10" i="23"/>
  <c r="BD10" i="23"/>
  <c r="BB10" i="23"/>
  <c r="BA10" i="23"/>
  <c r="AZ10" i="23"/>
  <c r="AY10" i="23"/>
  <c r="AX10" i="23"/>
  <c r="AV10" i="23"/>
  <c r="AU10" i="23"/>
  <c r="AT10" i="23"/>
  <c r="AS10" i="23"/>
  <c r="AR10" i="23"/>
  <c r="AQ10" i="23"/>
  <c r="AP10" i="23"/>
  <c r="AO10" i="23"/>
  <c r="AM10" i="23"/>
  <c r="AL10" i="23"/>
  <c r="AK10" i="23"/>
  <c r="AJ10" i="23"/>
  <c r="AI10" i="23"/>
  <c r="AG10" i="23"/>
  <c r="AD10" i="23"/>
  <c r="Z10" i="23"/>
  <c r="Y10" i="23"/>
  <c r="W10" i="23"/>
  <c r="V10" i="23"/>
  <c r="U10" i="23"/>
  <c r="S10" i="23"/>
  <c r="R10" i="23"/>
  <c r="Q10" i="23"/>
  <c r="P10" i="23"/>
  <c r="O10" i="23"/>
  <c r="N10" i="23"/>
  <c r="M10" i="23"/>
  <c r="L10" i="23"/>
  <c r="J10" i="23"/>
  <c r="I10" i="23"/>
  <c r="H10" i="23"/>
  <c r="G10" i="23"/>
  <c r="F10" i="23"/>
  <c r="E10" i="23"/>
  <c r="A10" i="23"/>
  <c r="AV9" i="23"/>
  <c r="AU9" i="23"/>
  <c r="AT9" i="23"/>
  <c r="AS9" i="23"/>
  <c r="AR9" i="23"/>
  <c r="AQ9" i="23"/>
  <c r="AP9" i="23"/>
  <c r="AO9" i="23"/>
  <c r="AM9" i="23"/>
  <c r="AL9" i="23"/>
  <c r="AK9" i="23"/>
  <c r="AJ9" i="23"/>
  <c r="AI9" i="23"/>
  <c r="AG9" i="23"/>
  <c r="AD9" i="23"/>
  <c r="Z9" i="23"/>
  <c r="Y9" i="23"/>
  <c r="S9" i="23"/>
  <c r="R9" i="23"/>
  <c r="Q9" i="23"/>
  <c r="P9" i="23"/>
  <c r="O9" i="23"/>
  <c r="N9" i="23"/>
  <c r="M9" i="23"/>
  <c r="L9" i="23"/>
  <c r="J9" i="23"/>
  <c r="I9" i="23"/>
  <c r="H9" i="23"/>
  <c r="G9" i="23"/>
  <c r="F9" i="23"/>
  <c r="E9" i="23"/>
  <c r="A9" i="23"/>
  <c r="BO8" i="23"/>
  <c r="BN8" i="23"/>
  <c r="BM8" i="23"/>
  <c r="BL8" i="23"/>
  <c r="BK8" i="23"/>
  <c r="BJ8" i="23"/>
  <c r="BI8" i="23"/>
  <c r="BH8" i="23"/>
  <c r="BG8" i="23"/>
  <c r="BF8" i="23"/>
  <c r="BE8" i="23"/>
  <c r="BD8" i="23"/>
  <c r="BB8" i="23"/>
  <c r="BA8" i="23"/>
  <c r="AZ8" i="23"/>
  <c r="AY8" i="23"/>
  <c r="AX8" i="23"/>
  <c r="AV8" i="23"/>
  <c r="AU8" i="23"/>
  <c r="AT8" i="23"/>
  <c r="AS8" i="23"/>
  <c r="AR8" i="23"/>
  <c r="AQ8" i="23"/>
  <c r="AP8" i="23"/>
  <c r="AO8" i="23"/>
  <c r="AM8" i="23"/>
  <c r="AL8" i="23"/>
  <c r="AK8" i="23"/>
  <c r="AJ8" i="23"/>
  <c r="AI8" i="23"/>
  <c r="AG8" i="23"/>
  <c r="AD8" i="23"/>
  <c r="Z8" i="23"/>
  <c r="Y8" i="23"/>
  <c r="W8" i="23"/>
  <c r="V8" i="23"/>
  <c r="U8" i="23"/>
  <c r="S8" i="23"/>
  <c r="R8" i="23"/>
  <c r="Q8" i="23"/>
  <c r="P8" i="23"/>
  <c r="O8" i="23"/>
  <c r="N8" i="23"/>
  <c r="M8" i="23"/>
  <c r="L8" i="23"/>
  <c r="J8" i="23"/>
  <c r="I8" i="23"/>
  <c r="H8" i="23"/>
  <c r="G8" i="23"/>
  <c r="F8" i="23"/>
  <c r="E8" i="23"/>
  <c r="A8" i="23"/>
  <c r="AV7" i="23"/>
  <c r="AU7" i="23"/>
  <c r="AT7" i="23"/>
  <c r="AS7" i="23"/>
  <c r="AR7" i="23"/>
  <c r="AQ7" i="23"/>
  <c r="AP7" i="23"/>
  <c r="AO7" i="23"/>
  <c r="J7" i="23"/>
  <c r="I7" i="23"/>
  <c r="H7" i="23"/>
  <c r="G7" i="23"/>
  <c r="F7" i="23"/>
  <c r="E7" i="23"/>
  <c r="BO4" i="23"/>
  <c r="BN4" i="23"/>
  <c r="BM4" i="23"/>
  <c r="BL4" i="23"/>
  <c r="BK4" i="23"/>
  <c r="BJ4" i="23"/>
  <c r="BI4" i="23"/>
  <c r="BH4" i="23"/>
  <c r="BG4" i="23"/>
  <c r="BF4" i="23"/>
  <c r="BE4" i="23"/>
  <c r="AZ4" i="23"/>
  <c r="AY4" i="23"/>
  <c r="AW4" i="23"/>
  <c r="AV4" i="23"/>
  <c r="AU4" i="23"/>
  <c r="Z4" i="23"/>
  <c r="Y4" i="23"/>
  <c r="X4" i="23"/>
  <c r="G4" i="23"/>
  <c r="R19" i="16"/>
  <c r="F15" i="16"/>
  <c r="H7" i="16"/>
  <c r="E22" i="16" s="1"/>
  <c r="N67" i="22"/>
  <c r="M67" i="22"/>
  <c r="L67" i="22"/>
  <c r="K67" i="22"/>
  <c r="S66" i="22"/>
  <c r="R66" i="22"/>
  <c r="Q66" i="22"/>
  <c r="P66" i="22"/>
  <c r="O66" i="22"/>
  <c r="N66" i="22"/>
  <c r="M66" i="22"/>
  <c r="L66" i="22"/>
  <c r="K66" i="22"/>
  <c r="J66" i="22"/>
  <c r="I66" i="22"/>
  <c r="H66" i="22"/>
  <c r="G66" i="22"/>
  <c r="F66" i="22"/>
  <c r="E66" i="22"/>
  <c r="D66" i="22"/>
  <c r="S56" i="22"/>
  <c r="R56" i="22"/>
  <c r="Q56" i="22"/>
  <c r="P56" i="22"/>
  <c r="O56" i="22"/>
  <c r="N56" i="22"/>
  <c r="M56" i="22"/>
  <c r="L56" i="22"/>
  <c r="K56" i="22"/>
  <c r="J56" i="22"/>
  <c r="I56" i="22"/>
  <c r="H56" i="22"/>
  <c r="G56" i="22"/>
  <c r="F56" i="22"/>
  <c r="E56" i="22"/>
  <c r="D56" i="22"/>
  <c r="D54" i="22"/>
  <c r="D53" i="22"/>
  <c r="C51" i="22"/>
  <c r="C50" i="22"/>
  <c r="N36" i="22"/>
  <c r="M36" i="22"/>
  <c r="L36" i="22"/>
  <c r="K36" i="22"/>
  <c r="S35" i="22"/>
  <c r="S32" i="22"/>
  <c r="R32" i="22"/>
  <c r="Q32" i="22"/>
  <c r="P32" i="22"/>
  <c r="O32" i="22"/>
  <c r="N32" i="22"/>
  <c r="M32" i="22"/>
  <c r="L32" i="22"/>
  <c r="K32" i="22"/>
  <c r="J32" i="22"/>
  <c r="I32" i="22"/>
  <c r="H32" i="22"/>
  <c r="G32" i="22"/>
  <c r="F32" i="22"/>
  <c r="E32" i="22"/>
  <c r="E31" i="22"/>
  <c r="F31" i="22" s="1"/>
  <c r="G31" i="22" s="1"/>
  <c r="H31" i="22" s="1"/>
  <c r="I31" i="22" s="1"/>
  <c r="J31" i="22" s="1"/>
  <c r="K31" i="22" s="1"/>
  <c r="L31" i="22" s="1"/>
  <c r="M31" i="22" s="1"/>
  <c r="N31" i="22" s="1"/>
  <c r="O31" i="22" s="1"/>
  <c r="P31" i="22" s="1"/>
  <c r="Q31" i="22" s="1"/>
  <c r="R31" i="22" s="1"/>
  <c r="S31" i="22" s="1"/>
  <c r="C30" i="22"/>
  <c r="S26" i="22"/>
  <c r="R26" i="22"/>
  <c r="Q26" i="22"/>
  <c r="P26" i="22"/>
  <c r="O26" i="22"/>
  <c r="N26" i="22"/>
  <c r="M26" i="22"/>
  <c r="L26" i="22"/>
  <c r="K26" i="22"/>
  <c r="J26" i="22"/>
  <c r="I26" i="22"/>
  <c r="H26" i="22"/>
  <c r="G26" i="22"/>
  <c r="F26" i="22"/>
  <c r="S25" i="22"/>
  <c r="R25" i="22"/>
  <c r="Q25" i="22"/>
  <c r="P25" i="22"/>
  <c r="O25" i="22"/>
  <c r="N25" i="22"/>
  <c r="M25" i="22"/>
  <c r="L25" i="22"/>
  <c r="K25" i="22"/>
  <c r="J25" i="22"/>
  <c r="I25" i="22"/>
  <c r="H25" i="22"/>
  <c r="G25" i="22"/>
  <c r="F25" i="22"/>
  <c r="L18" i="22"/>
  <c r="L17" i="22"/>
  <c r="L20" i="22" s="1"/>
  <c r="M15" i="22" s="1"/>
  <c r="L15" i="22"/>
  <c r="E5" i="22"/>
  <c r="D5" i="22"/>
  <c r="P39" i="20"/>
  <c r="I38" i="20"/>
  <c r="L38" i="20" s="1"/>
  <c r="K35" i="20"/>
  <c r="D35" i="20"/>
  <c r="K34" i="20"/>
  <c r="D34" i="20"/>
  <c r="J34" i="20" s="1"/>
  <c r="D33" i="20"/>
  <c r="J33" i="20" s="1"/>
  <c r="D32" i="20"/>
  <c r="J32" i="20" s="1"/>
  <c r="D31" i="20"/>
  <c r="J31" i="20" s="1"/>
  <c r="D30" i="20"/>
  <c r="J30" i="20" s="1"/>
  <c r="L29" i="20"/>
  <c r="E16" i="20"/>
  <c r="Q12" i="20"/>
  <c r="H47" i="3"/>
  <c r="H46" i="3"/>
  <c r="H45" i="3"/>
  <c r="E45" i="3"/>
  <c r="H44" i="3"/>
  <c r="A44" i="3"/>
  <c r="H41" i="3"/>
  <c r="A41" i="3"/>
  <c r="H8" i="3"/>
  <c r="A9" i="2"/>
  <c r="A8" i="2"/>
  <c r="A7" i="2"/>
  <c r="A6" i="2"/>
  <c r="A5" i="2"/>
  <c r="B12" i="13"/>
  <c r="B11" i="13"/>
  <c r="B6" i="13"/>
  <c r="B4" i="13"/>
  <c r="B2" i="13"/>
  <c r="J30" i="8"/>
  <c r="Z3" i="24" s="1"/>
  <c r="G30" i="8"/>
  <c r="F20" i="8"/>
  <c r="G20" i="8" s="1"/>
  <c r="G19" i="8" s="1"/>
  <c r="J18" i="8"/>
  <c r="I18" i="8"/>
  <c r="G18" i="8"/>
  <c r="F18" i="8"/>
  <c r="E14" i="8"/>
  <c r="AA12" i="8" s="1"/>
  <c r="A9" i="8"/>
  <c r="A7" i="8"/>
  <c r="R91" i="4"/>
  <c r="C91" i="4"/>
  <c r="F88" i="4"/>
  <c r="L84" i="4"/>
  <c r="I79" i="4"/>
  <c r="L79" i="4" s="1"/>
  <c r="I78" i="4"/>
  <c r="L78" i="4" s="1"/>
  <c r="I57" i="4"/>
  <c r="L57" i="4" s="1"/>
  <c r="I52" i="4"/>
  <c r="L52" i="4" s="1"/>
  <c r="I12" i="22" s="1"/>
  <c r="F14" i="16" s="1"/>
  <c r="I51" i="4"/>
  <c r="L51" i="4" s="1"/>
  <c r="I11" i="22" s="1"/>
  <c r="F13" i="16" s="1"/>
  <c r="I50" i="4"/>
  <c r="L50" i="4" s="1"/>
  <c r="I10" i="22" s="1"/>
  <c r="F12" i="16" s="1"/>
  <c r="I49" i="4"/>
  <c r="L49" i="4" s="1"/>
  <c r="I9" i="22" s="1"/>
  <c r="F11" i="16" s="1"/>
  <c r="L48" i="4"/>
  <c r="I8" i="22" s="1"/>
  <c r="F10" i="16" s="1"/>
  <c r="I48" i="4"/>
  <c r="I47" i="4"/>
  <c r="L47" i="4" s="1"/>
  <c r="I7" i="22" s="1"/>
  <c r="F9" i="16" s="1"/>
  <c r="H5" i="16" s="1"/>
  <c r="L20" i="16" s="1"/>
  <c r="I46" i="4"/>
  <c r="L46" i="4" s="1"/>
  <c r="I6" i="22" s="1"/>
  <c r="F8" i="16" s="1"/>
  <c r="I45" i="4"/>
  <c r="L45" i="4" s="1"/>
  <c r="S43" i="4"/>
  <c r="I42" i="4" s="1"/>
  <c r="S42" i="4"/>
  <c r="I41" i="4" s="1"/>
  <c r="L41" i="4" s="1"/>
  <c r="S41" i="4"/>
  <c r="I40" i="4" s="1"/>
  <c r="L40" i="4" s="1"/>
  <c r="S40" i="4"/>
  <c r="I39" i="4" s="1"/>
  <c r="L39" i="4" s="1"/>
  <c r="S38" i="4"/>
  <c r="I37" i="4" s="1"/>
  <c r="L37" i="4" s="1"/>
  <c r="D38" i="4"/>
  <c r="S39" i="4" s="1"/>
  <c r="I38" i="4" s="1"/>
  <c r="L38" i="4" s="1"/>
  <c r="S37" i="4"/>
  <c r="I36" i="4" s="1"/>
  <c r="L36" i="4" s="1"/>
  <c r="S36" i="4"/>
  <c r="I35" i="4" s="1"/>
  <c r="L35" i="4" s="1"/>
  <c r="S35" i="4"/>
  <c r="I34" i="4" s="1"/>
  <c r="L34" i="4" s="1"/>
  <c r="S34" i="4"/>
  <c r="I33" i="4" s="1"/>
  <c r="L33" i="4" s="1"/>
  <c r="S33" i="4"/>
  <c r="I32" i="4" s="1"/>
  <c r="L32" i="4" s="1"/>
  <c r="S32" i="4"/>
  <c r="I31" i="4" s="1"/>
  <c r="L31" i="4" s="1"/>
  <c r="S31" i="4"/>
  <c r="I30" i="4" s="1"/>
  <c r="L30" i="4" s="1"/>
  <c r="S30" i="4"/>
  <c r="I29" i="4" s="1"/>
  <c r="L29" i="4" s="1"/>
  <c r="D29" i="4"/>
  <c r="K32" i="20" s="1"/>
  <c r="Q22" i="4"/>
  <c r="H22" i="4" s="1"/>
  <c r="K17" i="4"/>
  <c r="E16" i="4"/>
  <c r="C14" i="4"/>
  <c r="P85" i="4" s="1"/>
  <c r="I85" i="4" s="1"/>
  <c r="S3" i="24" s="1"/>
  <c r="B4" i="20"/>
  <c r="C49" i="20" s="1"/>
  <c r="L34" i="20" l="1"/>
  <c r="K30" i="20"/>
  <c r="L30" i="20" s="1"/>
  <c r="K33" i="20"/>
  <c r="L53" i="4"/>
  <c r="L42" i="4"/>
  <c r="L43" i="4" s="1"/>
  <c r="J35" i="20"/>
  <c r="L35" i="20" s="1"/>
  <c r="I5" i="22"/>
  <c r="F7" i="16" s="1"/>
  <c r="K31" i="20"/>
  <c r="L31" i="20" s="1"/>
  <c r="U3" i="24" s="1"/>
  <c r="AB12" i="8"/>
  <c r="F19" i="8"/>
  <c r="I20" i="8"/>
  <c r="I19" i="8" s="1"/>
  <c r="C32" i="22"/>
  <c r="J47" i="22"/>
  <c r="O47" i="22" s="1"/>
  <c r="X12" i="8"/>
  <c r="Y12" i="8"/>
  <c r="Z12" i="8"/>
  <c r="M18" i="22"/>
  <c r="O36" i="22" s="1"/>
  <c r="M17" i="22"/>
  <c r="L19" i="22"/>
  <c r="I39" i="20"/>
  <c r="L33" i="20"/>
  <c r="W3" i="24" s="1"/>
  <c r="A2" i="8"/>
  <c r="F34" i="8" s="1"/>
  <c r="F22" i="16"/>
  <c r="C31" i="22"/>
  <c r="G13" i="20"/>
  <c r="L32" i="20"/>
  <c r="V3" i="24" s="1"/>
  <c r="L13" i="20"/>
  <c r="Q20" i="16"/>
  <c r="Q19" i="16" s="1"/>
  <c r="R35" i="22" s="1"/>
  <c r="G22" i="16"/>
  <c r="H22" i="16"/>
  <c r="D20" i="16"/>
  <c r="I22" i="16"/>
  <c r="E20" i="16"/>
  <c r="J22" i="16"/>
  <c r="F20" i="16"/>
  <c r="K22" i="16"/>
  <c r="G20" i="16"/>
  <c r="L22" i="16"/>
  <c r="L19" i="16" s="1"/>
  <c r="M35" i="22" s="1"/>
  <c r="I20" i="16"/>
  <c r="M22" i="16"/>
  <c r="M19" i="16" s="1"/>
  <c r="N35" i="22" s="1"/>
  <c r="J20" i="16"/>
  <c r="K20" i="16"/>
  <c r="D22" i="16"/>
  <c r="I4" i="22" l="1"/>
  <c r="L69" i="4"/>
  <c r="Q53" i="4"/>
  <c r="J20" i="8"/>
  <c r="O67" i="22"/>
  <c r="M19" i="22"/>
  <c r="M20" i="22"/>
  <c r="N15" i="22" s="1"/>
  <c r="T3" i="24"/>
  <c r="I14" i="8"/>
  <c r="I13" i="8" s="1"/>
  <c r="L36" i="20"/>
  <c r="N36" i="20" s="1"/>
  <c r="N20" i="16"/>
  <c r="N19" i="16" s="1"/>
  <c r="O35" i="22" s="1"/>
  <c r="F14" i="8"/>
  <c r="L71" i="4"/>
  <c r="L54" i="4"/>
  <c r="L68" i="4"/>
  <c r="L64" i="4"/>
  <c r="L62" i="4"/>
  <c r="L65" i="4"/>
  <c r="L63" i="4"/>
  <c r="L74" i="4"/>
  <c r="L61" i="4"/>
  <c r="L73" i="4"/>
  <c r="K19" i="16"/>
  <c r="L35" i="22" s="1"/>
  <c r="P20" i="16"/>
  <c r="P19" i="16" s="1"/>
  <c r="Q35" i="22" s="1"/>
  <c r="O20" i="16"/>
  <c r="O19" i="16" s="1"/>
  <c r="P35" i="22" s="1"/>
  <c r="F6" i="16" l="1"/>
  <c r="D49" i="22"/>
  <c r="X3" i="24"/>
  <c r="AD3" i="24" s="1"/>
  <c r="N18" i="22"/>
  <c r="P36" i="22" s="1"/>
  <c r="N17" i="22"/>
  <c r="I17" i="8"/>
  <c r="J17" i="8" s="1"/>
  <c r="J16" i="8" s="1"/>
  <c r="J21" i="8"/>
  <c r="J19" i="8" s="1"/>
  <c r="I25" i="8"/>
  <c r="J25" i="8" s="1"/>
  <c r="J14" i="8"/>
  <c r="J13" i="8" s="1"/>
  <c r="L55" i="4"/>
  <c r="F13" i="8"/>
  <c r="F17" i="8"/>
  <c r="G14" i="8"/>
  <c r="G13" i="8" s="1"/>
  <c r="L56" i="4"/>
  <c r="P67" i="22" l="1"/>
  <c r="N19" i="22"/>
  <c r="N20" i="22"/>
  <c r="O15" i="22" s="1"/>
  <c r="I16" i="8"/>
  <c r="L72" i="4"/>
  <c r="N13" i="8"/>
  <c r="M12" i="8" s="1"/>
  <c r="O13" i="8" s="1"/>
  <c r="I23" i="8"/>
  <c r="J23" i="8" s="1"/>
  <c r="I24" i="8"/>
  <c r="J24" i="8" s="1"/>
  <c r="F16" i="8"/>
  <c r="G17" i="8"/>
  <c r="G16" i="8" s="1"/>
  <c r="F22" i="8"/>
  <c r="G22" i="8" s="1"/>
  <c r="L13" i="8"/>
  <c r="L75" i="4"/>
  <c r="L76" i="4"/>
  <c r="O18" i="22" l="1"/>
  <c r="Q36" i="22" s="1"/>
  <c r="O17" i="22"/>
  <c r="L70" i="4"/>
  <c r="L81" i="4" s="1"/>
  <c r="L80" i="4" s="1"/>
  <c r="J22" i="8"/>
  <c r="N14" i="8"/>
  <c r="O14" i="8"/>
  <c r="P13" i="8"/>
  <c r="G26" i="8"/>
  <c r="J26" i="8" l="1"/>
  <c r="Q67" i="22"/>
  <c r="O19" i="22"/>
  <c r="O20" i="22"/>
  <c r="P15" i="22" s="1"/>
  <c r="I3" i="22"/>
  <c r="I2" i="22" s="1"/>
  <c r="L82" i="4"/>
  <c r="F1" i="22" s="1"/>
  <c r="Q13" i="8"/>
  <c r="P14" i="8"/>
  <c r="P18" i="22" l="1"/>
  <c r="R36" i="22" s="1"/>
  <c r="F5" i="16"/>
  <c r="F4" i="16" s="1"/>
  <c r="AF3" i="24"/>
  <c r="D48" i="22"/>
  <c r="D47" i="22" s="1"/>
  <c r="D57" i="22" s="1"/>
  <c r="Q14" i="8"/>
  <c r="R13" i="8"/>
  <c r="P34" i="22"/>
  <c r="O34" i="22"/>
  <c r="N34" i="22"/>
  <c r="F5" i="22"/>
  <c r="Q34" i="22"/>
  <c r="M34" i="22"/>
  <c r="E34" i="22"/>
  <c r="L34" i="22"/>
  <c r="H34" i="22"/>
  <c r="K34" i="22"/>
  <c r="J34" i="22"/>
  <c r="F4" i="22"/>
  <c r="I34" i="22"/>
  <c r="S34" i="22"/>
  <c r="G34" i="22"/>
  <c r="R34" i="22"/>
  <c r="F34" i="22"/>
  <c r="E1" i="22"/>
  <c r="P17" i="22" l="1"/>
  <c r="H6" i="16"/>
  <c r="I21" i="16" s="1"/>
  <c r="I19" i="16" s="1"/>
  <c r="J35" i="22" s="1"/>
  <c r="D50" i="22"/>
  <c r="D68" i="22" s="1"/>
  <c r="D69" i="22" s="1"/>
  <c r="D51" i="22"/>
  <c r="E17" i="22" s="1"/>
  <c r="D59" i="22"/>
  <c r="D60" i="22" s="1"/>
  <c r="D58" i="22"/>
  <c r="R14" i="8"/>
  <c r="S13" i="8"/>
  <c r="C34" i="22"/>
  <c r="R67" i="22" l="1"/>
  <c r="P19" i="22"/>
  <c r="P20" i="22"/>
  <c r="Q15" i="22" s="1"/>
  <c r="J21" i="16"/>
  <c r="J19" i="16" s="1"/>
  <c r="K35" i="22" s="1"/>
  <c r="H17" i="22"/>
  <c r="J67" i="22" s="1"/>
  <c r="D70" i="22"/>
  <c r="D71" i="22" s="1"/>
  <c r="G21" i="16"/>
  <c r="G19" i="16" s="1"/>
  <c r="H35" i="22" s="1"/>
  <c r="D21" i="16"/>
  <c r="D19" i="16" s="1"/>
  <c r="E35" i="22" s="1"/>
  <c r="E21" i="16"/>
  <c r="E19" i="16" s="1"/>
  <c r="F35" i="22" s="1"/>
  <c r="F21" i="16"/>
  <c r="F19" i="16" s="1"/>
  <c r="G35" i="22" s="1"/>
  <c r="H21" i="16"/>
  <c r="H19" i="16" s="1"/>
  <c r="I35" i="22" s="1"/>
  <c r="C17" i="22"/>
  <c r="E67" i="22" s="1"/>
  <c r="C15" i="22"/>
  <c r="C18" i="22" s="1"/>
  <c r="E36" i="22" s="1"/>
  <c r="F17" i="22"/>
  <c r="H67" i="22" s="1"/>
  <c r="G17" i="22"/>
  <c r="I67" i="22" s="1"/>
  <c r="D17" i="22"/>
  <c r="F67" i="22" s="1"/>
  <c r="S14" i="8"/>
  <c r="T13" i="8"/>
  <c r="G67" i="22"/>
  <c r="Q18" i="22" l="1"/>
  <c r="S36" i="22" s="1"/>
  <c r="C35" i="22"/>
  <c r="C20" i="22"/>
  <c r="D15" i="22" s="1"/>
  <c r="D20" i="22" s="1"/>
  <c r="E15" i="22" s="1"/>
  <c r="C19" i="22"/>
  <c r="T14" i="8"/>
  <c r="U13" i="8"/>
  <c r="U14" i="8" s="1"/>
  <c r="M14" i="8" s="1"/>
  <c r="M15" i="8" s="1"/>
  <c r="Q17" i="22" l="1"/>
  <c r="D18" i="22"/>
  <c r="F36" i="22" s="1"/>
  <c r="F27" i="8"/>
  <c r="G27" i="8" s="1"/>
  <c r="G28" i="8" s="1"/>
  <c r="G31" i="8" s="1"/>
  <c r="G29" i="8" s="1"/>
  <c r="I27" i="8"/>
  <c r="J27" i="8" s="1"/>
  <c r="E20" i="22"/>
  <c r="F15" i="22" s="1"/>
  <c r="E18" i="22"/>
  <c r="Q19" i="22" l="1"/>
  <c r="S67" i="22"/>
  <c r="Q20" i="22"/>
  <c r="D19" i="22"/>
  <c r="J28" i="8"/>
  <c r="J29" i="8" s="1"/>
  <c r="Y3" i="24" s="1"/>
  <c r="AA3" i="24" s="1"/>
  <c r="G36" i="22"/>
  <c r="E19" i="22"/>
  <c r="F20" i="22"/>
  <c r="G15" i="22" s="1"/>
  <c r="F18" i="22"/>
  <c r="J31" i="8" l="1"/>
  <c r="H25" i="4" s="1"/>
  <c r="G25" i="4" s="1"/>
  <c r="H36" i="22"/>
  <c r="F19" i="22"/>
  <c r="G20" i="22"/>
  <c r="H15" i="22" s="1"/>
  <c r="G18" i="22"/>
  <c r="E91" i="4" l="1"/>
  <c r="S91" i="4" s="1"/>
  <c r="O27" i="22"/>
  <c r="O33" i="22" s="1"/>
  <c r="O29" i="22" s="1"/>
  <c r="O28" i="22" s="1"/>
  <c r="O37" i="22" s="1"/>
  <c r="O38" i="22" s="1"/>
  <c r="O39" i="22" s="1"/>
  <c r="O40" i="22" s="1"/>
  <c r="G27" i="22"/>
  <c r="G33" i="22" s="1"/>
  <c r="G29" i="22" s="1"/>
  <c r="G28" i="22" s="1"/>
  <c r="G37" i="22" s="1"/>
  <c r="G38" i="22" s="1"/>
  <c r="G39" i="22" s="1"/>
  <c r="G40" i="22" s="1"/>
  <c r="G57" i="22" s="1"/>
  <c r="G59" i="22" s="1"/>
  <c r="N27" i="22"/>
  <c r="N33" i="22" s="1"/>
  <c r="N29" i="22" s="1"/>
  <c r="N28" i="22" s="1"/>
  <c r="N37" i="22" s="1"/>
  <c r="N38" i="22" s="1"/>
  <c r="N39" i="22" s="1"/>
  <c r="N40" i="22" s="1"/>
  <c r="R27" i="22"/>
  <c r="R33" i="22" s="1"/>
  <c r="R29" i="22" s="1"/>
  <c r="R28" i="22" s="1"/>
  <c r="R37" i="22" s="1"/>
  <c r="R38" i="22" s="1"/>
  <c r="R39" i="22" s="1"/>
  <c r="R40" i="22" s="1"/>
  <c r="M27" i="22"/>
  <c r="M33" i="22" s="1"/>
  <c r="M29" i="22" s="1"/>
  <c r="M28" i="22" s="1"/>
  <c r="M37" i="22" s="1"/>
  <c r="M38" i="22" s="1"/>
  <c r="M39" i="22" s="1"/>
  <c r="M40" i="22" s="1"/>
  <c r="I27" i="22"/>
  <c r="I33" i="22" s="1"/>
  <c r="I29" i="22" s="1"/>
  <c r="E27" i="22"/>
  <c r="S27" i="22"/>
  <c r="S33" i="22" s="1"/>
  <c r="S29" i="22" s="1"/>
  <c r="S28" i="22" s="1"/>
  <c r="S37" i="22" s="1"/>
  <c r="S38" i="22" s="1"/>
  <c r="S39" i="22" s="1"/>
  <c r="S40" i="22" s="1"/>
  <c r="L27" i="22"/>
  <c r="K27" i="22"/>
  <c r="K33" i="22" s="1"/>
  <c r="K29" i="22" s="1"/>
  <c r="K28" i="22" s="1"/>
  <c r="K37" i="22" s="1"/>
  <c r="K38" i="22" s="1"/>
  <c r="K39" i="22" s="1"/>
  <c r="K40" i="22" s="1"/>
  <c r="H27" i="22"/>
  <c r="H33" i="22" s="1"/>
  <c r="H29" i="22" s="1"/>
  <c r="H28" i="22" s="1"/>
  <c r="H37" i="22" s="1"/>
  <c r="P27" i="22"/>
  <c r="P33" i="22" s="1"/>
  <c r="P29" i="22" s="1"/>
  <c r="P28" i="22" s="1"/>
  <c r="P37" i="22" s="1"/>
  <c r="P38" i="22" s="1"/>
  <c r="P39" i="22" s="1"/>
  <c r="P40" i="22" s="1"/>
  <c r="J27" i="22"/>
  <c r="J33" i="22" s="1"/>
  <c r="J29" i="22" s="1"/>
  <c r="F27" i="22"/>
  <c r="F33" i="22" s="1"/>
  <c r="F29" i="22" s="1"/>
  <c r="F28" i="22" s="1"/>
  <c r="F37" i="22" s="1"/>
  <c r="Q27" i="22"/>
  <c r="Q33" i="22" s="1"/>
  <c r="Q29" i="22" s="1"/>
  <c r="Q28" i="22" s="1"/>
  <c r="Q37" i="22" s="1"/>
  <c r="Q38" i="22" s="1"/>
  <c r="Q39" i="22" s="1"/>
  <c r="Q40" i="22" s="1"/>
  <c r="H20" i="22"/>
  <c r="H18" i="22"/>
  <c r="I36" i="22"/>
  <c r="G19" i="22"/>
  <c r="G41" i="22" l="1"/>
  <c r="G68" i="22"/>
  <c r="G70" i="22" s="1"/>
  <c r="I28" i="22"/>
  <c r="I37" i="22" s="1"/>
  <c r="I38" i="22" s="1"/>
  <c r="I39" i="22" s="1"/>
  <c r="I40" i="22" s="1"/>
  <c r="G43" i="22"/>
  <c r="K57" i="22"/>
  <c r="K59" i="22" s="1"/>
  <c r="K41" i="22"/>
  <c r="K43" i="22"/>
  <c r="K68" i="22"/>
  <c r="K70" i="22" s="1"/>
  <c r="P68" i="22"/>
  <c r="P70" i="22" s="1"/>
  <c r="P57" i="22"/>
  <c r="P59" i="22" s="1"/>
  <c r="P41" i="22"/>
  <c r="P43" i="22"/>
  <c r="L33" i="22"/>
  <c r="L29" i="22" s="1"/>
  <c r="L28" i="22" s="1"/>
  <c r="L37" i="22" s="1"/>
  <c r="S68" i="22"/>
  <c r="S70" i="22" s="1"/>
  <c r="S41" i="22"/>
  <c r="S57" i="22"/>
  <c r="S59" i="22" s="1"/>
  <c r="S43" i="22"/>
  <c r="C27" i="22"/>
  <c r="E33" i="22"/>
  <c r="M68" i="22"/>
  <c r="M70" i="22" s="1"/>
  <c r="M41" i="22"/>
  <c r="M57" i="22"/>
  <c r="M59" i="22" s="1"/>
  <c r="M43" i="22"/>
  <c r="R57" i="22"/>
  <c r="R59" i="22" s="1"/>
  <c r="R41" i="22"/>
  <c r="R68" i="22"/>
  <c r="R70" i="22" s="1"/>
  <c r="R43" i="22"/>
  <c r="N57" i="22"/>
  <c r="N59" i="22" s="1"/>
  <c r="N68" i="22"/>
  <c r="N70" i="22" s="1"/>
  <c r="N41" i="22"/>
  <c r="N43" i="22"/>
  <c r="Q68" i="22"/>
  <c r="Q70" i="22" s="1"/>
  <c r="Q43" i="22"/>
  <c r="Q57" i="22"/>
  <c r="Q59" i="22" s="1"/>
  <c r="Q41" i="22"/>
  <c r="F38" i="22"/>
  <c r="F39" i="22" s="1"/>
  <c r="F40" i="22" s="1"/>
  <c r="O68" i="22"/>
  <c r="O70" i="22" s="1"/>
  <c r="O41" i="22"/>
  <c r="O43" i="22"/>
  <c r="O57" i="22"/>
  <c r="O59" i="22" s="1"/>
  <c r="H38" i="22"/>
  <c r="H39" i="22" s="1"/>
  <c r="H40" i="22" s="1"/>
  <c r="J36" i="22"/>
  <c r="H19" i="22"/>
  <c r="F41" i="22" l="1"/>
  <c r="F57" i="22"/>
  <c r="F59" i="22" s="1"/>
  <c r="F43" i="22"/>
  <c r="F68" i="22"/>
  <c r="F70" i="22" s="1"/>
  <c r="L38" i="22"/>
  <c r="L39" i="22" s="1"/>
  <c r="L40" i="22" s="1"/>
  <c r="E29" i="22"/>
  <c r="C33" i="22"/>
  <c r="I41" i="22"/>
  <c r="I57" i="22"/>
  <c r="I59" i="22" s="1"/>
  <c r="I43" i="22"/>
  <c r="I68" i="22"/>
  <c r="I70" i="22" s="1"/>
  <c r="H68" i="22"/>
  <c r="H70" i="22" s="1"/>
  <c r="H41" i="22"/>
  <c r="H57" i="22"/>
  <c r="H59" i="22" s="1"/>
  <c r="H43" i="22"/>
  <c r="J28" i="22"/>
  <c r="J37" i="22" s="1"/>
  <c r="C36" i="22"/>
  <c r="L43" i="22" l="1"/>
  <c r="L41" i="22"/>
  <c r="L57" i="22"/>
  <c r="L59" i="22" s="1"/>
  <c r="L68" i="22"/>
  <c r="L70" i="22" s="1"/>
  <c r="E28" i="22"/>
  <c r="C29" i="22"/>
  <c r="J38" i="22"/>
  <c r="J39" i="22" s="1"/>
  <c r="J40" i="22" s="1"/>
  <c r="C28" i="22" l="1"/>
  <c r="E37" i="22"/>
  <c r="J41" i="22"/>
  <c r="J57" i="22"/>
  <c r="J59" i="22" s="1"/>
  <c r="J43" i="22"/>
  <c r="J68" i="22"/>
  <c r="J70" i="22" s="1"/>
  <c r="C37" i="22" l="1"/>
  <c r="E38" i="22"/>
  <c r="E39" i="22" l="1"/>
  <c r="C38" i="22"/>
  <c r="C39" i="22" l="1"/>
  <c r="E40" i="22"/>
  <c r="E41" i="22" l="1"/>
  <c r="D41" i="22" s="1"/>
  <c r="D40" i="22"/>
  <c r="E57" i="22"/>
  <c r="E43" i="22"/>
  <c r="E68" i="22"/>
  <c r="C40" i="22"/>
  <c r="E69" i="22" l="1"/>
  <c r="E70" i="22"/>
  <c r="E71" i="22" s="1"/>
  <c r="D73" i="22"/>
  <c r="E88" i="4" s="1"/>
  <c r="AH3" i="24" s="1"/>
  <c r="D43" i="22"/>
  <c r="D45" i="22"/>
  <c r="D44" i="22"/>
  <c r="E90" i="4"/>
  <c r="AJ3" i="24" s="1"/>
  <c r="C43" i="22"/>
  <c r="C45" i="22"/>
  <c r="C44" i="22"/>
  <c r="E58" i="22"/>
  <c r="E59" i="22"/>
  <c r="E60" i="22" s="1"/>
  <c r="D62" i="22"/>
  <c r="E44" i="22"/>
  <c r="C41" i="22"/>
  <c r="F58" i="22" l="1"/>
  <c r="F63" i="22" s="1"/>
  <c r="E63" i="22"/>
  <c r="E64" i="22"/>
  <c r="F60" i="22"/>
  <c r="F71" i="22"/>
  <c r="E75" i="22"/>
  <c r="E74" i="22"/>
  <c r="F69" i="22"/>
  <c r="F74" i="22" l="1"/>
  <c r="G69" i="22"/>
  <c r="G74" i="22" s="1"/>
  <c r="F75" i="22"/>
  <c r="G71" i="22"/>
  <c r="G75" i="22" s="1"/>
  <c r="F64" i="22"/>
  <c r="G60" i="22"/>
  <c r="G58" i="22"/>
  <c r="H58" i="22" s="1"/>
  <c r="G63" i="22" l="1"/>
  <c r="H69" i="22"/>
  <c r="H74" i="22" s="1"/>
  <c r="H71" i="22"/>
  <c r="H75" i="22" s="1"/>
  <c r="G64" i="22"/>
  <c r="H60" i="22"/>
  <c r="H64" i="22" s="1"/>
  <c r="H63" i="22"/>
  <c r="I58" i="22"/>
  <c r="I60" i="22" l="1"/>
  <c r="I64" i="22" s="1"/>
  <c r="I63" i="22"/>
  <c r="J58" i="22"/>
  <c r="I71" i="22"/>
  <c r="I75" i="22" s="1"/>
  <c r="I69" i="22"/>
  <c r="I74" i="22" s="1"/>
  <c r="J69" i="22" l="1"/>
  <c r="J74" i="22" s="1"/>
  <c r="J63" i="22"/>
  <c r="K58" i="22"/>
  <c r="K63" i="22" s="1"/>
  <c r="J60" i="22"/>
  <c r="J64" i="22" s="1"/>
  <c r="J71" i="22"/>
  <c r="J75" i="22" s="1"/>
  <c r="K71" i="22" l="1"/>
  <c r="K75" i="22" s="1"/>
  <c r="K69" i="22"/>
  <c r="K60" i="22"/>
  <c r="L60" i="22" s="1"/>
  <c r="L58" i="22"/>
  <c r="L63" i="22" s="1"/>
  <c r="K64" i="22" l="1"/>
  <c r="L69" i="22"/>
  <c r="L74" i="22" s="1"/>
  <c r="M58" i="22"/>
  <c r="M63" i="22" s="1"/>
  <c r="L64" i="22"/>
  <c r="M60" i="22"/>
  <c r="K74" i="22"/>
  <c r="L71" i="22"/>
  <c r="L75" i="22" s="1"/>
  <c r="M71" i="22" l="1"/>
  <c r="M64" i="22"/>
  <c r="N60" i="22"/>
  <c r="N64" i="22" s="1"/>
  <c r="N58" i="22"/>
  <c r="N63" i="22" s="1"/>
  <c r="M69" i="22"/>
  <c r="M74" i="22" s="1"/>
  <c r="O58" i="22" l="1"/>
  <c r="O63" i="22" s="1"/>
  <c r="N69" i="22"/>
  <c r="O60" i="22"/>
  <c r="N71" i="22"/>
  <c r="M75" i="22"/>
  <c r="P60" i="22" l="1"/>
  <c r="P64" i="22" s="1"/>
  <c r="O71" i="22"/>
  <c r="N75" i="22"/>
  <c r="O69" i="22"/>
  <c r="O74" i="22" s="1"/>
  <c r="O64" i="22"/>
  <c r="N74" i="22"/>
  <c r="P58" i="22"/>
  <c r="P63" i="22" s="1"/>
  <c r="Q58" i="22" l="1"/>
  <c r="R58" i="22" s="1"/>
  <c r="P69" i="22"/>
  <c r="P71" i="22"/>
  <c r="Q71" i="22" s="1"/>
  <c r="O75" i="22"/>
  <c r="Q60" i="22"/>
  <c r="R60" i="22" s="1"/>
  <c r="Q63" i="22" l="1"/>
  <c r="Q64" i="22"/>
  <c r="Q75" i="22"/>
  <c r="R71" i="22"/>
  <c r="R64" i="22"/>
  <c r="S60" i="22"/>
  <c r="D61" i="22" s="1"/>
  <c r="P75" i="22"/>
  <c r="Q69" i="22"/>
  <c r="Q74" i="22" s="1"/>
  <c r="P74" i="22"/>
  <c r="R63" i="22"/>
  <c r="S58" i="22"/>
  <c r="S63" i="22" s="1"/>
  <c r="S64" i="22" l="1"/>
  <c r="D63" i="22"/>
  <c r="D64" i="22"/>
  <c r="S71" i="22"/>
  <c r="D72" i="22" s="1"/>
  <c r="E87" i="4" s="1"/>
  <c r="R69" i="22"/>
  <c r="S69" i="22" s="1"/>
  <c r="S74" i="22" s="1"/>
  <c r="R75" i="22"/>
  <c r="R74" i="22" l="1"/>
  <c r="D74" i="22" s="1"/>
  <c r="E89" i="4" s="1"/>
  <c r="AI3" i="24" s="1"/>
  <c r="AG3" i="24"/>
  <c r="S75" i="22"/>
  <c r="D75" i="22" s="1"/>
  <c r="C92" i="4" l="1"/>
  <c r="AK3" i="24" s="1"/>
</calcChain>
</file>

<file path=xl/comments1.xml><?xml version="1.0" encoding="utf-8"?>
<comments xmlns="http://schemas.openxmlformats.org/spreadsheetml/2006/main">
  <authors>
    <author>hatv34</author>
  </authors>
  <commentList>
    <comment ref="B3" authorId="0" shapeId="0">
      <text>
        <r>
          <rPr>
            <b/>
            <sz val="9"/>
            <color indexed="81"/>
            <rFont val="Tahoma"/>
            <family val="2"/>
          </rPr>
          <t>hatv34:</t>
        </r>
        <r>
          <rPr>
            <sz val="9"/>
            <color indexed="81"/>
            <rFont val="Tahoma"/>
            <family val="2"/>
          </rPr>
          <t xml:space="preserve">
số liệu cập nhật Tháng 1/2020
</t>
        </r>
      </text>
    </comment>
    <comment ref="B8" authorId="0" shapeId="0">
      <text>
        <r>
          <rPr>
            <b/>
            <sz val="9"/>
            <color indexed="81"/>
            <rFont val="Tahoma"/>
            <family val="2"/>
          </rPr>
          <t>hatv34:</t>
        </r>
        <r>
          <rPr>
            <sz val="9"/>
            <color indexed="81"/>
            <rFont val="Tahoma"/>
            <family val="2"/>
          </rPr>
          <t xml:space="preserve">Cập nhật số liệu Tháng 1/2020
</t>
        </r>
      </text>
    </comment>
  </commentList>
</comments>
</file>

<file path=xl/comments2.xml><?xml version="1.0" encoding="utf-8"?>
<comments xmlns="http://schemas.openxmlformats.org/spreadsheetml/2006/main">
  <authors>
    <author>Tuyendd1</author>
  </authors>
  <commentList>
    <comment ref="B3" authorId="0" shapeId="0">
      <text>
        <r>
          <rPr>
            <b/>
            <sz val="9"/>
            <color indexed="81"/>
            <rFont val="Tahoma"/>
            <charset val="1"/>
          </rPr>
          <t>Tuyendd1:</t>
        </r>
        <r>
          <rPr>
            <sz val="9"/>
            <color indexed="81"/>
            <rFont val="Tahoma"/>
            <charset val="1"/>
          </rPr>
          <t xml:space="preserve">
Lấy từ D13_Template tram</t>
        </r>
      </text>
    </comment>
    <comment ref="C3" authorId="0" shapeId="0">
      <text>
        <r>
          <rPr>
            <b/>
            <sz val="9"/>
            <color indexed="81"/>
            <rFont val="Tahoma"/>
            <charset val="1"/>
          </rPr>
          <t>Tuyendd1:</t>
        </r>
        <r>
          <rPr>
            <sz val="9"/>
            <color indexed="81"/>
            <rFont val="Tahoma"/>
            <charset val="1"/>
          </rPr>
          <t xml:space="preserve">
Lấy từ C13_Template tram</t>
        </r>
      </text>
    </comment>
    <comment ref="D3" authorId="0" shapeId="0">
      <text>
        <r>
          <rPr>
            <b/>
            <sz val="9"/>
            <color indexed="81"/>
            <rFont val="Tahoma"/>
            <charset val="1"/>
          </rPr>
          <t>Tuyendd1:</t>
        </r>
        <r>
          <rPr>
            <sz val="9"/>
            <color indexed="81"/>
            <rFont val="Tahoma"/>
            <charset val="1"/>
          </rPr>
          <t xml:space="preserve">
H16_Template tram</t>
        </r>
      </text>
    </comment>
    <comment ref="E3" authorId="0" shapeId="0">
      <text>
        <r>
          <rPr>
            <b/>
            <sz val="9"/>
            <color indexed="81"/>
            <rFont val="Tahoma"/>
            <charset val="1"/>
          </rPr>
          <t>Tuyendd1:</t>
        </r>
        <r>
          <rPr>
            <sz val="9"/>
            <color indexed="81"/>
            <rFont val="Tahoma"/>
            <charset val="1"/>
          </rPr>
          <t xml:space="preserve">
Lấy từ I16_Template tram</t>
        </r>
      </text>
    </comment>
    <comment ref="F3" authorId="0" shapeId="0">
      <text>
        <r>
          <rPr>
            <b/>
            <sz val="9"/>
            <color indexed="81"/>
            <rFont val="Tahoma"/>
            <charset val="1"/>
          </rPr>
          <t>Tuyendd1:</t>
        </r>
        <r>
          <rPr>
            <sz val="9"/>
            <color indexed="81"/>
            <rFont val="Tahoma"/>
            <charset val="1"/>
          </rPr>
          <t xml:space="preserve">
Lấy từ H17_Template tram</t>
        </r>
      </text>
    </comment>
    <comment ref="G3" authorId="0" shapeId="0">
      <text>
        <r>
          <rPr>
            <b/>
            <sz val="9"/>
            <color indexed="81"/>
            <rFont val="Tahoma"/>
            <charset val="1"/>
          </rPr>
          <t>Tuyendd1:</t>
        </r>
        <r>
          <rPr>
            <sz val="9"/>
            <color indexed="81"/>
            <rFont val="Tahoma"/>
            <charset val="1"/>
          </rPr>
          <t xml:space="preserve">
Lấy từ Q20_Template tram</t>
        </r>
      </text>
    </comment>
    <comment ref="H3" authorId="0" shapeId="0">
      <text>
        <r>
          <rPr>
            <b/>
            <sz val="9"/>
            <color indexed="81"/>
            <rFont val="Tahoma"/>
            <charset val="1"/>
          </rPr>
          <t>Tuyendd1:</t>
        </r>
        <r>
          <rPr>
            <sz val="9"/>
            <color indexed="81"/>
            <rFont val="Tahoma"/>
            <charset val="1"/>
          </rPr>
          <t xml:space="preserve">
Lấy từ Q16_Template tram</t>
        </r>
      </text>
    </comment>
    <comment ref="I3" authorId="0" shapeId="0">
      <text>
        <r>
          <rPr>
            <b/>
            <sz val="9"/>
            <color indexed="81"/>
            <rFont val="Tahoma"/>
            <family val="2"/>
          </rPr>
          <t>Tuyendd1:</t>
        </r>
        <r>
          <rPr>
            <sz val="9"/>
            <color indexed="81"/>
            <rFont val="Tahoma"/>
            <family val="2"/>
          </rPr>
          <t xml:space="preserve">
Lấy từ H13_Template tram</t>
        </r>
      </text>
    </comment>
    <comment ref="J3" authorId="0" shapeId="0">
      <text>
        <r>
          <rPr>
            <b/>
            <sz val="9"/>
            <color indexed="81"/>
            <rFont val="Tahoma"/>
            <family val="2"/>
          </rPr>
          <t>Tuyendd1:</t>
        </r>
        <r>
          <rPr>
            <sz val="9"/>
            <color indexed="81"/>
            <rFont val="Tahoma"/>
            <family val="2"/>
          </rPr>
          <t xml:space="preserve">
Lấy từ D30_Template tram</t>
        </r>
      </text>
    </comment>
    <comment ref="K3" authorId="0" shapeId="0">
      <text>
        <r>
          <rPr>
            <b/>
            <sz val="9"/>
            <color indexed="81"/>
            <rFont val="Tahoma"/>
            <family val="2"/>
          </rPr>
          <t>Tuyendd1:</t>
        </r>
        <r>
          <rPr>
            <sz val="9"/>
            <color indexed="81"/>
            <rFont val="Tahoma"/>
            <family val="2"/>
          </rPr>
          <t xml:space="preserve">
Lấy từ J13_Template tram</t>
        </r>
      </text>
    </comment>
    <comment ref="L3" authorId="0" shapeId="0">
      <text>
        <r>
          <rPr>
            <b/>
            <sz val="9"/>
            <color indexed="81"/>
            <rFont val="Tahoma"/>
            <family val="2"/>
          </rPr>
          <t>Tuyendd1:</t>
        </r>
        <r>
          <rPr>
            <sz val="9"/>
            <color indexed="81"/>
            <rFont val="Tahoma"/>
            <family val="2"/>
          </rPr>
          <t xml:space="preserve">
Lấy từ D33_Template tram</t>
        </r>
      </text>
    </comment>
    <comment ref="M3" authorId="0" shapeId="0">
      <text>
        <r>
          <rPr>
            <b/>
            <sz val="9"/>
            <color indexed="81"/>
            <rFont val="Tahoma"/>
            <family val="2"/>
          </rPr>
          <t>Tuyendd1:</t>
        </r>
        <r>
          <rPr>
            <sz val="9"/>
            <color indexed="81"/>
            <rFont val="Tahoma"/>
            <family val="2"/>
          </rPr>
          <t xml:space="preserve">
Lấy từ D34_Template tram</t>
        </r>
      </text>
    </comment>
    <comment ref="N3" authorId="0" shapeId="0">
      <text>
        <r>
          <rPr>
            <b/>
            <sz val="9"/>
            <color indexed="81"/>
            <rFont val="Tahoma"/>
            <family val="2"/>
          </rPr>
          <t>Tuyendd1:</t>
        </r>
        <r>
          <rPr>
            <sz val="9"/>
            <color indexed="81"/>
            <rFont val="Tahoma"/>
            <family val="2"/>
          </rPr>
          <t xml:space="preserve">
Lấy từ H14_Template tram</t>
        </r>
      </text>
    </comment>
    <comment ref="O3" authorId="0" shapeId="0">
      <text>
        <r>
          <rPr>
            <b/>
            <sz val="9"/>
            <color indexed="81"/>
            <rFont val="Tahoma"/>
            <family val="2"/>
          </rPr>
          <t>Tuyendd1:</t>
        </r>
        <r>
          <rPr>
            <sz val="9"/>
            <color indexed="81"/>
            <rFont val="Tahoma"/>
            <family val="2"/>
          </rPr>
          <t xml:space="preserve">
Lấy từ L14_Template tram</t>
        </r>
      </text>
    </comment>
    <comment ref="P3" authorId="0" shapeId="0">
      <text>
        <r>
          <rPr>
            <b/>
            <sz val="9"/>
            <color indexed="81"/>
            <rFont val="Tahoma"/>
            <family val="2"/>
          </rPr>
          <t>Tuyendd1:</t>
        </r>
        <r>
          <rPr>
            <sz val="9"/>
            <color indexed="81"/>
            <rFont val="Tahoma"/>
            <family val="2"/>
          </rPr>
          <t xml:space="preserve">
Lấy từ N14_Template tram</t>
        </r>
      </text>
    </comment>
    <comment ref="Q3" authorId="0" shapeId="0">
      <text>
        <r>
          <rPr>
            <b/>
            <sz val="9"/>
            <color indexed="81"/>
            <rFont val="Tahoma"/>
            <family val="2"/>
          </rPr>
          <t>Tuyendd1:</t>
        </r>
        <r>
          <rPr>
            <sz val="9"/>
            <color indexed="81"/>
            <rFont val="Tahoma"/>
            <family val="2"/>
          </rPr>
          <t xml:space="preserve">
Lấy từ E22_Template tram</t>
        </r>
      </text>
    </comment>
    <comment ref="R3" authorId="0" shapeId="0">
      <text>
        <r>
          <rPr>
            <b/>
            <sz val="9"/>
            <color indexed="81"/>
            <rFont val="Tahoma"/>
            <family val="2"/>
          </rPr>
          <t>Tuyendd1:</t>
        </r>
        <r>
          <rPr>
            <sz val="9"/>
            <color indexed="81"/>
            <rFont val="Tahoma"/>
            <family val="2"/>
          </rPr>
          <t xml:space="preserve">
Lấy từ I84_Template tram </t>
        </r>
      </text>
    </comment>
    <comment ref="S3" authorId="0" shapeId="0">
      <text>
        <r>
          <rPr>
            <b/>
            <sz val="9"/>
            <color indexed="81"/>
            <rFont val="Tahoma"/>
            <family val="2"/>
          </rPr>
          <t>Tuyendd1:</t>
        </r>
        <r>
          <rPr>
            <sz val="9"/>
            <color indexed="81"/>
            <rFont val="Tahoma"/>
            <family val="2"/>
          </rPr>
          <t xml:space="preserve">
Lấy từ I85_Template tram</t>
        </r>
      </text>
    </comment>
    <comment ref="T3" authorId="0" shapeId="0">
      <text>
        <r>
          <rPr>
            <b/>
            <sz val="9"/>
            <color indexed="81"/>
            <rFont val="Tahoma"/>
            <family val="2"/>
          </rPr>
          <t>Tuyendd1:</t>
        </r>
        <r>
          <rPr>
            <sz val="9"/>
            <color indexed="81"/>
            <rFont val="Tahoma"/>
            <family val="2"/>
          </rPr>
          <t xml:space="preserve">
Lấy từ L30_Đầu vào</t>
        </r>
      </text>
    </comment>
    <comment ref="U3" authorId="0" shapeId="0">
      <text>
        <r>
          <rPr>
            <b/>
            <sz val="9"/>
            <color indexed="81"/>
            <rFont val="Tahoma"/>
            <family val="2"/>
          </rPr>
          <t>Tuyendd1:</t>
        </r>
        <r>
          <rPr>
            <sz val="9"/>
            <color indexed="81"/>
            <rFont val="Tahoma"/>
            <family val="2"/>
          </rPr>
          <t xml:space="preserve">
Lấy từ L31_Đầu vào</t>
        </r>
      </text>
    </comment>
    <comment ref="V3" authorId="0" shapeId="0">
      <text>
        <r>
          <rPr>
            <b/>
            <sz val="9"/>
            <color indexed="81"/>
            <rFont val="Tahoma"/>
            <family val="2"/>
          </rPr>
          <t>Tuyendd1:</t>
        </r>
        <r>
          <rPr>
            <sz val="9"/>
            <color indexed="81"/>
            <rFont val="Tahoma"/>
            <family val="2"/>
          </rPr>
          <t xml:space="preserve">
Lấy từ L32_Đầu vào</t>
        </r>
      </text>
    </comment>
    <comment ref="W3" authorId="0" shapeId="0">
      <text>
        <r>
          <rPr>
            <b/>
            <sz val="9"/>
            <color indexed="81"/>
            <rFont val="Tahoma"/>
            <family val="2"/>
          </rPr>
          <t>Tuyendd1:</t>
        </r>
        <r>
          <rPr>
            <sz val="9"/>
            <color indexed="81"/>
            <rFont val="Tahoma"/>
            <family val="2"/>
          </rPr>
          <t xml:space="preserve">
Lấy từ L33_Đầu vào</t>
        </r>
      </text>
    </comment>
    <comment ref="X3" authorId="0" shapeId="0">
      <text>
        <r>
          <rPr>
            <b/>
            <sz val="9"/>
            <color indexed="81"/>
            <rFont val="Tahoma"/>
            <family val="2"/>
          </rPr>
          <t>Tuyendd1:</t>
        </r>
        <r>
          <rPr>
            <sz val="9"/>
            <color indexed="81"/>
            <rFont val="Tahoma"/>
            <family val="2"/>
          </rPr>
          <t xml:space="preserve">
Lấy từ I14_Chào giá</t>
        </r>
      </text>
    </comment>
    <comment ref="Y3" authorId="0" shapeId="0">
      <text>
        <r>
          <rPr>
            <b/>
            <sz val="9"/>
            <color indexed="81"/>
            <rFont val="Tahoma"/>
            <family val="2"/>
          </rPr>
          <t>Tuyendd1:</t>
        </r>
        <r>
          <rPr>
            <sz val="9"/>
            <color indexed="81"/>
            <rFont val="Tahoma"/>
            <family val="2"/>
          </rPr>
          <t xml:space="preserve">
Lấy từ J29_Template tram</t>
        </r>
      </text>
    </comment>
    <comment ref="Z3" authorId="0" shapeId="0">
      <text>
        <r>
          <rPr>
            <b/>
            <sz val="9"/>
            <color indexed="81"/>
            <rFont val="Tahoma"/>
            <family val="2"/>
          </rPr>
          <t xml:space="preserve">Tuyendd1:
</t>
        </r>
        <r>
          <rPr>
            <sz val="9"/>
            <color indexed="81"/>
            <rFont val="Tahoma"/>
            <family val="2"/>
          </rPr>
          <t>Lấy từ J30_Chào giá</t>
        </r>
      </text>
    </comment>
    <comment ref="AA3" authorId="0" shapeId="0">
      <text>
        <r>
          <rPr>
            <b/>
            <sz val="9"/>
            <color indexed="81"/>
            <rFont val="Tahoma"/>
            <family val="2"/>
          </rPr>
          <t>Tuyendd1:</t>
        </r>
        <r>
          <rPr>
            <sz val="9"/>
            <color indexed="81"/>
            <rFont val="Tahoma"/>
            <family val="2"/>
          </rPr>
          <t xml:space="preserve">
Lấy từ J31_chào giá</t>
        </r>
      </text>
    </comment>
    <comment ref="AB3" authorId="0" shapeId="0">
      <text>
        <r>
          <rPr>
            <b/>
            <sz val="9"/>
            <color indexed="81"/>
            <rFont val="Tahoma"/>
            <family val="2"/>
          </rPr>
          <t>Tuyendd1:</t>
        </r>
        <r>
          <rPr>
            <sz val="9"/>
            <color indexed="81"/>
            <rFont val="Tahoma"/>
            <family val="2"/>
          </rPr>
          <t xml:space="preserve">
Lấy điều kiện từ D42_Template tram</t>
        </r>
      </text>
    </comment>
    <comment ref="AC3" authorId="0" shapeId="0">
      <text>
        <r>
          <rPr>
            <b/>
            <sz val="9"/>
            <color indexed="81"/>
            <rFont val="Tahoma"/>
            <family val="2"/>
          </rPr>
          <t>Tuyendd1:</t>
        </r>
      </text>
    </comment>
    <comment ref="AD3" authorId="0" shapeId="0">
      <text>
        <r>
          <rPr>
            <b/>
            <sz val="9"/>
            <color indexed="81"/>
            <rFont val="Tahoma"/>
            <family val="2"/>
          </rPr>
          <t>Tuyendd1:</t>
        </r>
        <r>
          <rPr>
            <sz val="9"/>
            <color indexed="81"/>
            <rFont val="Tahoma"/>
            <family val="2"/>
          </rPr>
          <t xml:space="preserve">
Ngày import</t>
        </r>
      </text>
    </comment>
    <comment ref="AE3" authorId="0" shapeId="0">
      <text>
        <r>
          <rPr>
            <b/>
            <sz val="9"/>
            <color indexed="81"/>
            <rFont val="Tahoma"/>
            <family val="2"/>
          </rPr>
          <t>Tuyendd1:</t>
        </r>
        <r>
          <rPr>
            <sz val="9"/>
            <color indexed="81"/>
            <rFont val="Tahoma"/>
            <family val="2"/>
          </rPr>
          <t xml:space="preserve">
User Import</t>
        </r>
      </text>
    </comment>
    <comment ref="AF3" authorId="0" shapeId="0">
      <text>
        <r>
          <rPr>
            <b/>
            <sz val="9"/>
            <color indexed="81"/>
            <rFont val="Tahoma"/>
            <family val="2"/>
          </rPr>
          <t>Tuyendd1:</t>
        </r>
        <r>
          <rPr>
            <sz val="9"/>
            <color indexed="81"/>
            <rFont val="Tahoma"/>
            <family val="2"/>
          </rPr>
          <t xml:space="preserve">
Lấy từ I3_Hiệu quả</t>
        </r>
      </text>
    </comment>
    <comment ref="AG3" authorId="0" shapeId="0">
      <text>
        <r>
          <rPr>
            <b/>
            <sz val="9"/>
            <color indexed="81"/>
            <rFont val="Tahoma"/>
            <family val="2"/>
          </rPr>
          <t>Tuyendd1:</t>
        </r>
        <r>
          <rPr>
            <sz val="9"/>
            <color indexed="81"/>
            <rFont val="Tahoma"/>
            <family val="2"/>
          </rPr>
          <t xml:space="preserve">
Lấy từ E87_ Template tram</t>
        </r>
      </text>
    </comment>
    <comment ref="AH3" authorId="0" shapeId="0">
      <text>
        <r>
          <rPr>
            <b/>
            <sz val="9"/>
            <color indexed="81"/>
            <rFont val="Tahoma"/>
            <family val="2"/>
          </rPr>
          <t>Tuyendd1:</t>
        </r>
        <r>
          <rPr>
            <sz val="9"/>
            <color indexed="81"/>
            <rFont val="Tahoma"/>
            <family val="2"/>
          </rPr>
          <t xml:space="preserve">
Lấy từ E88_ Template tram</t>
        </r>
      </text>
    </comment>
    <comment ref="AI3" authorId="0" shapeId="0">
      <text>
        <r>
          <rPr>
            <b/>
            <sz val="9"/>
            <color indexed="81"/>
            <rFont val="Tahoma"/>
            <family val="2"/>
          </rPr>
          <t>Tuyendd1:</t>
        </r>
        <r>
          <rPr>
            <sz val="9"/>
            <color indexed="81"/>
            <rFont val="Tahoma"/>
            <family val="2"/>
          </rPr>
          <t xml:space="preserve">
Lấy từ E89_ Template tram</t>
        </r>
      </text>
    </comment>
    <comment ref="AJ3" authorId="0" shapeId="0">
      <text>
        <r>
          <rPr>
            <b/>
            <sz val="9"/>
            <color indexed="81"/>
            <rFont val="Tahoma"/>
            <family val="2"/>
          </rPr>
          <t>Tuyendd1:</t>
        </r>
        <r>
          <rPr>
            <sz val="9"/>
            <color indexed="81"/>
            <rFont val="Tahoma"/>
            <family val="2"/>
          </rPr>
          <t xml:space="preserve">
Lấy từ E90_ Template tram</t>
        </r>
      </text>
    </comment>
    <comment ref="AK3" authorId="0" shapeId="0">
      <text>
        <r>
          <rPr>
            <b/>
            <sz val="9"/>
            <color indexed="81"/>
            <rFont val="Tahoma"/>
            <family val="2"/>
          </rPr>
          <t>Tuyendd1:</t>
        </r>
        <r>
          <rPr>
            <sz val="9"/>
            <color indexed="81"/>
            <rFont val="Tahoma"/>
            <family val="2"/>
          </rPr>
          <t xml:space="preserve">
Lấy từC92_ Template tram</t>
        </r>
      </text>
    </comment>
  </commentList>
</comments>
</file>

<file path=xl/sharedStrings.xml><?xml version="1.0" encoding="utf-8"?>
<sst xmlns="http://schemas.openxmlformats.org/spreadsheetml/2006/main" count="4489" uniqueCount="1826">
  <si>
    <t>I</t>
  </si>
  <si>
    <t>1.1</t>
  </si>
  <si>
    <t>1.2</t>
  </si>
  <si>
    <t>1.3</t>
  </si>
  <si>
    <t>1.4</t>
  </si>
  <si>
    <t>1.5</t>
  </si>
  <si>
    <t>1.6</t>
  </si>
  <si>
    <t>1.7</t>
  </si>
  <si>
    <t>Cột dây co 42m (dưới đất) - 3 co (đất cấp 2)</t>
  </si>
  <si>
    <t>Cột dây co 42m (dưới đất) - 3 co (đất cấp 3)</t>
  </si>
  <si>
    <t>Cột dây co 36m (dưới đất) - 3 co (đất cấp 2)</t>
  </si>
  <si>
    <t>Cột dây co 36m (dưới đất) - 3 co (đất cấp 3)</t>
  </si>
  <si>
    <t>Cột dây co 42m (dưới đất) - 4 co (đất cấp 2)</t>
  </si>
  <si>
    <t>Cột dây co 42m (dưới đất) - 4 co (đất cấp 3)</t>
  </si>
  <si>
    <t>Cột dây co 36m (dưới đất) - 4 co (đất cấp 2)</t>
  </si>
  <si>
    <t>Cột dây co 36m (dưới đất) - 4 co (đất cấp 3)</t>
  </si>
  <si>
    <t>Cột dây co trên mái</t>
  </si>
  <si>
    <t>Cột dây co 15m (4 co)</t>
  </si>
  <si>
    <t>Cột dây co 18m (4 co)</t>
  </si>
  <si>
    <t>Cột cóc 3m (03 cột)</t>
  </si>
  <si>
    <t>Cột cóc 5m (03 cột)</t>
  </si>
  <si>
    <t>Cột ngụy trang dạng khung quây, biển quảng cáo</t>
  </si>
  <si>
    <t>Cột ngụy trang bồn nước loại cao 4m</t>
  </si>
  <si>
    <t>Cột ngụy trang bồn nước loại cao 6m</t>
  </si>
  <si>
    <t>Cột Hapulico 9m</t>
  </si>
  <si>
    <t>II</t>
  </si>
  <si>
    <t>III</t>
  </si>
  <si>
    <t>Cột Monopole + thân thiện</t>
  </si>
  <si>
    <t>A</t>
  </si>
  <si>
    <t>B</t>
  </si>
  <si>
    <t>C</t>
  </si>
  <si>
    <t>D</t>
  </si>
  <si>
    <t>Lô 1</t>
  </si>
  <si>
    <t>Lô 2</t>
  </si>
  <si>
    <t>Lô 3</t>
  </si>
  <si>
    <t>Lô 4</t>
  </si>
  <si>
    <t>Lô 5</t>
  </si>
  <si>
    <t>Lô 8</t>
  </si>
  <si>
    <t>Lô 9</t>
  </si>
  <si>
    <t>Lô 10</t>
  </si>
  <si>
    <t>Lô 11</t>
  </si>
  <si>
    <t>Lô 12</t>
  </si>
  <si>
    <t>Lô 13</t>
  </si>
  <si>
    <t>Lô 14</t>
  </si>
  <si>
    <t>Lô 15</t>
  </si>
  <si>
    <t>Móng nhà</t>
  </si>
  <si>
    <t>Nhà C05 dưới đất</t>
  </si>
  <si>
    <t>DBN</t>
  </si>
  <si>
    <t>LCU</t>
  </si>
  <si>
    <t>LCI</t>
  </si>
  <si>
    <t>PTO</t>
  </si>
  <si>
    <t>SLA</t>
  </si>
  <si>
    <t>HBH</t>
  </si>
  <si>
    <t>LSN</t>
  </si>
  <si>
    <t>YBI</t>
  </si>
  <si>
    <t>HGG</t>
  </si>
  <si>
    <t>CBG</t>
  </si>
  <si>
    <t>BNK</t>
  </si>
  <si>
    <t>TQG</t>
  </si>
  <si>
    <t>TNN</t>
  </si>
  <si>
    <t>VPC</t>
  </si>
  <si>
    <t>BGG</t>
  </si>
  <si>
    <t>BNH</t>
  </si>
  <si>
    <t>HYN</t>
  </si>
  <si>
    <t>HDG</t>
  </si>
  <si>
    <t>HPG</t>
  </si>
  <si>
    <t>QNH</t>
  </si>
  <si>
    <t>HNM</t>
  </si>
  <si>
    <t>TBH</t>
  </si>
  <si>
    <t>NDH</t>
  </si>
  <si>
    <t>NBH</t>
  </si>
  <si>
    <t>THA</t>
  </si>
  <si>
    <t>NAN</t>
  </si>
  <si>
    <t>QBH</t>
  </si>
  <si>
    <t>HTH</t>
  </si>
  <si>
    <t>QTI</t>
  </si>
  <si>
    <t>TTH</t>
  </si>
  <si>
    <t>DNG</t>
  </si>
  <si>
    <t>KTM</t>
  </si>
  <si>
    <t>QNI</t>
  </si>
  <si>
    <t>BDH</t>
  </si>
  <si>
    <t>QNM</t>
  </si>
  <si>
    <t>GLI</t>
  </si>
  <si>
    <t>DLK</t>
  </si>
  <si>
    <t>PYN</t>
  </si>
  <si>
    <t>KHA</t>
  </si>
  <si>
    <t>DCN</t>
  </si>
  <si>
    <t>LDG</t>
  </si>
  <si>
    <t>NTN</t>
  </si>
  <si>
    <t>BTN</t>
  </si>
  <si>
    <t>BPC</t>
  </si>
  <si>
    <t>DNI</t>
  </si>
  <si>
    <t>VTU</t>
  </si>
  <si>
    <t>TNH</t>
  </si>
  <si>
    <t>BDG</t>
  </si>
  <si>
    <t>HCM</t>
  </si>
  <si>
    <t>DTP</t>
  </si>
  <si>
    <t>LAN</t>
  </si>
  <si>
    <t>TGG</t>
  </si>
  <si>
    <t>BTE</t>
  </si>
  <si>
    <t>VLG</t>
  </si>
  <si>
    <t>TVH</t>
  </si>
  <si>
    <t>CTO</t>
  </si>
  <si>
    <t>HUG</t>
  </si>
  <si>
    <t>KGG</t>
  </si>
  <si>
    <t>AGG</t>
  </si>
  <si>
    <t>BLU</t>
  </si>
  <si>
    <t>CMU</t>
  </si>
  <si>
    <t>STG</t>
  </si>
  <si>
    <t>Sản xuất cột</t>
  </si>
  <si>
    <t>IV</t>
  </si>
  <si>
    <t>Sản xuất nhà</t>
  </si>
  <si>
    <t>V</t>
  </si>
  <si>
    <t>Tiếp địa</t>
  </si>
  <si>
    <t>Tiếp địa 9 cọc</t>
  </si>
  <si>
    <t>Tiếp địa 12 cọc</t>
  </si>
  <si>
    <t>Tiếp địa khoan 2 cọc</t>
  </si>
  <si>
    <t>Tiếp địa Gem 5 hố Gem</t>
  </si>
  <si>
    <t>Tiếp địa Gem 4 hố Gem</t>
  </si>
  <si>
    <t>Tiếp địa Gem 2 hố Gem</t>
  </si>
  <si>
    <t>Tiếp địa Gem 1 hố Gem</t>
  </si>
  <si>
    <t>Tiếp địa khoan 1 cọc + 1 cọc đóng bằng cọc thép bọc đồng</t>
  </si>
  <si>
    <t>Điện AC</t>
  </si>
  <si>
    <t>Điện treo</t>
  </si>
  <si>
    <t>Điện ngầm</t>
  </si>
  <si>
    <t>Ngầm 1 pha 50m</t>
  </si>
  <si>
    <t>Ngầm 1 pha 100m</t>
  </si>
  <si>
    <t>Ngầm 1 pha 200m</t>
  </si>
  <si>
    <t>Ngầm 3 pha 50m</t>
  </si>
  <si>
    <t>Ngầm 3 pha 100m</t>
  </si>
  <si>
    <t>Ngầm 3 pha 200m</t>
  </si>
  <si>
    <t>2.1</t>
  </si>
  <si>
    <t>2.2</t>
  </si>
  <si>
    <t>2.3</t>
  </si>
  <si>
    <t>2.4</t>
  </si>
  <si>
    <t>2.5</t>
  </si>
  <si>
    <t>2.6</t>
  </si>
  <si>
    <t>Móng cột (giá trị trước VAT)</t>
  </si>
  <si>
    <t>Lắp dựng cột</t>
  </si>
  <si>
    <t>Cột dây co 42m (dưới đất)</t>
  </si>
  <si>
    <t>Cột dây co 36m (dưới đất)</t>
  </si>
  <si>
    <t>Cột thân thiện cánh sen 25m, vùng gió 1,2,3</t>
  </si>
  <si>
    <t>Cột thân thiện cánh sen 28m, vùng gió 1,2,3</t>
  </si>
  <si>
    <t>Cột thân thiện lồng đèn 25m, vùng gió 1,2,3</t>
  </si>
  <si>
    <t>Tiếp địa 4 cọc</t>
  </si>
  <si>
    <t>Tiếp địa 5 cọc</t>
  </si>
  <si>
    <t>Tiếp địa 8 cọc</t>
  </si>
  <si>
    <t>Móng nhà C05 trên mái (không bao gồm dầm PM)</t>
  </si>
  <si>
    <t>Móng Cột dây co dưới đất</t>
  </si>
  <si>
    <t>Móng Cột dây co trên mái</t>
  </si>
  <si>
    <t>Móng Cột Monopole + thân thiện</t>
  </si>
  <si>
    <t>Móng Cột tự đứng thanh giằng</t>
  </si>
  <si>
    <t>SX Cột dây co 42m (dưới đất) - 3 co vùng gió 1,2,3</t>
  </si>
  <si>
    <t>SX Cột dây co 42m (dưới đất) - 3 co vùng gió 4</t>
  </si>
  <si>
    <t>SX Cột dây co 36m (dưới đất) - 3 co vùng gió 1,2,3</t>
  </si>
  <si>
    <t>SX Cột dây co 36m (dưới đất) - 3 co vùng gió 4</t>
  </si>
  <si>
    <t>SX Cột dây co 42m (dưới đất) - (4 co vùng gió 1,2,3) + Bu lông neo + bản đệm bu lông móng</t>
  </si>
  <si>
    <t>SX Cột dây co 42m (dưới đất) - (4 co Vùng gió 4)  + Bu lông neo + bản đệm bu lông móng</t>
  </si>
  <si>
    <t>SX Cột dây co 36m (dưới đất) - (4 co vùng gió 1,2,3  ) + Bu lông neo + bản đệm bu lông móng</t>
  </si>
  <si>
    <t>SX Cột dây co 36m (dưới đất) - (4 co Vùng gió 4) +  Bu lông neo + bản đệm bu lông móng</t>
  </si>
  <si>
    <t>SX Cột dây co 18m (4 co)</t>
  </si>
  <si>
    <t>SX Cột cóc 3m (03 cột)</t>
  </si>
  <si>
    <t>SX Cột cóc 5m (03 cột)</t>
  </si>
  <si>
    <t>SX Cột ngụy trang dạng khung quây, biển quảng cáo</t>
  </si>
  <si>
    <t>SX Thang cáp, thang leo cho cột trên mái</t>
  </si>
  <si>
    <t>Cột cóc 3m (03 cột) + Thang cáp, thang leo</t>
  </si>
  <si>
    <t>Cột Monopole 22m</t>
  </si>
  <si>
    <t>Cột Monopole 36m</t>
  </si>
  <si>
    <t>Cột Monopole 25m, Cây thông, cây dừa, giàn đèn …</t>
  </si>
  <si>
    <t>Cột Monopole 30m, Cây thông, cây dừa, giàn đèn …</t>
  </si>
  <si>
    <t>Cột cóc 5m (03 cột) + Thang cáp, thang leo</t>
  </si>
  <si>
    <t>Cột Hapulico 9m + Thang cáp, thang leo</t>
  </si>
  <si>
    <t>Monopole 22m đất cấp 3</t>
  </si>
  <si>
    <t>Monopole 36m, đất cấp 3</t>
  </si>
  <si>
    <t>Cột Cây thông 25m, đất cấp 3</t>
  </si>
  <si>
    <t>Cột Cây dừa 25m, đất cấp 3</t>
  </si>
  <si>
    <t>Cột Cây thông 30m, đất cấp 3</t>
  </si>
  <si>
    <t>Cột Cây dừa 30m, đất cấp 3</t>
  </si>
  <si>
    <t>Cột thân thiện lồng đèn 25m, đất cấp 3</t>
  </si>
  <si>
    <t>Cột thân thiện lồng đèn 28m, đất cấp 3</t>
  </si>
  <si>
    <t>Cột thân thiện cánh sen 25m, đất cấp 3</t>
  </si>
  <si>
    <t>Cột thân thiện cánh sen 28m, đất cấp 3</t>
  </si>
  <si>
    <t>Monopole 22m vùng gió 1,2,3 (bao gồm cả bu lông móng + bản đệm)</t>
  </si>
  <si>
    <t>Monopole 36m, vùng gió 1,2,3  (bao gồm cả bu lông móng + bản đệm)</t>
  </si>
  <si>
    <t>SX Cột Hapulico 9m + (bu lông móng và bản đệm)</t>
  </si>
  <si>
    <t>Cột Cây thông 25m, vùng gió 1,2,3 (bao gồm cả bu lông móng + bản đệm)</t>
  </si>
  <si>
    <t>Cột Cây dừa 25m, vùng gió 1,2,3 (bao gồm cả bu lông móng + bản đệm)</t>
  </si>
  <si>
    <t>Cột Cây thông 30m, vùng gió 1,2,3 (bao gồm cả bu lông móng + bản đệm)</t>
  </si>
  <si>
    <t>Cột Cây dừa 30m, vùng gió 1,2,3 (bao gồm cả bu lông móng + bản đệm)</t>
  </si>
  <si>
    <t xml:space="preserve">SX Cột dây co 15m (4 co) + Bu lông móng, bản đệm - Vùng gió 1,2,3 </t>
  </si>
  <si>
    <t>SX Cột ngụy trang bồn nước loại cao 4m (đã bao gồm công lắp đặt)</t>
  </si>
  <si>
    <t>SX Cột ngụy trang bồn nước loại cao 6m (đã bao gồm công lắp đặt)</t>
  </si>
  <si>
    <t>Cột bê tông ly tâm loại 20m</t>
  </si>
  <si>
    <t>Cột bê tông ly tâm loại 14m</t>
  </si>
  <si>
    <t>Móng cột điện lực</t>
  </si>
  <si>
    <t>Móng cột BG (TC) 6m/D78 dày 3,5 mm mạ kẽm</t>
  </si>
  <si>
    <t>Móng cột BG (TC) 8m/D78 dày 3,5 mm mạ kẽm</t>
  </si>
  <si>
    <t>Móng cột BG (TC) 10m/D78 dày 4 mm mạ kẽm</t>
  </si>
  <si>
    <t>Móng cột BG (TC) 12m/D78 dày 4 mm mạ kẽm</t>
  </si>
  <si>
    <t>Móng cột BG (TC) 17m/D133 dày 4 mm mạ kẽm</t>
  </si>
  <si>
    <t>Móng cột BG (TC) 14m/D121 dày 4 mm mạ kẽm</t>
  </si>
  <si>
    <t>Lắp dựng cột bê tông ly tâm</t>
  </si>
  <si>
    <t>Lắp dựng cột BG (TC) 6m/D78 dày 3,5 mm mạ kẽm</t>
  </si>
  <si>
    <t>Lắp dựng cột BG (TC) 8m/D78 dày 3,5 mm mạ kẽm</t>
  </si>
  <si>
    <t>Lắp dựng cột BG (TC) 10m/D78 dày 4 mm mạ kẽm</t>
  </si>
  <si>
    <t>Lắp dựng cột BG (TC) 12m/D78 dày 4 mm mạ kẽm</t>
  </si>
  <si>
    <t>Lắp dựng cột BG (TC) 14m/D121 dày 4 mm mạ kẽm</t>
  </si>
  <si>
    <t>Lắp dựng cột BG (TC) 17m/D133 dày 4 mm mạ kẽm</t>
  </si>
  <si>
    <t>Cột thân thiện lồng đèn 28m, vùng gió 1,2,3 (bao gồm cả bu lông móng + bản đệm) có giá thiết bị</t>
  </si>
  <si>
    <t>Cột thân thiện 28m giàn đèn, có giá thiết bị</t>
  </si>
  <si>
    <t>Phần vận chuyển</t>
  </si>
  <si>
    <t>Vận chuyển thủ công (B cấp) CN tự mua, cự ly 100m (HM xây dựng) (tính cho móng cột 42m và móng nhà C05)</t>
  </si>
  <si>
    <t>Vận chuyển thủ công (A cấp) Công ty cấp, cự ly 100m (HM xây dựng) (tính cho móng cột 42m và móng nhà C05)</t>
  </si>
  <si>
    <t>Cột dây co 15m (4 co) + Thang cáp, thang leo</t>
  </si>
  <si>
    <t>Cột dây co 18m (4 co) + Thang cáp, thang leo</t>
  </si>
  <si>
    <t>Vận chuyển cơ giới (B cấp) CN tự mua, cự ly 15 km; (HM xây dựng) (tính cho móng cột 42m và móng nhà C05)</t>
  </si>
  <si>
    <t>Vận chuyển cơ giới (A cấp) Công ty cấp, cự ly …. Km (từ Kho Hòa Lạc đến tỉnh) với KV1; từ Kho Đà Nẵng đến tỉnh, với KV2 và từ Kho ở KCN Biên Hòa, tỉnh Đồng Nai với KV3; (HM xây dựng) (tính cho móng cột 42m và móng nhà C05)</t>
  </si>
  <si>
    <t>Vận chuyển cơ giới (B cấp) CN tự mua, cự ly 15 km; cột điện AC cự ly 100 km (HM điện AC) (tính bình quân 5 cột )</t>
  </si>
  <si>
    <t>Chi phí xây dựng trạm</t>
  </si>
  <si>
    <t>I.2</t>
  </si>
  <si>
    <t>I.3</t>
  </si>
  <si>
    <t>I.4</t>
  </si>
  <si>
    <t>I.5</t>
  </si>
  <si>
    <t>I.6</t>
  </si>
  <si>
    <t>I.7</t>
  </si>
  <si>
    <t>I.8</t>
  </si>
  <si>
    <t>Chi phí xin phép thi công trạm</t>
  </si>
  <si>
    <t>Chi phí đấu điện</t>
  </si>
  <si>
    <t>Chi phí thuê mặt bằng</t>
  </si>
  <si>
    <t>Tiền công thuê mặt bằng cho 1 vị trí trạm Macro</t>
  </si>
  <si>
    <t>Tiền công thuê mặt bằng cho 1 vị trí trạm smallcell</t>
  </si>
  <si>
    <t>Đơn giá thuê mặt bằng cho 1 trạm ở Nội thành (Hà Nội, TP Hồ Chí Minh)</t>
  </si>
  <si>
    <t>Đơn giá thuê mặt bằng cho 1 trạm ở ngoại thành (Hà Nội, TP Hồ Chí Minh)</t>
  </si>
  <si>
    <t>Đơn giá thuê mặt bằng cho 1 trạm ở ngoại thành TP (các tỉnh còn lại)</t>
  </si>
  <si>
    <t>Đơn giá thuê mặt bằng cho 1 trạm ở nội thành TP (các tỉnh còn lại)</t>
  </si>
  <si>
    <t>Nội dung chi phí Capex</t>
  </si>
  <si>
    <t>Chi phí OPEX</t>
  </si>
  <si>
    <t>BẢNG TỔNG HỢP DỰ TOÁN CHI PHÍ XÂY DỰNG</t>
  </si>
  <si>
    <t>STT</t>
  </si>
  <si>
    <t>Khoản mục chi phí</t>
  </si>
  <si>
    <t>Ký hiệu</t>
  </si>
  <si>
    <t>Hệ số</t>
  </si>
  <si>
    <t>Thành tiền</t>
  </si>
  <si>
    <t>1</t>
  </si>
  <si>
    <t xml:space="preserve"> + Theo đơn giá trực tiếp</t>
  </si>
  <si>
    <t>Bảng dự toán hạng mục</t>
  </si>
  <si>
    <t>2</t>
  </si>
  <si>
    <t>3</t>
  </si>
  <si>
    <t>Cộng chi phí trực tiếp</t>
  </si>
  <si>
    <t>T</t>
  </si>
  <si>
    <t>VL + NC + M</t>
  </si>
  <si>
    <t>CHI PHÍ CHUNG</t>
  </si>
  <si>
    <t>THU NHẬP CHỊU THUẾ TÍNH TRƯỚC</t>
  </si>
  <si>
    <t>TL</t>
  </si>
  <si>
    <t>(T+C) x 5,5%</t>
  </si>
  <si>
    <t>Chi phí xây dựng trước thuế</t>
  </si>
  <si>
    <t>G</t>
  </si>
  <si>
    <t>(T+C+TL)</t>
  </si>
  <si>
    <t>THUẾ GIÁ TRỊ GIA TĂNG</t>
  </si>
  <si>
    <t>GTGT</t>
  </si>
  <si>
    <t>G x 10%</t>
  </si>
  <si>
    <t>Chi phí xây dựng sau thuế</t>
  </si>
  <si>
    <t>Gxd</t>
  </si>
  <si>
    <t>G+GTGT</t>
  </si>
  <si>
    <t>LÀM TRÒN</t>
  </si>
  <si>
    <t>CHI PHÍ CAPEX</t>
  </si>
  <si>
    <t>Chi phí Móng cột</t>
  </si>
  <si>
    <t>Chi phí Sản xuất cột + bu lông móng, bản đệm</t>
  </si>
  <si>
    <t>MC</t>
  </si>
  <si>
    <t>SXC</t>
  </si>
  <si>
    <t>Chi phí móng nhà</t>
  </si>
  <si>
    <t>Chi phí SX, cung cấp nhà, phòng máy</t>
  </si>
  <si>
    <t>Chi phí tiếp địa</t>
  </si>
  <si>
    <t>MN</t>
  </si>
  <si>
    <t>SXPM</t>
  </si>
  <si>
    <t>TĐ</t>
  </si>
  <si>
    <t>Chi phí điện AC</t>
  </si>
  <si>
    <t>Lắp dựng phòng máy</t>
  </si>
  <si>
    <t>I.9</t>
  </si>
  <si>
    <t>Tên các dạng điển hình</t>
  </si>
  <si>
    <t>Chi phí lắp dựng cột</t>
  </si>
  <si>
    <t>Chi phí lắp nhà lắp ghép các loại</t>
  </si>
  <si>
    <t>Chi phí vận chuyển cơ giới phần Cột + Bu lông móng + nhà  lắp ghép ( Công ty cấp)</t>
  </si>
  <si>
    <t>Chi phí vận chuyển thủ công phần móng cột (Chi nhánh tự mua)</t>
  </si>
  <si>
    <t>Chi phí vận chuyển cơ giới phần móng cột (Chi nhánh tự mua)</t>
  </si>
  <si>
    <t>Chi phí vận chuyển thủ công phần móng nhà lắp ghép (Chi nhánh tự mua)</t>
  </si>
  <si>
    <t>Chi phí vận chuyển cơ giới phần móng nhà lắp ghép (Chi nhánh tự mua)</t>
  </si>
  <si>
    <t>Chi phí vận chuyển thủ công phần điện AC (Chi nhánh tự mua)</t>
  </si>
  <si>
    <t>Chi phí vận chuyển cơ giới phần điện AC  (Chi nhánh tự mua)</t>
  </si>
  <si>
    <t>Chi phí vận chuyển thủ công phần (Cột + Bu lông móng + nhà  lắp ghép ( Công ty cấp)</t>
  </si>
  <si>
    <t>LDC</t>
  </si>
  <si>
    <t>NLG</t>
  </si>
  <si>
    <t>VCTC móng cột</t>
  </si>
  <si>
    <t>VCCG móng cột</t>
  </si>
  <si>
    <t>VCTC móng nhà LG</t>
  </si>
  <si>
    <t>VCCG móng nhà LG</t>
  </si>
  <si>
    <t>VCTC điện AC</t>
  </si>
  <si>
    <t>VCCG điện AC</t>
  </si>
  <si>
    <t>VCTC (cột + Bu lông móng + nhà lắp ghép)</t>
  </si>
  <si>
    <t>VCCG (cột + Bu lông móng + nhà lắp ghép)</t>
  </si>
  <si>
    <t>CÔNG TRÌNH : XÂY DỰNG HẠ TẦNG CHO CÁC NHÀ MẠNG THUÊ</t>
  </si>
  <si>
    <t>TÊN TỈNH</t>
  </si>
  <si>
    <t>MÃ TỈNH</t>
  </si>
  <si>
    <t>Lắp nhà Minishelter (1 nhà Minishelter)</t>
  </si>
  <si>
    <t>T x 3,7%</t>
  </si>
  <si>
    <t>5,5%</t>
  </si>
  <si>
    <t>3,7%</t>
  </si>
  <si>
    <t>Cung cấp Cột bê tông ly tâm loại 14m mẫu C + Thang leo</t>
  </si>
  <si>
    <t>Cung cấp Cột bê tông ly tâm loại 20m mẫu C + Thang leo</t>
  </si>
  <si>
    <t>Cột dây co dưới đất</t>
  </si>
  <si>
    <t>Vận chuyển thủ công (B cấp) CN tự mua, cự ly VC 100m (HM điện AC) (tính bình quân 5 cột)</t>
  </si>
  <si>
    <t>Lắp nhà C05, C04 dưới đất</t>
  </si>
  <si>
    <t>Lắp nhà C05, C04 trên mái</t>
  </si>
  <si>
    <t>Lắp dựng cột bê tông ly tâm loại 14m + VC Cơ giới + thang cáp</t>
  </si>
  <si>
    <t>Lắp dựng cột bê tông ly tâm loại 20m + VC cơ giới  + thang cáp</t>
  </si>
  <si>
    <t>Cột 36m - 3 chân, đất cấp 3, vùng gió 1,2</t>
  </si>
  <si>
    <t>Cột 42m - 3 chân, đất cấp 3, vùng gió 1,2</t>
  </si>
  <si>
    <t>Cột 36m - 3 chân, đất cấp 2, vùng gió 1,2</t>
  </si>
  <si>
    <t>Cột 42m - 3 chân, đất cấp 2, vùng gió 1,2</t>
  </si>
  <si>
    <t>Cung cấp cột BG (TC) 6m/D78 dày 3,5 mm mạ kẽm (bao gồm cả bu lông móng) bao gồm 10% chi phí vận chuyển cột</t>
  </si>
  <si>
    <t>Cung cấp cột BG (TC) 8m/D78 dày 3,5 mm mạ kẽm (bao gồm cả bu lông móng) bao gồm 10% chi phí vận chuyển cột</t>
  </si>
  <si>
    <t>Cung cấp cột BG (TC) 10m/D78 dày 4 mm mạ kẽm (bao gồm cả bu lông móng) bao gồm 10% chi phí vận chuyển cột</t>
  </si>
  <si>
    <t>Cung cấp cột BG (TC) 12m/D78 dày 4 mm mạ kẽm (bao gồm cả bu lông móng) bao gồm 10% chi phí vận chuyển cột</t>
  </si>
  <si>
    <t>Cung cấp cột BG (TC) 14m/D121 dày 4 mm mạ kẽm (bao gồm cả bu lông móng) bao gồm 10% chi phí vận chuyển cột</t>
  </si>
  <si>
    <t>Cung cấp cột BG (TC) 17m/D133 dày 4 mm mạ kẽm (bao gồm cả bu lông móng) bao gồm 10% chi phí vận chuyển cột</t>
  </si>
  <si>
    <t>Cung cấp cột tự đứng thanh giằng + bu lông móng</t>
  </si>
  <si>
    <t>Cung cấp cột tự đứng loại 36 m (vùng gió 1,2,3)</t>
  </si>
  <si>
    <t>Cung cấp cột tự đứng loại 42 m (vùng gió 1,2,3)</t>
  </si>
  <si>
    <t>Cung cấp cột tự đứng loại 36 m (vùng gió 4)</t>
  </si>
  <si>
    <t>Cung cấp cột tự đứng loại 42 m (vùng gió 4)</t>
  </si>
  <si>
    <t>E</t>
  </si>
  <si>
    <t>Lắp dựng cột tự đứng thanh giằng</t>
  </si>
  <si>
    <t>Lắp dựng cột tự đứng loại 36 m (vùng gió 1,2,3)</t>
  </si>
  <si>
    <t>Lắp dựng cột tự đứng loại 42 m (vùng gió 1,2,3)</t>
  </si>
  <si>
    <t>Lắp dựng cột tự đứng loại 36 m (vùng gió 4)</t>
  </si>
  <si>
    <t>Lắp dựng cột tự đứng loại 42 m (vùng gió 4)</t>
  </si>
  <si>
    <t>Chi phí xin phép (Theo QĐ 1648 năm 2018) CTCT ban hành</t>
  </si>
  <si>
    <t>ĐỀ XUẤT TRIỂN KHAI TRẠM CHO THUÊ</t>
  </si>
  <si>
    <t xml:space="preserve">Kính gửi: </t>
  </si>
  <si>
    <t>MNO 1</t>
  </si>
  <si>
    <t>Mã MNO1</t>
  </si>
  <si>
    <t>MNO 2</t>
  </si>
  <si>
    <t>Mã MNO2</t>
  </si>
  <si>
    <t>MNO 3</t>
  </si>
  <si>
    <t>Mã MNO3</t>
  </si>
  <si>
    <t>Thiết kế mới</t>
  </si>
  <si>
    <t>Di dời tự nhiên</t>
  </si>
  <si>
    <t>Khác: ……..</t>
  </si>
  <si>
    <t>Đảm bảo điều kiện pháp lý đất đai</t>
  </si>
  <si>
    <t>Có thể thuê được, không vướng kiện</t>
  </si>
  <si>
    <t>Chi phí thuê dự kiến (VNĐ/Tháng): ………..</t>
  </si>
  <si>
    <t>Ghi chú khác</t>
  </si>
  <si>
    <t xml:space="preserve">2. Độ cao cột yêu cầu: </t>
  </si>
  <si>
    <t>Hạng mục</t>
  </si>
  <si>
    <t>Đơn vị</t>
  </si>
  <si>
    <t>Ghi chú</t>
  </si>
  <si>
    <t>Đơn giá</t>
  </si>
  <si>
    <t>Số lượng</t>
  </si>
  <si>
    <t>1. Mã tỉnh</t>
  </si>
  <si>
    <t>4. Đảm bảo số nhà mạng thuê</t>
  </si>
  <si>
    <t>5. Loại trạm</t>
  </si>
  <si>
    <t>Loại hạng mục</t>
  </si>
  <si>
    <t>Xin phép</t>
  </si>
  <si>
    <t>Móng cột</t>
  </si>
  <si>
    <t>Thân cột</t>
  </si>
  <si>
    <t>Phòng máy</t>
  </si>
  <si>
    <t>Kéo điện</t>
  </si>
  <si>
    <t>Lắp cột</t>
  </si>
  <si>
    <t>Lắp nhà</t>
  </si>
  <si>
    <t>Đấu điện</t>
  </si>
  <si>
    <t>Chi phí khác</t>
  </si>
  <si>
    <t>TT</t>
  </si>
  <si>
    <t>Nội dung</t>
  </si>
  <si>
    <t>Đơn vị tính</t>
  </si>
  <si>
    <t>Giá trị</t>
  </si>
  <si>
    <t>- Vốn tự có</t>
  </si>
  <si>
    <t>Đồng</t>
  </si>
  <si>
    <t>- Vốn vay ngân hàng</t>
  </si>
  <si>
    <t>%</t>
  </si>
  <si>
    <t>- Chi phí vốn chủ sở hữu</t>
  </si>
  <si>
    <t>- Chi phí vốn vay (Lãi vay)</t>
  </si>
  <si>
    <t>- Thuế suất Thuế TNDN</t>
  </si>
  <si>
    <t>Thời gian khấu hao</t>
  </si>
  <si>
    <t>Năm</t>
  </si>
  <si>
    <t>Thời gian trả nợ vay</t>
  </si>
  <si>
    <t>Không nguồn</t>
  </si>
  <si>
    <t>VNĐ</t>
  </si>
  <si>
    <t>Thời gian khấu hao (Năm)</t>
  </si>
  <si>
    <t>Tổng mức đầu tư</t>
  </si>
  <si>
    <t>Hạ tầng cột - nhà trạm</t>
  </si>
  <si>
    <t>Hạ tầng nguồn</t>
  </si>
  <si>
    <t>Tủ nguồn và hệ thống làm mát</t>
  </si>
  <si>
    <t>Rectifier 3000W</t>
  </si>
  <si>
    <t>Battery Lithium</t>
  </si>
  <si>
    <t>Máy phát điện dầu 8kVA/12KVA</t>
  </si>
  <si>
    <t>ATS</t>
  </si>
  <si>
    <t>Giám sát điều khiển</t>
  </si>
  <si>
    <t>2.7</t>
  </si>
  <si>
    <t>Hệ thống phụ trợ khác</t>
  </si>
  <si>
    <t>Công lắp đặt hệ thống nguồn</t>
  </si>
  <si>
    <t>Khấu hao</t>
  </si>
  <si>
    <t>Lợi nhuận</t>
  </si>
  <si>
    <t>Thời gian hoàn vốn</t>
  </si>
  <si>
    <t>Loại trạm</t>
  </si>
  <si>
    <t>HNI, HCM</t>
  </si>
  <si>
    <t>Cột trên mái 9m</t>
  </si>
  <si>
    <t>Cột trên mái 15m</t>
  </si>
  <si>
    <t>Cột dây co 36m</t>
  </si>
  <si>
    <t>Cột dây co 42m</t>
  </si>
  <si>
    <t>Cột dây co 54m</t>
  </si>
  <si>
    <t>Cột dây co 60m</t>
  </si>
  <si>
    <t>Cột monopole 28m</t>
  </si>
  <si>
    <t>Smallcell BTLT 14m</t>
  </si>
  <si>
    <t>Smallcell BTLT 18m</t>
  </si>
  <si>
    <t>Smallcell cột điện lực</t>
  </si>
  <si>
    <t>Cột cóc trên mái 3m</t>
  </si>
  <si>
    <t>Chỉ có cột - Chưa gồm nguồn</t>
  </si>
  <si>
    <t>Cột + hệ thống nguồn - chưa nhiên liệu/điện</t>
  </si>
  <si>
    <t>Nguồn</t>
  </si>
  <si>
    <t>Giả định chung</t>
  </si>
  <si>
    <t>Vận chuyển cơ giới</t>
  </si>
  <si>
    <t>Vận chuyển thủ công</t>
  </si>
  <si>
    <t>Đồng/trạm</t>
  </si>
  <si>
    <t>Dòng dữ liệu</t>
  </si>
  <si>
    <t>6. Triển khai nguồn</t>
  </si>
  <si>
    <t>7. Chi phí dự kiến</t>
  </si>
  <si>
    <t>Hạ tầng nhà trạm</t>
  </si>
  <si>
    <t>2a</t>
  </si>
  <si>
    <t>Kết quả tính toán theo giả định được TGĐ phê duyệt</t>
  </si>
  <si>
    <t>NPV</t>
  </si>
  <si>
    <t>IRR</t>
  </si>
  <si>
    <t>LN/DT</t>
  </si>
  <si>
    <t>Lựa chọn loại hạng mục trong danh mục đối với từng loại trạm</t>
  </si>
  <si>
    <t>Đánh giá</t>
  </si>
  <si>
    <t>P. TỔNG GIÁM ĐỐC</t>
  </si>
  <si>
    <t>TỔNG CÔNG TY CP CÔNG TRÌNH VIETTEL</t>
  </si>
  <si>
    <t>CỘNG HÒA XÃ HỘI CHỦ NGHĨA VIỆT NAM</t>
  </si>
  <si>
    <t>Độc lập - Tự do - Hạnh phúc</t>
  </si>
  <si>
    <t>Nhập thông tin</t>
  </si>
  <si>
    <t>PHỤ LỤC 2. BẢNG TRA VÀ MẪU ĐỀ XUẤT VỊ TRÍ TRIỂN KHAI CHO THUÊ</t>
  </si>
  <si>
    <t>HNI- ngoại thành</t>
  </si>
  <si>
    <t>HNI- Nội thành</t>
  </si>
  <si>
    <t>Cung cấp cột điện đèn + cột BT ly tâm</t>
  </si>
  <si>
    <t>Kéo treo &lt;=50m, cột có sẵn 1 pha</t>
  </si>
  <si>
    <t>Kéo treo &lt;=100m, cột có sẵn 1 pha</t>
  </si>
  <si>
    <t>Kéo treo &lt;=200m, cột có sẵn 1 pha</t>
  </si>
  <si>
    <t>Kéo treo &lt;=50m, 02 cột mới 1 pha</t>
  </si>
  <si>
    <t>Kéo treo &lt;=100m, 03 cột mới 1 pha</t>
  </si>
  <si>
    <t>Kéo treo &lt;=200m, 05 cột mới 1 pha</t>
  </si>
  <si>
    <t>Kéo treo &lt;= 400m (9 cột mới) 1 pha</t>
  </si>
  <si>
    <t>1.8</t>
  </si>
  <si>
    <t>Kéo treo &lt;=200m, 05 cột mới 3 pha</t>
  </si>
  <si>
    <t>1.9</t>
  </si>
  <si>
    <t>Kéo treo &lt;=200m, cột có sẵn 3 pha</t>
  </si>
  <si>
    <t>Viettel</t>
  </si>
  <si>
    <t>m</t>
  </si>
  <si>
    <t>Đồng/trạm/thg</t>
  </si>
  <si>
    <t>TỔNG CHI PHÍ XÂY DỰNG (Gxd)</t>
  </si>
  <si>
    <t>CHI PHÍ QUẢN LÝ DỰ ÁN</t>
  </si>
  <si>
    <t xml:space="preserve">CHI PHÍ TƯ VẤN ĐẦU TƯ XÂY DỰNG </t>
  </si>
  <si>
    <t>Thẩm tra dự toán</t>
  </si>
  <si>
    <t>Chi phí lập HSMT, đánh giá HSDT thi công xây dựng</t>
  </si>
  <si>
    <t>Chi phí lập HSMT, đánh giá HSDT mua sắm thiết bị</t>
  </si>
  <si>
    <t>Chi phí giám sát thi công xây dựng công trình</t>
  </si>
  <si>
    <t>CHI PHÍ KHÁC</t>
  </si>
  <si>
    <t>VI</t>
  </si>
  <si>
    <t>CHI PHÍ DỰ PHÒNG</t>
  </si>
  <si>
    <t>Dự phòng phí</t>
  </si>
  <si>
    <t>VII</t>
  </si>
  <si>
    <t>TỔNG CHI PHÍ ĐẦU TƯ (CAPEX) TRƯỚC VAT</t>
  </si>
  <si>
    <t>5%*(Gxd+Gqlda+CPK+ Gtv))</t>
  </si>
  <si>
    <t>Gtv</t>
  </si>
  <si>
    <t>Các chi phí khác theo tỷ lệ</t>
  </si>
  <si>
    <t>VIII</t>
  </si>
  <si>
    <t>IX</t>
  </si>
  <si>
    <t>X</t>
  </si>
  <si>
    <t>Cung cấp Nhà C05 dưới đất</t>
  </si>
  <si>
    <t>Cung cấp Nhà minishelter (1 nhà)</t>
  </si>
  <si>
    <t>Cung cấp Nhà C05 trên mái (bao gồm cả dầm nhà C05 trên mái)</t>
  </si>
  <si>
    <t>Cung cấp Phòng máy cải tạo, ngăn vách kính (tạm tính 18 m2)</t>
  </si>
  <si>
    <t>Cung cấp Phòng máy làm khung quây tôn 4 phía (tạm tính 32 m2)</t>
  </si>
  <si>
    <t>Cột tự đứng 36-42m</t>
  </si>
  <si>
    <t>Vận chuyển</t>
  </si>
  <si>
    <t>Các loại cột khác (dưới đất)</t>
  </si>
  <si>
    <t>Các loại cột khác (trên mái)</t>
  </si>
  <si>
    <t>Vina</t>
  </si>
  <si>
    <t>Tự nhập đơn giá cho thuê</t>
  </si>
  <si>
    <t>Đơn giá thuê vị trí xây dựng</t>
  </si>
  <si>
    <t>Lọai hình đơn giá</t>
  </si>
  <si>
    <t>61 tỉnh/TP khác</t>
  </si>
  <si>
    <t>TTr789</t>
  </si>
  <si>
    <t>TTr439</t>
  </si>
  <si>
    <t>BM01.QT.VCC.DAHTCT.01(-01)</t>
  </si>
  <si>
    <t>Chi phí khảo sát địa hình</t>
  </si>
  <si>
    <t>Chi phí khảo sát địa chất</t>
  </si>
  <si>
    <t>Chi phí lập dự án</t>
  </si>
  <si>
    <t>Chi phí thẩm tra dự án</t>
  </si>
  <si>
    <t>Chi phí thiết kế bản vẽ thi công</t>
  </si>
  <si>
    <t>Thẩm tra thiết kế bản vẽ thi công</t>
  </si>
  <si>
    <t>Danh mục</t>
  </si>
  <si>
    <r>
      <t>Kí</t>
    </r>
    <r>
      <rPr>
        <sz val="10"/>
        <color theme="1"/>
        <rFont val="Calibri"/>
        <family val="2"/>
        <scheme val="minor"/>
      </rPr>
      <t xml:space="preserve"> </t>
    </r>
    <r>
      <rPr>
        <b/>
        <sz val="10"/>
        <color rgb="FF000000"/>
        <rFont val="Times New Roman"/>
        <family val="1"/>
      </rPr>
      <t>hiệu</t>
    </r>
  </si>
  <si>
    <t>ĐVT</t>
  </si>
  <si>
    <t>Đồng/tháng</t>
  </si>
  <si>
    <t>Chi phí đầu tư XDCT</t>
  </si>
  <si>
    <r>
      <t>G</t>
    </r>
    <r>
      <rPr>
        <sz val="10"/>
        <color rgb="FF000000"/>
        <rFont val="Times New Roman"/>
        <family val="1"/>
      </rPr>
      <t>đt</t>
    </r>
  </si>
  <si>
    <t>a</t>
  </si>
  <si>
    <t>Capex hạ tầng</t>
  </si>
  <si>
    <t>b</t>
  </si>
  <si>
    <t>Capex Cơ điện</t>
  </si>
  <si>
    <t xml:space="preserve">Chi phí bảo trì bảo dưỡng </t>
  </si>
  <si>
    <r>
      <t>CP</t>
    </r>
    <r>
      <rPr>
        <sz val="10"/>
        <color rgb="FF000000"/>
        <rFont val="Times New Roman"/>
        <family val="1"/>
      </rPr>
      <t>btbd</t>
    </r>
  </si>
  <si>
    <t>Chi phí sửa chữa, bảo trì hệ thống cột nhà trạm</t>
  </si>
  <si>
    <t>VNĐ/năm</t>
  </si>
  <si>
    <t>Theo thông tư 03/2017/TT-BXD (0,18% - 0,25% năm)</t>
  </si>
  <si>
    <t>Chi phí bảo trì bảo dưỡng hệ thống cơ điện</t>
  </si>
  <si>
    <t>Chi phí vận hành khai thác</t>
  </si>
  <si>
    <r>
      <t>CP</t>
    </r>
    <r>
      <rPr>
        <sz val="10"/>
        <color rgb="FF000000"/>
        <rFont val="Times New Roman"/>
        <family val="1"/>
      </rPr>
      <t>vh</t>
    </r>
  </si>
  <si>
    <t>Chi phí thuê trạm</t>
  </si>
  <si>
    <t>VNĐ/tháng</t>
  </si>
  <si>
    <r>
      <t>CP</t>
    </r>
    <r>
      <rPr>
        <sz val="10"/>
        <color rgb="FF000000"/>
        <rFont val="Times New Roman"/>
        <family val="1"/>
      </rPr>
      <t>k</t>
    </r>
  </si>
  <si>
    <t>Chi phí quản lý chung</t>
  </si>
  <si>
    <t xml:space="preserve">Chi phí lãi vay </t>
  </si>
  <si>
    <t xml:space="preserve"> 10%/năm</t>
  </si>
  <si>
    <t>Gt</t>
  </si>
  <si>
    <t>Đơn giá thuê mặt bằng thực tế</t>
  </si>
  <si>
    <t>Tỉnh</t>
  </si>
  <si>
    <t>BKN</t>
  </si>
  <si>
    <t>Phụ lục: Đơn giá đề xuất thuê vị trí đặt trạm viễn thông</t>
  </si>
  <si>
    <t>(Ban hành kèm theo Hướng dẫn số:      /HD-CT-HT ngày   tháng    năm 2017)</t>
  </si>
  <si>
    <t>Đơn vị tính: VNĐ</t>
  </si>
  <si>
    <t>Nhóm tỉnh</t>
  </si>
  <si>
    <t>Địa bàn</t>
  </si>
  <si>
    <t>Đơn giá thuê vị trí đặt trạm BTS</t>
  </si>
  <si>
    <t>Đơn giá thuê vị trí đặt trạm RRU</t>
  </si>
  <si>
    <t>Đơn giá thuê vị trí đặt trạm Repeater và Small cell</t>
  </si>
  <si>
    <t>Trên mái</t>
  </si>
  <si>
    <t>Dưới đất</t>
  </si>
  <si>
    <t>Nhóm 1
2 tỉnh (HNI - HCM)</t>
  </si>
  <si>
    <t>Quận</t>
  </si>
  <si>
    <t>Thị trấn - Huyện</t>
  </si>
  <si>
    <t>Xã - Huyện</t>
  </si>
  <si>
    <t>Thành phố</t>
  </si>
  <si>
    <t>Thị xã</t>
  </si>
  <si>
    <t>Nhóm 3: 5 tỉnh (HNM, PTO, QNH, TNN, VPC)</t>
  </si>
  <si>
    <t>Nhóm 4: 6 tỉnh (BNH, HDG, HYN, NBH, NDH, TBH)</t>
  </si>
  <si>
    <t>Nhóm 5: 6 tỉnh ( THA, NAN,HTH, QBH, QTI, TTH )</t>
  </si>
  <si>
    <t>nhóm 6: 8 tỉnh (QNM, QNI, BDH, DCN, DLK, GLI, KTM, TNH)</t>
  </si>
  <si>
    <t>Nhóm 7: 6 tỉnh (KHA, PYN, BPC, BTN, LDG, NTN)</t>
  </si>
  <si>
    <t>Nhóm 8: 12 tỉnh (AGG, BLU, BTE, CMU, CTO, DTP, HUG, KGG, STG, TGG, TVH, VLG)</t>
  </si>
  <si>
    <t>Nhóm 9: 6 tỉnh (BDG, DNG, DNI, HPG, LAN, VTU)</t>
  </si>
  <si>
    <t>Nhóm 1</t>
  </si>
  <si>
    <t>Nhóm 2</t>
  </si>
  <si>
    <t>Nhóm 3</t>
  </si>
  <si>
    <t>Nhóm 4</t>
  </si>
  <si>
    <t>Nhóm 5</t>
  </si>
  <si>
    <t>Nhóm 6</t>
  </si>
  <si>
    <t>Nhóm 7</t>
  </si>
  <si>
    <t>Nhóm 8</t>
  </si>
  <si>
    <t>Nhóm 9</t>
  </si>
  <si>
    <t>Vị trí</t>
  </si>
  <si>
    <t>Địa điểm cụ thể</t>
  </si>
  <si>
    <t>0,245% x Gxd x 0,65</t>
  </si>
  <si>
    <t>1,121% x Gxd</t>
  </si>
  <si>
    <t>0,073% x Gxd</t>
  </si>
  <si>
    <t>0,069% x Gxd x 1,2</t>
  </si>
  <si>
    <t>Chi phí giám sát lắp đặt thiết bị</t>
  </si>
  <si>
    <t>0,066% x Gxd</t>
  </si>
  <si>
    <t>1,103% x Gxd</t>
  </si>
  <si>
    <t>0,381% x Gtb</t>
  </si>
  <si>
    <t>0,048% x Gxd x 0,5</t>
  </si>
  <si>
    <t>0,102% x Gxd</t>
  </si>
  <si>
    <t>Chi phí hạng mục chung (gồm chi phí xây dựng nhà tạm tại hiện trường phục vụ thi công và Chi phí không xác định được khối lượng từ thiết kế)</t>
  </si>
  <si>
    <t>Phí thẩm định dự án đầu tư</t>
  </si>
  <si>
    <t>Phí thẩm định thiết kế</t>
  </si>
  <si>
    <t>Phí thẩm định dự toán</t>
  </si>
  <si>
    <t>Chi phí kiểm toán (nếu được yêu cầu)</t>
  </si>
  <si>
    <t>Phí thẩm tra, phê duyệt quyết toán vốn đầu tư [Nếu có k5 thì mục này tính 50%]</t>
  </si>
  <si>
    <t>Chi phí lãi vay trong thời gian xây dựng</t>
  </si>
  <si>
    <t xml:space="preserve">Chi phí xin phép thi công </t>
  </si>
  <si>
    <t>Chi phí xin phép đấu nối điện</t>
  </si>
  <si>
    <t>3% x Gxd</t>
  </si>
  <si>
    <t>0,0076% x TMĐT</t>
  </si>
  <si>
    <t>0,0144% x Gxd</t>
  </si>
  <si>
    <t>0,0136% x Gxd</t>
  </si>
  <si>
    <t>0,331% x TMĐT</t>
  </si>
  <si>
    <t>0,229% x TMĐT x 0,5</t>
  </si>
  <si>
    <t>Dự toán</t>
  </si>
  <si>
    <t>Tờ trình 113 ngày 23/11/2019</t>
  </si>
  <si>
    <t>Số lượng trạm BTS</t>
  </si>
  <si>
    <t>Chi phí nhân công giải phóng mặt bằng</t>
  </si>
  <si>
    <t>Chi phí nhân công đấu nối điện</t>
  </si>
  <si>
    <t>(đơn vị: đồng)</t>
  </si>
  <si>
    <t>KHOẢN MỤC</t>
  </si>
  <si>
    <t>THỜI GIAN TRẢ NỢ</t>
  </si>
  <si>
    <t>Dư nợ đầu kỳ</t>
  </si>
  <si>
    <t>Nợ phát sinh trong kỳ</t>
  </si>
  <si>
    <t>Nợ gốc trả trong kỳ</t>
  </si>
  <si>
    <t>Lãi vay trả trong kỳ</t>
  </si>
  <si>
    <t>Tổng mức trả nợ mỗi kỳ</t>
  </si>
  <si>
    <t>Dư nợ cuối kỳ</t>
  </si>
  <si>
    <t>HNI</t>
  </si>
  <si>
    <t>1,335% x (Gxd+Gtb) x 80% x1,1</t>
  </si>
  <si>
    <t xml:space="preserve">Nội dung </t>
  </si>
  <si>
    <t>Nhom</t>
  </si>
  <si>
    <t>Nhóm 1Trên máiThành phốĐơn giá thuê vị trí đặt trạm BTS</t>
  </si>
  <si>
    <t>Nhóm3</t>
  </si>
  <si>
    <t>Nan</t>
  </si>
  <si>
    <t>Giá trị giao khoán TCTT trạm Macro</t>
  </si>
  <si>
    <t>Giá trị giao khoán TCTT trạm RRU</t>
  </si>
  <si>
    <t>Giá trị giao khoán TCTT trạm Smallcell</t>
  </si>
  <si>
    <t>Đồng bằng</t>
  </si>
  <si>
    <t>Miền núi</t>
  </si>
  <si>
    <t>trạm RRU</t>
  </si>
  <si>
    <t>trạm BTS</t>
  </si>
  <si>
    <t>Địa hình</t>
  </si>
  <si>
    <t>Nhóm 1QuậnTrên máitrạm RRU</t>
  </si>
  <si>
    <t>Nhóm 1Thị trấn - HuyệnTrên máitrạm RRU</t>
  </si>
  <si>
    <t>Nhóm 1Xã - HuyệnTrên máitrạm RRU</t>
  </si>
  <si>
    <t>Nhóm 2Thành phốTrên máitrạm RRU</t>
  </si>
  <si>
    <t>Nhóm 2Thị xãTrên máitrạm RRU</t>
  </si>
  <si>
    <t>Nhóm 2Thị trấn - HuyệnTrên máitrạm RRU</t>
  </si>
  <si>
    <t>Nhóm 2Xã - HuyệnTrên máitrạm RRU</t>
  </si>
  <si>
    <t>Nhóm 4Thành phốTrên máitrạm RRU</t>
  </si>
  <si>
    <t>Nhóm 4Thị xãTrên máitrạm RRU</t>
  </si>
  <si>
    <t>Nhóm 4Thị trấn - HuyệnTrên máitrạm RRU</t>
  </si>
  <si>
    <t>Nhóm 4Xã - HuyệnTrên máitrạm RRU</t>
  </si>
  <si>
    <t>Nhóm 5Thành phốTrên máitrạm RRU</t>
  </si>
  <si>
    <t>Nhóm 5Thị xãTrên máitrạm RRU</t>
  </si>
  <si>
    <t>Nhóm 5Thị trấn - HuyệnTrên máitrạm RRU</t>
  </si>
  <si>
    <t>Nhóm 5Xã - HuyệnTrên máitrạm RRU</t>
  </si>
  <si>
    <t>Nhóm 6Thành phốTrên máitrạm RRU</t>
  </si>
  <si>
    <t>Nhóm 6Thị xãTrên máitrạm RRU</t>
  </si>
  <si>
    <t>Nhóm 6Thị trấn - HuyệnTrên máitrạm RRU</t>
  </si>
  <si>
    <t>Nhóm 6Xã - HuyệnTrên máitrạm RRU</t>
  </si>
  <si>
    <t>Nhóm 7Thành phốTrên máitrạm RRU</t>
  </si>
  <si>
    <t>Nhóm 7Thị xãTrên máitrạm RRU</t>
  </si>
  <si>
    <t>Nhóm 7Thị trấn - HuyệnTrên máitrạm RRU</t>
  </si>
  <si>
    <t>Nhóm 7Xã - HuyệnTrên máitrạm RRU</t>
  </si>
  <si>
    <t>Nhóm 8QuậnTrên máitrạm RRU</t>
  </si>
  <si>
    <t>Nhóm 8Thành phốTrên máitrạm RRU</t>
  </si>
  <si>
    <t>Nhóm 8Thị xãTrên máitrạm RRU</t>
  </si>
  <si>
    <t>Nhóm 8Thị trấn - HuyệnTrên máitrạm RRU</t>
  </si>
  <si>
    <t>Nhóm 8Xã - HuyệnTrên máitrạm RRU</t>
  </si>
  <si>
    <t>Nhóm 9QuậnTrên máitrạm RRU</t>
  </si>
  <si>
    <t>Nhóm 9Thành phốTrên máitrạm RRU</t>
  </si>
  <si>
    <t>Nhóm 9Thị xãTrên máitrạm RRU</t>
  </si>
  <si>
    <t>Nhóm 9Thị trấn - HuyệnTrên máitrạm RRU</t>
  </si>
  <si>
    <t>Nhóm 9Xã - HuyệnTrên máitrạm RRU</t>
  </si>
  <si>
    <t>Nhóm 1QuậnDưới đấttrạm RRU</t>
  </si>
  <si>
    <t>Nhóm 1Thị trấn - HuyệnDưới đấttrạm RRU</t>
  </si>
  <si>
    <t>Nhóm 1Xã - HuyệnDưới đấttrạm RRU</t>
  </si>
  <si>
    <t>Nhóm 2Thành phốDưới đấttrạm RRU</t>
  </si>
  <si>
    <t>Nhóm 2Thị xãDưới đấttrạm RRU</t>
  </si>
  <si>
    <t>Nhóm 2Thị trấn - HuyệnDưới đấttrạm RRU</t>
  </si>
  <si>
    <t>Nhóm 2Xã - HuyệnDưới đấttrạm RRU</t>
  </si>
  <si>
    <t>Nhóm 4Thành phốDưới đấttrạm RRU</t>
  </si>
  <si>
    <t>Nhóm 4Thị xãDưới đấttrạm RRU</t>
  </si>
  <si>
    <t>Nhóm 4Thị trấn - HuyệnDưới đấttrạm RRU</t>
  </si>
  <si>
    <t>Nhóm 4Xã - HuyệnDưới đấttrạm RRU</t>
  </si>
  <si>
    <t>Nhóm 5Thành phốDưới đấttrạm RRU</t>
  </si>
  <si>
    <t>Nhóm 5Thị xãDưới đấttrạm RRU</t>
  </si>
  <si>
    <t>Nhóm 5Thị trấn - HuyệnDưới đấttrạm RRU</t>
  </si>
  <si>
    <t>Nhóm 5Xã - HuyệnDưới đấttrạm RRU</t>
  </si>
  <si>
    <t>Nhóm 6Thành phốDưới đấttrạm RRU</t>
  </si>
  <si>
    <t>Nhóm 6Thị xãDưới đấttrạm RRU</t>
  </si>
  <si>
    <t>Nhóm 6Thị trấn - HuyệnDưới đấttrạm RRU</t>
  </si>
  <si>
    <t>Nhóm 6Xã - HuyệnDưới đấttrạm RRU</t>
  </si>
  <si>
    <t>Nhóm 7Thành phốDưới đấttrạm RRU</t>
  </si>
  <si>
    <t>Nhóm 7Thị xãDưới đấttrạm RRU</t>
  </si>
  <si>
    <t>Nhóm 7Thị trấn - HuyệnDưới đấttrạm RRU</t>
  </si>
  <si>
    <t>Nhóm 7Xã - HuyệnDưới đấttrạm RRU</t>
  </si>
  <si>
    <t>Nhóm 8QuậnDưới đấttrạm RRU</t>
  </si>
  <si>
    <t>Nhóm 8Thành phốDưới đấttrạm RRU</t>
  </si>
  <si>
    <t>Nhóm 8Thị xãDưới đấttrạm RRU</t>
  </si>
  <si>
    <t>Nhóm 8Thị trấn - HuyệnDưới đấttrạm RRU</t>
  </si>
  <si>
    <t>Nhóm 8Xã - HuyệnDưới đấttrạm RRU</t>
  </si>
  <si>
    <t>Nhóm 9QuậnDưới đấttrạm RRU</t>
  </si>
  <si>
    <t>Nhóm 9Thành phốDưới đấttrạm RRU</t>
  </si>
  <si>
    <t>Nhóm 9Thị xãDưới đấttrạm RRU</t>
  </si>
  <si>
    <t>Nhóm 9Thị trấn - HuyệnDưới đấttrạm RRU</t>
  </si>
  <si>
    <t>Nhóm 9Xã - HuyệnDưới đấttrạm RRU</t>
  </si>
  <si>
    <t>Nhóm 1QuậnTrên máitrạm Small cell</t>
  </si>
  <si>
    <t>Nhóm 1Thị trấn - HuyệnTrên máitrạm Small cell</t>
  </si>
  <si>
    <t>Nhóm 1Xã - HuyệnTrên máitrạm Small cell</t>
  </si>
  <si>
    <t>Nhóm 2Thành phốTrên máitrạm Small cell</t>
  </si>
  <si>
    <t>Nhóm 2Thị xãTrên máitrạm Small cell</t>
  </si>
  <si>
    <t>Nhóm 2Thị trấn - HuyệnTrên máitrạm Small cell</t>
  </si>
  <si>
    <t>Nhóm 2Xã - HuyệnTrên máitrạm Small cell</t>
  </si>
  <si>
    <t>Nhóm 4Thành phốTrên máitrạm Small cell</t>
  </si>
  <si>
    <t>Nhóm 4Thị xãTrên máitrạm Small cell</t>
  </si>
  <si>
    <t>Nhóm 4Thị trấn - HuyệnTrên máitrạm Small cell</t>
  </si>
  <si>
    <t>Nhóm 4Xã - HuyệnTrên máitrạm Small cell</t>
  </si>
  <si>
    <t>Nhóm 5Thành phốTrên máitrạm Small cell</t>
  </si>
  <si>
    <t>Nhóm 5Thị xãTrên máitrạm Small cell</t>
  </si>
  <si>
    <t>Nhóm 5Thị trấn - HuyệnTrên máitrạm Small cell</t>
  </si>
  <si>
    <t>Nhóm 5Xã - HuyệnTrên máitrạm Small cell</t>
  </si>
  <si>
    <t>Nhóm 6Thành phốTrên máitrạm Small cell</t>
  </si>
  <si>
    <t>Nhóm 6Thị xãTrên máitrạm Small cell</t>
  </si>
  <si>
    <t>Nhóm 6Thị trấn - HuyệnTrên máitrạm Small cell</t>
  </si>
  <si>
    <t>Nhóm 6Xã - HuyệnTrên máitrạm Small cell</t>
  </si>
  <si>
    <t>Nhóm 7Thành phốTrên máitrạm Small cell</t>
  </si>
  <si>
    <t>Nhóm 7Thị xãTrên máitrạm Small cell</t>
  </si>
  <si>
    <t>Nhóm 7Thị trấn - HuyệnTrên máitrạm Small cell</t>
  </si>
  <si>
    <t>Nhóm 7Xã - HuyệnTrên máitrạm Small cell</t>
  </si>
  <si>
    <t>Nhóm 8QuậnTrên máitrạm Small cell</t>
  </si>
  <si>
    <t>Nhóm 8Thành phốTrên máitrạm Small cell</t>
  </si>
  <si>
    <t>Nhóm 8Thị xãTrên máitrạm Small cell</t>
  </si>
  <si>
    <t>Nhóm 8Thị trấn - HuyệnTrên máitrạm Small cell</t>
  </si>
  <si>
    <t>Nhóm 8Xã - HuyệnTrên máitrạm Small cell</t>
  </si>
  <si>
    <t>Nhóm 9QuậnTrên máitrạm Small cell</t>
  </si>
  <si>
    <t>Nhóm 9Thành phốTrên máitrạm Small cell</t>
  </si>
  <si>
    <t>Nhóm 9Thị xãTrên máitrạm Small cell</t>
  </si>
  <si>
    <t>Nhóm 9Thị trấn - HuyệnTrên máitrạm Small cell</t>
  </si>
  <si>
    <t>Nhóm 9Xã - HuyệnTrên máitrạm Small cell</t>
  </si>
  <si>
    <t>Nhóm 1QuậnDưới đấttrạm Small cell</t>
  </si>
  <si>
    <t>Nhóm 1Thị trấn - HuyệnDưới đấttrạm Small cell</t>
  </si>
  <si>
    <t>Nhóm 1Xã - HuyệnDưới đấttrạm Small cell</t>
  </si>
  <si>
    <t>Nhóm 2Thành phốDưới đấttrạm Small cell</t>
  </si>
  <si>
    <t>Nhóm 2Thị xãDưới đấttrạm Small cell</t>
  </si>
  <si>
    <t>Nhóm 2Thị trấn - HuyệnDưới đấttrạm Small cell</t>
  </si>
  <si>
    <t>Nhóm 2Xã - HuyệnDưới đấttrạm Small cell</t>
  </si>
  <si>
    <t>Nhóm 4Thành phốDưới đấttrạm Small cell</t>
  </si>
  <si>
    <t>Nhóm 4Thị xãDưới đấttrạm Small cell</t>
  </si>
  <si>
    <t>Nhóm 4Thị trấn - HuyệnDưới đấttrạm Small cell</t>
  </si>
  <si>
    <t>Nhóm 4Xã - HuyệnDưới đấttrạm Small cell</t>
  </si>
  <si>
    <t>Nhóm 5Thành phốDưới đấttrạm Small cell</t>
  </si>
  <si>
    <t>Nhóm 5Thị xãDưới đấttrạm Small cell</t>
  </si>
  <si>
    <t>Nhóm 5Thị trấn - HuyệnDưới đấttrạm Small cell</t>
  </si>
  <si>
    <t>Nhóm 5Xã - HuyệnDưới đấttrạm Small cell</t>
  </si>
  <si>
    <t>Nhóm 6Thành phốDưới đấttrạm Small cell</t>
  </si>
  <si>
    <t>Nhóm 6Thị xãDưới đấttrạm Small cell</t>
  </si>
  <si>
    <t>Nhóm 6Thị trấn - HuyệnDưới đấttrạm Small cell</t>
  </si>
  <si>
    <t>Nhóm 6Xã - HuyệnDưới đấttrạm Small cell</t>
  </si>
  <si>
    <t>Nhóm 7Thành phốDưới đấttrạm Small cell</t>
  </si>
  <si>
    <t>Nhóm 7Thị xãDưới đấttrạm Small cell</t>
  </si>
  <si>
    <t>Nhóm 7Thị trấn - HuyệnDưới đấttrạm Small cell</t>
  </si>
  <si>
    <t>Nhóm 7Xã - HuyệnDưới đấttrạm Small cell</t>
  </si>
  <si>
    <t>Nhóm 8QuậnDưới đấttrạm Small cell</t>
  </si>
  <si>
    <t>Nhóm 8Thành phốDưới đấttrạm Small cell</t>
  </si>
  <si>
    <t>Nhóm 8Thị xãDưới đấttrạm Small cell</t>
  </si>
  <si>
    <t>Nhóm 8Thị trấn - HuyệnDưới đấttrạm Small cell</t>
  </si>
  <si>
    <t>Nhóm 8Xã - HuyệnDưới đấttrạm Small cell</t>
  </si>
  <si>
    <t>Nhóm 9QuậnDưới đấttrạm Small cell</t>
  </si>
  <si>
    <t>Nhóm 9Thành phốDưới đấttrạm Small cell</t>
  </si>
  <si>
    <t>Nhóm 9Thị xãDưới đấttrạm Small cell</t>
  </si>
  <si>
    <t>Nhóm 9Thị trấn - HuyệnDưới đấttrạm Small cell</t>
  </si>
  <si>
    <t>Nhóm 9Xã - HuyệnDưới đấttrạm Small cell</t>
  </si>
  <si>
    <t>trạm Small cell</t>
  </si>
  <si>
    <t>AGGĐồng bằngtrạm Small cell</t>
  </si>
  <si>
    <t>BLUĐồng bằngtrạm Small cell</t>
  </si>
  <si>
    <t>BGGĐồng bằngtrạm Small cell</t>
  </si>
  <si>
    <t>BNHĐồng bằngtrạm Small cell</t>
  </si>
  <si>
    <t>BTEĐồng bằngtrạm Small cell</t>
  </si>
  <si>
    <t>BDHĐồng bằngtrạm Small cell</t>
  </si>
  <si>
    <t>BDGĐồng bằngtrạm Small cell</t>
  </si>
  <si>
    <t>BPCĐồng bằngtrạm Small cell</t>
  </si>
  <si>
    <t>BTNĐồng bằngtrạm Small cell</t>
  </si>
  <si>
    <t>CMUĐồng bằngtrạm Small cell</t>
  </si>
  <si>
    <t>CTOĐồng bằngtrạm Small cell</t>
  </si>
  <si>
    <t>DNGĐồng bằngtrạm Small cell</t>
  </si>
  <si>
    <t>DLKĐồng bằngtrạm Small cell</t>
  </si>
  <si>
    <t>DCNĐồng bằngtrạm Small cell</t>
  </si>
  <si>
    <t>DNIĐồng bằngtrạm Small cell</t>
  </si>
  <si>
    <t>DTPĐồng bằngtrạm Small cell</t>
  </si>
  <si>
    <t>GLIĐồng bằngtrạm Small cell</t>
  </si>
  <si>
    <t>HNMĐồng bằngtrạm Small cell</t>
  </si>
  <si>
    <t>HTHĐồng bằngtrạm Small cell</t>
  </si>
  <si>
    <t>HDGĐồng bằngtrạm Small cell</t>
  </si>
  <si>
    <t>HPGĐồng bằngtrạm Small cell</t>
  </si>
  <si>
    <t>HUGĐồng bằngtrạm Small cell</t>
  </si>
  <si>
    <t>HBHĐồng bằngtrạm Small cell</t>
  </si>
  <si>
    <t>HCMĐồng bằngtrạm Small cell</t>
  </si>
  <si>
    <t>HYNĐồng bằngtrạm Small cell</t>
  </si>
  <si>
    <t>KGGĐồng bằngtrạm Small cell</t>
  </si>
  <si>
    <t>KTMĐồng bằngtrạm Small cell</t>
  </si>
  <si>
    <t>KHAĐồng bằngtrạm Small cell</t>
  </si>
  <si>
    <t>LSNĐồng bằngtrạm Small cell</t>
  </si>
  <si>
    <t>LDGĐồng bằngtrạm Small cell</t>
  </si>
  <si>
    <t>LANĐồng bằngtrạm Small cell</t>
  </si>
  <si>
    <t>NDHĐồng bằngtrạm Small cell</t>
  </si>
  <si>
    <t>NBHĐồng bằngtrạm Small cell</t>
  </si>
  <si>
    <t>NTNĐồng bằngtrạm Small cell</t>
  </si>
  <si>
    <t>NANĐồng bằngtrạm Small cell</t>
  </si>
  <si>
    <t>PTOĐồng bằngtrạm Small cell</t>
  </si>
  <si>
    <t>PYNĐồng bằngtrạm Small cell</t>
  </si>
  <si>
    <t>QBHĐồng bằngtrạm Small cell</t>
  </si>
  <si>
    <t>QNMĐồng bằngtrạm Small cell</t>
  </si>
  <si>
    <t>QNHĐồng bằngtrạm Small cell</t>
  </si>
  <si>
    <t>QNIĐồng bằngtrạm Small cell</t>
  </si>
  <si>
    <t>QTIĐồng bằngtrạm Small cell</t>
  </si>
  <si>
    <t>STGĐồng bằngtrạm Small cell</t>
  </si>
  <si>
    <t>TNHĐồng bằngtrạm Small cell</t>
  </si>
  <si>
    <t>TGGĐồng bằngtrạm Small cell</t>
  </si>
  <si>
    <t>TBHĐồng bằngtrạm Small cell</t>
  </si>
  <si>
    <t>THAĐồng bằngtrạm Small cell</t>
  </si>
  <si>
    <t>TTHĐồng bằngtrạm Small cell</t>
  </si>
  <si>
    <t>TVHĐồng bằngtrạm Small cell</t>
  </si>
  <si>
    <t>VLGĐồng bằngtrạm Small cell</t>
  </si>
  <si>
    <t>VPCĐồng bằngtrạm Small cell</t>
  </si>
  <si>
    <t>VTUĐồng bằngtrạm Small cell</t>
  </si>
  <si>
    <t>TNNĐồng bằngtrạm Small cell</t>
  </si>
  <si>
    <t>SLAĐồng bằngtrạm Small cell</t>
  </si>
  <si>
    <t>LCUĐồng bằngtrạm Small cell</t>
  </si>
  <si>
    <t>DBNĐồng bằngtrạm Small cell</t>
  </si>
  <si>
    <t>LCIĐồng bằngtrạm Small cell</t>
  </si>
  <si>
    <t>YBIĐồng bằngtrạm Small cell</t>
  </si>
  <si>
    <t>BKNĐồng bằngtrạm Small cell</t>
  </si>
  <si>
    <t>HGGĐồng bằngtrạm Small cell</t>
  </si>
  <si>
    <t>CBGĐồng bằngtrạm Small cell</t>
  </si>
  <si>
    <t>TQGĐồng bằngtrạm Small cell</t>
  </si>
  <si>
    <t>AGGMiền núitrạm Small cell</t>
  </si>
  <si>
    <t>BLUMiền núitrạm Small cell</t>
  </si>
  <si>
    <t>BGGMiền núitrạm Small cell</t>
  </si>
  <si>
    <t>BNHMiền núitrạm Small cell</t>
  </si>
  <si>
    <t>BTEMiền núitrạm Small cell</t>
  </si>
  <si>
    <t>BDHMiền núitrạm Small cell</t>
  </si>
  <si>
    <t>BDGMiền núitrạm Small cell</t>
  </si>
  <si>
    <t>BPCMiền núitrạm Small cell</t>
  </si>
  <si>
    <t>BTNMiền núitrạm Small cell</t>
  </si>
  <si>
    <t>CMUMiền núitrạm Small cell</t>
  </si>
  <si>
    <t>CTOMiền núitrạm Small cell</t>
  </si>
  <si>
    <t>DNGMiền núitrạm Small cell</t>
  </si>
  <si>
    <t>DLKMiền núitrạm Small cell</t>
  </si>
  <si>
    <t>DCNMiền núitrạm Small cell</t>
  </si>
  <si>
    <t>DNIMiền núitrạm Small cell</t>
  </si>
  <si>
    <t>DTPMiền núitrạm Small cell</t>
  </si>
  <si>
    <t>GLIMiền núitrạm Small cell</t>
  </si>
  <si>
    <t>HNMMiền núitrạm Small cell</t>
  </si>
  <si>
    <t>HTHMiền núitrạm Small cell</t>
  </si>
  <si>
    <t>HDGMiền núitrạm Small cell</t>
  </si>
  <si>
    <t>HPGMiền núitrạm Small cell</t>
  </si>
  <si>
    <t>HUGMiền núitrạm Small cell</t>
  </si>
  <si>
    <t>HBHMiền núitrạm Small cell</t>
  </si>
  <si>
    <t>HCMMiền núitrạm Small cell</t>
  </si>
  <si>
    <t>HYNMiền núitrạm Small cell</t>
  </si>
  <si>
    <t>KGGMiền núitrạm Small cell</t>
  </si>
  <si>
    <t>KTMMiền núitrạm Small cell</t>
  </si>
  <si>
    <t>KHAMiền núitrạm Small cell</t>
  </si>
  <si>
    <t>LSNMiền núitrạm Small cell</t>
  </si>
  <si>
    <t>LDGMiền núitrạm Small cell</t>
  </si>
  <si>
    <t>LANMiền núitrạm Small cell</t>
  </si>
  <si>
    <t>NDHMiền núitrạm Small cell</t>
  </si>
  <si>
    <t>NBHMiền núitrạm Small cell</t>
  </si>
  <si>
    <t>NTNMiền núitrạm Small cell</t>
  </si>
  <si>
    <t>NANMiền núitrạm Small cell</t>
  </si>
  <si>
    <t>PTOMiền núitrạm Small cell</t>
  </si>
  <si>
    <t>PYNMiền núitrạm Small cell</t>
  </si>
  <si>
    <t>QBHMiền núitrạm Small cell</t>
  </si>
  <si>
    <t>QNMMiền núitrạm Small cell</t>
  </si>
  <si>
    <t>QNHMiền núitrạm Small cell</t>
  </si>
  <si>
    <t>QNIMiền núitrạm Small cell</t>
  </si>
  <si>
    <t>QTIMiền núitrạm Small cell</t>
  </si>
  <si>
    <t>STGMiền núitrạm Small cell</t>
  </si>
  <si>
    <t>TNHMiền núitrạm Small cell</t>
  </si>
  <si>
    <t>TGGMiền núitrạm Small cell</t>
  </si>
  <si>
    <t>TBHMiền núitrạm Small cell</t>
  </si>
  <si>
    <t>THAMiền núitrạm Small cell</t>
  </si>
  <si>
    <t>TTHMiền núitrạm Small cell</t>
  </si>
  <si>
    <t>TVHMiền núitrạm Small cell</t>
  </si>
  <si>
    <t>VLGMiền núitrạm Small cell</t>
  </si>
  <si>
    <t>VPCMiền núitrạm Small cell</t>
  </si>
  <si>
    <t>VTUMiền núitrạm Small cell</t>
  </si>
  <si>
    <t>TNNMiền núitrạm Small cell</t>
  </si>
  <si>
    <t>SLAMiền núitrạm Small cell</t>
  </si>
  <si>
    <t>LCUMiền núitrạm Small cell</t>
  </si>
  <si>
    <t>DBNMiền núitrạm Small cell</t>
  </si>
  <si>
    <t>LCIMiền núitrạm Small cell</t>
  </si>
  <si>
    <t>YBIMiền núitrạm Small cell</t>
  </si>
  <si>
    <t>BKNMiền núitrạm Small cell</t>
  </si>
  <si>
    <t>HGGMiền núitrạm Small cell</t>
  </si>
  <si>
    <t>CBGMiền núitrạm Small cell</t>
  </si>
  <si>
    <t>TQGMiền núitrạm Small cell</t>
  </si>
  <si>
    <t>AGGTrên máitrạm Small cell</t>
  </si>
  <si>
    <t>BLUTrên máitrạm Small cell</t>
  </si>
  <si>
    <t>BGGTrên máitrạm Small cell</t>
  </si>
  <si>
    <t>BNHTrên máitrạm Small cell</t>
  </si>
  <si>
    <t>BTETrên máitrạm Small cell</t>
  </si>
  <si>
    <t>BDHTrên máitrạm Small cell</t>
  </si>
  <si>
    <t>BDGTrên máitrạm Small cell</t>
  </si>
  <si>
    <t>BPCTrên máitrạm Small cell</t>
  </si>
  <si>
    <t>BTNTrên máitrạm Small cell</t>
  </si>
  <si>
    <t>CMUTrên máitrạm Small cell</t>
  </si>
  <si>
    <t>CTOTrên máitrạm Small cell</t>
  </si>
  <si>
    <t>DNGTrên máitrạm Small cell</t>
  </si>
  <si>
    <t>DLKTrên máitrạm Small cell</t>
  </si>
  <si>
    <t>DCNTrên máitrạm Small cell</t>
  </si>
  <si>
    <t>DNITrên máitrạm Small cell</t>
  </si>
  <si>
    <t>DTPTrên máitrạm Small cell</t>
  </si>
  <si>
    <t>GLITrên máitrạm Small cell</t>
  </si>
  <si>
    <t>HNMTrên máitrạm Small cell</t>
  </si>
  <si>
    <t>HTHTrên máitrạm Small cell</t>
  </si>
  <si>
    <t>HDGTrên máitrạm Small cell</t>
  </si>
  <si>
    <t>HPGTrên máitrạm Small cell</t>
  </si>
  <si>
    <t>HUGTrên máitrạm Small cell</t>
  </si>
  <si>
    <t>HBHTrên máitrạm Small cell</t>
  </si>
  <si>
    <t>HCMTrên máitrạm Small cell</t>
  </si>
  <si>
    <t>HYNTrên máitrạm Small cell</t>
  </si>
  <si>
    <t>KGGTrên máitrạm Small cell</t>
  </si>
  <si>
    <t>KTMTrên máitrạm Small cell</t>
  </si>
  <si>
    <t>KHATrên máitrạm Small cell</t>
  </si>
  <si>
    <t>LSNTrên máitrạm Small cell</t>
  </si>
  <si>
    <t>LDGTrên máitrạm Small cell</t>
  </si>
  <si>
    <t>LANTrên máitrạm Small cell</t>
  </si>
  <si>
    <t>NDHTrên máitrạm Small cell</t>
  </si>
  <si>
    <t>NBHTrên máitrạm Small cell</t>
  </si>
  <si>
    <t>NTNTrên máitrạm Small cell</t>
  </si>
  <si>
    <t>NANTrên máitrạm Small cell</t>
  </si>
  <si>
    <t>PTOTrên máitrạm Small cell</t>
  </si>
  <si>
    <t>PYNTrên máitrạm Small cell</t>
  </si>
  <si>
    <t>QBHTrên máitrạm Small cell</t>
  </si>
  <si>
    <t>QNMTrên máitrạm Small cell</t>
  </si>
  <si>
    <t>QNHTrên máitrạm Small cell</t>
  </si>
  <si>
    <t>QNITrên máitrạm Small cell</t>
  </si>
  <si>
    <t>QTITrên máitrạm Small cell</t>
  </si>
  <si>
    <t>STGTrên máitrạm Small cell</t>
  </si>
  <si>
    <t>TNHTrên máitrạm Small cell</t>
  </si>
  <si>
    <t>TGGTrên máitrạm Small cell</t>
  </si>
  <si>
    <t>TBHTrên máitrạm Small cell</t>
  </si>
  <si>
    <t>THATrên máitrạm Small cell</t>
  </si>
  <si>
    <t>TTHTrên máitrạm Small cell</t>
  </si>
  <si>
    <t>TVHTrên máitrạm Small cell</t>
  </si>
  <si>
    <t>VLGTrên máitrạm Small cell</t>
  </si>
  <si>
    <t>VPCTrên máitrạm Small cell</t>
  </si>
  <si>
    <t>VTUTrên máitrạm Small cell</t>
  </si>
  <si>
    <t>TNNTrên máitrạm Small cell</t>
  </si>
  <si>
    <t>SLATrên máitrạm Small cell</t>
  </si>
  <si>
    <t>LCUTrên máitrạm Small cell</t>
  </si>
  <si>
    <t>DBNTrên máitrạm Small cell</t>
  </si>
  <si>
    <t>LCITrên máitrạm Small cell</t>
  </si>
  <si>
    <t>YBITrên máitrạm Small cell</t>
  </si>
  <si>
    <t>BKNTrên máitrạm Small cell</t>
  </si>
  <si>
    <t>HGGTrên máitrạm Small cell</t>
  </si>
  <si>
    <t>CBGTrên máitrạm Small cell</t>
  </si>
  <si>
    <t>TQGTrên máitrạm Small cell</t>
  </si>
  <si>
    <t>AGGĐồng bằngtrạm RRU</t>
  </si>
  <si>
    <t>BLUĐồng bằngtrạm RRU</t>
  </si>
  <si>
    <t>BGGĐồng bằngtrạm RRU</t>
  </si>
  <si>
    <t>BNHĐồng bằngtrạm RRU</t>
  </si>
  <si>
    <t>BTEĐồng bằngtrạm RRU</t>
  </si>
  <si>
    <t>BDHĐồng bằngtrạm RRU</t>
  </si>
  <si>
    <t>BDGĐồng bằngtrạm RRU</t>
  </si>
  <si>
    <t>BPCĐồng bằngtrạm RRU</t>
  </si>
  <si>
    <t>BTNĐồng bằngtrạm RRU</t>
  </si>
  <si>
    <t>CMUĐồng bằngtrạm RRU</t>
  </si>
  <si>
    <t>CTOĐồng bằngtrạm RRU</t>
  </si>
  <si>
    <t>DNGĐồng bằngtrạm RRU</t>
  </si>
  <si>
    <t>DLKĐồng bằngtrạm RRU</t>
  </si>
  <si>
    <t>DCNĐồng bằngtrạm RRU</t>
  </si>
  <si>
    <t>DNIĐồng bằngtrạm RRU</t>
  </si>
  <si>
    <t>DTPĐồng bằngtrạm RRU</t>
  </si>
  <si>
    <t>GLIĐồng bằngtrạm RRU</t>
  </si>
  <si>
    <t>HNMĐồng bằngtrạm RRU</t>
  </si>
  <si>
    <t>HTHĐồng bằngtrạm RRU</t>
  </si>
  <si>
    <t>HDGĐồng bằngtrạm RRU</t>
  </si>
  <si>
    <t>HPGĐồng bằngtrạm RRU</t>
  </si>
  <si>
    <t>HUGĐồng bằngtrạm RRU</t>
  </si>
  <si>
    <t>HBHĐồng bằngtrạm RRU</t>
  </si>
  <si>
    <t>HCMĐồng bằngtrạm RRU</t>
  </si>
  <si>
    <t>HYNĐồng bằngtrạm RRU</t>
  </si>
  <si>
    <t>KGGĐồng bằngtrạm RRU</t>
  </si>
  <si>
    <t>KTMĐồng bằngtrạm RRU</t>
  </si>
  <si>
    <t>KHAĐồng bằngtrạm RRU</t>
  </si>
  <si>
    <t>LSNĐồng bằngtrạm RRU</t>
  </si>
  <si>
    <t>LDGĐồng bằngtrạm RRU</t>
  </si>
  <si>
    <t>LANĐồng bằngtrạm RRU</t>
  </si>
  <si>
    <t>NDHĐồng bằngtrạm RRU</t>
  </si>
  <si>
    <t>NBHĐồng bằngtrạm RRU</t>
  </si>
  <si>
    <t>NTNĐồng bằngtrạm RRU</t>
  </si>
  <si>
    <t>NANĐồng bằngtrạm RRU</t>
  </si>
  <si>
    <t>PTOĐồng bằngtrạm RRU</t>
  </si>
  <si>
    <t>PYNĐồng bằngtrạm RRU</t>
  </si>
  <si>
    <t>QBHĐồng bằngtrạm RRU</t>
  </si>
  <si>
    <t>QNMĐồng bằngtrạm RRU</t>
  </si>
  <si>
    <t>QNHĐồng bằngtrạm RRU</t>
  </si>
  <si>
    <t>QNIĐồng bằngtrạm RRU</t>
  </si>
  <si>
    <t>QTIĐồng bằngtrạm RRU</t>
  </si>
  <si>
    <t>STGĐồng bằngtrạm RRU</t>
  </si>
  <si>
    <t>TNHĐồng bằngtrạm RRU</t>
  </si>
  <si>
    <t>TGGĐồng bằngtrạm RRU</t>
  </si>
  <si>
    <t>TBHĐồng bằngtrạm RRU</t>
  </si>
  <si>
    <t>THAĐồng bằngtrạm RRU</t>
  </si>
  <si>
    <t>TTHĐồng bằngtrạm RRU</t>
  </si>
  <si>
    <t>TVHĐồng bằngtrạm RRU</t>
  </si>
  <si>
    <t>VLGĐồng bằngtrạm RRU</t>
  </si>
  <si>
    <t>VPCĐồng bằngtrạm RRU</t>
  </si>
  <si>
    <t>VTUĐồng bằngtrạm RRU</t>
  </si>
  <si>
    <t>TNNĐồng bằngtrạm RRU</t>
  </si>
  <si>
    <t>SLAĐồng bằngtrạm RRU</t>
  </si>
  <si>
    <t>LCUĐồng bằngtrạm RRU</t>
  </si>
  <si>
    <t>DBNĐồng bằngtrạm RRU</t>
  </si>
  <si>
    <t>LCIĐồng bằngtrạm RRU</t>
  </si>
  <si>
    <t>YBIĐồng bằngtrạm RRU</t>
  </si>
  <si>
    <t>BKNĐồng bằngtrạm RRU</t>
  </si>
  <si>
    <t>HGGĐồng bằngtrạm RRU</t>
  </si>
  <si>
    <t>CBGĐồng bằngtrạm RRU</t>
  </si>
  <si>
    <t>TQGĐồng bằngtrạm RRU</t>
  </si>
  <si>
    <t>AGGMiền núitrạm RRU</t>
  </si>
  <si>
    <t>BLUMiền núitrạm RRU</t>
  </si>
  <si>
    <t>BGGMiền núitrạm RRU</t>
  </si>
  <si>
    <t>BNHMiền núitrạm RRU</t>
  </si>
  <si>
    <t>BTEMiền núitrạm RRU</t>
  </si>
  <si>
    <t>BDHMiền núitrạm RRU</t>
  </si>
  <si>
    <t>BDGMiền núitrạm RRU</t>
  </si>
  <si>
    <t>BPCMiền núitrạm RRU</t>
  </si>
  <si>
    <t>BTNMiền núitrạm RRU</t>
  </si>
  <si>
    <t>CMUMiền núitrạm RRU</t>
  </si>
  <si>
    <t>CTOMiền núitrạm RRU</t>
  </si>
  <si>
    <t>DNGMiền núitrạm RRU</t>
  </si>
  <si>
    <t>DLKMiền núitrạm RRU</t>
  </si>
  <si>
    <t>DCNMiền núitrạm RRU</t>
  </si>
  <si>
    <t>DNIMiền núitrạm RRU</t>
  </si>
  <si>
    <t>DTPMiền núitrạm RRU</t>
  </si>
  <si>
    <t>GLIMiền núitrạm RRU</t>
  </si>
  <si>
    <t>HNMMiền núitrạm RRU</t>
  </si>
  <si>
    <t>HTHMiền núitrạm RRU</t>
  </si>
  <si>
    <t>HDGMiền núitrạm RRU</t>
  </si>
  <si>
    <t>HPGMiền núitrạm RRU</t>
  </si>
  <si>
    <t>HUGMiền núitrạm RRU</t>
  </si>
  <si>
    <t>HBHMiền núitrạm RRU</t>
  </si>
  <si>
    <t>HCMMiền núitrạm RRU</t>
  </si>
  <si>
    <t>HYNMiền núitrạm RRU</t>
  </si>
  <si>
    <t>KGGMiền núitrạm RRU</t>
  </si>
  <si>
    <t>KTMMiền núitrạm RRU</t>
  </si>
  <si>
    <t>KHAMiền núitrạm RRU</t>
  </si>
  <si>
    <t>LSNMiền núitrạm RRU</t>
  </si>
  <si>
    <t>LDGMiền núitrạm RRU</t>
  </si>
  <si>
    <t>LANMiền núitrạm RRU</t>
  </si>
  <si>
    <t>NDHMiền núitrạm RRU</t>
  </si>
  <si>
    <t>NBHMiền núitrạm RRU</t>
  </si>
  <si>
    <t>NTNMiền núitrạm RRU</t>
  </si>
  <si>
    <t>NANMiền núitrạm RRU</t>
  </si>
  <si>
    <t>PTOMiền núitrạm RRU</t>
  </si>
  <si>
    <t>PYNMiền núitrạm RRU</t>
  </si>
  <si>
    <t>QBHMiền núitrạm RRU</t>
  </si>
  <si>
    <t>QNMMiền núitrạm RRU</t>
  </si>
  <si>
    <t>QNHMiền núitrạm RRU</t>
  </si>
  <si>
    <t>QNIMiền núitrạm RRU</t>
  </si>
  <si>
    <t>QTIMiền núitrạm RRU</t>
  </si>
  <si>
    <t>STGMiền núitrạm RRU</t>
  </si>
  <si>
    <t>TNHMiền núitrạm RRU</t>
  </si>
  <si>
    <t>TGGMiền núitrạm RRU</t>
  </si>
  <si>
    <t>TBHMiền núitrạm RRU</t>
  </si>
  <si>
    <t>THAMiền núitrạm RRU</t>
  </si>
  <si>
    <t>TTHMiền núitrạm RRU</t>
  </si>
  <si>
    <t>TVHMiền núitrạm RRU</t>
  </si>
  <si>
    <t>VLGMiền núitrạm RRU</t>
  </si>
  <si>
    <t>VPCMiền núitrạm RRU</t>
  </si>
  <si>
    <t>VTUMiền núitrạm RRU</t>
  </si>
  <si>
    <t>TNNMiền núitrạm RRU</t>
  </si>
  <si>
    <t>SLAMiền núitrạm RRU</t>
  </si>
  <si>
    <t>LCUMiền núitrạm RRU</t>
  </si>
  <si>
    <t>DBNMiền núitrạm RRU</t>
  </si>
  <si>
    <t>LCIMiền núitrạm RRU</t>
  </si>
  <si>
    <t>YBIMiền núitrạm RRU</t>
  </si>
  <si>
    <t>BKNMiền núitrạm RRU</t>
  </si>
  <si>
    <t>HGGMiền núitrạm RRU</t>
  </si>
  <si>
    <t>CBGMiền núitrạm RRU</t>
  </si>
  <si>
    <t>TQGMiền núitrạm RRU</t>
  </si>
  <si>
    <t>AGGTrên máitrạm RRU</t>
  </si>
  <si>
    <t>BLUTrên máitrạm RRU</t>
  </si>
  <si>
    <t>BGGTrên máitrạm RRU</t>
  </si>
  <si>
    <t>BNHTrên máitrạm RRU</t>
  </si>
  <si>
    <t>BTETrên máitrạm RRU</t>
  </si>
  <si>
    <t>BDHTrên máitrạm RRU</t>
  </si>
  <si>
    <t>BDGTrên máitrạm RRU</t>
  </si>
  <si>
    <t>BPCTrên máitrạm RRU</t>
  </si>
  <si>
    <t>BTNTrên máitrạm RRU</t>
  </si>
  <si>
    <t>CMUTrên máitrạm RRU</t>
  </si>
  <si>
    <t>CTOTrên máitrạm RRU</t>
  </si>
  <si>
    <t>DNGTrên máitrạm RRU</t>
  </si>
  <si>
    <t>DLKTrên máitrạm RRU</t>
  </si>
  <si>
    <t>DCNTrên máitrạm RRU</t>
  </si>
  <si>
    <t>DNITrên máitrạm RRU</t>
  </si>
  <si>
    <t>DTPTrên máitrạm RRU</t>
  </si>
  <si>
    <t>GLITrên máitrạm RRU</t>
  </si>
  <si>
    <t>HNMTrên máitrạm RRU</t>
  </si>
  <si>
    <t>HTHTrên máitrạm RRU</t>
  </si>
  <si>
    <t>HDGTrên máitrạm RRU</t>
  </si>
  <si>
    <t>HPGTrên máitrạm RRU</t>
  </si>
  <si>
    <t>HUGTrên máitrạm RRU</t>
  </si>
  <si>
    <t>HBHTrên máitrạm RRU</t>
  </si>
  <si>
    <t>HCMTrên máitrạm RRU</t>
  </si>
  <si>
    <t>HYNTrên máitrạm RRU</t>
  </si>
  <si>
    <t>KGGTrên máitrạm RRU</t>
  </si>
  <si>
    <t>KTMTrên máitrạm RRU</t>
  </si>
  <si>
    <t>KHATrên máitrạm RRU</t>
  </si>
  <si>
    <t>LSNTrên máitrạm RRU</t>
  </si>
  <si>
    <t>LDGTrên máitrạm RRU</t>
  </si>
  <si>
    <t>LANTrên máitrạm RRU</t>
  </si>
  <si>
    <t>NDHTrên máitrạm RRU</t>
  </si>
  <si>
    <t>NBHTrên máitrạm RRU</t>
  </si>
  <si>
    <t>NTNTrên máitrạm RRU</t>
  </si>
  <si>
    <t>NANTrên máitrạm RRU</t>
  </si>
  <si>
    <t>PTOTrên máitrạm RRU</t>
  </si>
  <si>
    <t>PYNTrên máitrạm RRU</t>
  </si>
  <si>
    <t>QBHTrên máitrạm RRU</t>
  </si>
  <si>
    <t>QNMTrên máitrạm RRU</t>
  </si>
  <si>
    <t>QNHTrên máitrạm RRU</t>
  </si>
  <si>
    <t>QNITrên máitrạm RRU</t>
  </si>
  <si>
    <t>QTITrên máitrạm RRU</t>
  </si>
  <si>
    <t>STGTrên máitrạm RRU</t>
  </si>
  <si>
    <t>TNHTrên máitrạm RRU</t>
  </si>
  <si>
    <t>TGGTrên máitrạm RRU</t>
  </si>
  <si>
    <t>TBHTrên máitrạm RRU</t>
  </si>
  <si>
    <t>THATrên máitrạm RRU</t>
  </si>
  <si>
    <t>TTHTrên máitrạm RRU</t>
  </si>
  <si>
    <t>TVHTrên máitrạm RRU</t>
  </si>
  <si>
    <t>VLGTrên máitrạm RRU</t>
  </si>
  <si>
    <t>VPCTrên máitrạm RRU</t>
  </si>
  <si>
    <t>VTUTrên máitrạm RRU</t>
  </si>
  <si>
    <t>TNNTrên máitrạm RRU</t>
  </si>
  <si>
    <t>SLATrên máitrạm RRU</t>
  </si>
  <si>
    <t>LCUTrên máitrạm RRU</t>
  </si>
  <si>
    <t>DBNTrên máitrạm RRU</t>
  </si>
  <si>
    <t>LCITrên máitrạm RRU</t>
  </si>
  <si>
    <t>YBITrên máitrạm RRU</t>
  </si>
  <si>
    <t>BKNTrên máitrạm RRU</t>
  </si>
  <si>
    <t>HGGTrên máitrạm RRU</t>
  </si>
  <si>
    <t>CBGTrên máitrạm RRU</t>
  </si>
  <si>
    <t>TQGTrên máitrạm RRU</t>
  </si>
  <si>
    <t>AGGĐồng bằngtrạm BTS</t>
  </si>
  <si>
    <t>NBHĐồng bằngtrạm BTS</t>
  </si>
  <si>
    <t>AGGMiền núitrạm BTS</t>
  </si>
  <si>
    <t>BLUMiền núitrạm BTS</t>
  </si>
  <si>
    <t>BGGMiền núitrạm BTS</t>
  </si>
  <si>
    <t>BNHMiền núitrạm BTS</t>
  </si>
  <si>
    <t>BTEMiền núitrạm BTS</t>
  </si>
  <si>
    <t>BDHMiền núitrạm BTS</t>
  </si>
  <si>
    <t>BDGMiền núitrạm BTS</t>
  </si>
  <si>
    <t>BPCMiền núitrạm BTS</t>
  </si>
  <si>
    <t>BTNMiền núitrạm BTS</t>
  </si>
  <si>
    <t>CMUMiền núitrạm BTS</t>
  </si>
  <si>
    <t>CTOMiền núitrạm BTS</t>
  </si>
  <si>
    <t>DNGMiền núitrạm BTS</t>
  </si>
  <si>
    <t>DLKMiền núitrạm BTS</t>
  </si>
  <si>
    <t>DCNMiền núitrạm BTS</t>
  </si>
  <si>
    <t>DNIMiền núitrạm BTS</t>
  </si>
  <si>
    <t>DTPMiền núitrạm BTS</t>
  </si>
  <si>
    <t>GLIMiền núitrạm BTS</t>
  </si>
  <si>
    <t>HNMMiền núitrạm BTS</t>
  </si>
  <si>
    <t>HTHMiền núitrạm BTS</t>
  </si>
  <si>
    <t>HDGMiền núitrạm BTS</t>
  </si>
  <si>
    <t>HPGMiền núitrạm BTS</t>
  </si>
  <si>
    <t>HUGMiền núitrạm BTS</t>
  </si>
  <si>
    <t>HBHMiền núitrạm BTS</t>
  </si>
  <si>
    <t>HCMMiền núitrạm BTS</t>
  </si>
  <si>
    <t>HYNMiền núitrạm BTS</t>
  </si>
  <si>
    <t>KGGMiền núitrạm BTS</t>
  </si>
  <si>
    <t>KTMMiền núitrạm BTS</t>
  </si>
  <si>
    <t>KHAMiền núitrạm BTS</t>
  </si>
  <si>
    <t>LSNMiền núitrạm BTS</t>
  </si>
  <si>
    <t>LDGMiền núitrạm BTS</t>
  </si>
  <si>
    <t>LANMiền núitrạm BTS</t>
  </si>
  <si>
    <t>NDHMiền núitrạm BTS</t>
  </si>
  <si>
    <t>NBHMiền núitrạm BTS</t>
  </si>
  <si>
    <t>NTNMiền núitrạm BTS</t>
  </si>
  <si>
    <t>NANMiền núitrạm BTS</t>
  </si>
  <si>
    <t>PTOMiền núitrạm BTS</t>
  </si>
  <si>
    <t>PYNMiền núitrạm BTS</t>
  </si>
  <si>
    <t>QBHMiền núitrạm BTS</t>
  </si>
  <si>
    <t>QNMMiền núitrạm BTS</t>
  </si>
  <si>
    <t>QNHMiền núitrạm BTS</t>
  </si>
  <si>
    <t>QNIMiền núitrạm BTS</t>
  </si>
  <si>
    <t>QTIMiền núitrạm BTS</t>
  </si>
  <si>
    <t>STGMiền núitrạm BTS</t>
  </si>
  <si>
    <t>TNHMiền núitrạm BTS</t>
  </si>
  <si>
    <t>TGGMiền núitrạm BTS</t>
  </si>
  <si>
    <t>TBHMiền núitrạm BTS</t>
  </si>
  <si>
    <t>THAMiền núitrạm BTS</t>
  </si>
  <si>
    <t>TTHMiền núitrạm BTS</t>
  </si>
  <si>
    <t>TVHMiền núitrạm BTS</t>
  </si>
  <si>
    <t>VLGMiền núitrạm BTS</t>
  </si>
  <si>
    <t>VPCMiền núitrạm BTS</t>
  </si>
  <si>
    <t>VTUMiền núitrạm BTS</t>
  </si>
  <si>
    <t>TNNMiền núitrạm BTS</t>
  </si>
  <si>
    <t>SLAMiền núitrạm BTS</t>
  </si>
  <si>
    <t>LCUMiền núitrạm BTS</t>
  </si>
  <si>
    <t>DBNMiền núitrạm BTS</t>
  </si>
  <si>
    <t>LCIMiền núitrạm BTS</t>
  </si>
  <si>
    <t>YBIMiền núitrạm BTS</t>
  </si>
  <si>
    <t>BKNMiền núitrạm BTS</t>
  </si>
  <si>
    <t>HGGMiền núitrạm BTS</t>
  </si>
  <si>
    <t>CBGMiền núitrạm BTS</t>
  </si>
  <si>
    <t>TQGMiền núitrạm BTS</t>
  </si>
  <si>
    <t>AGGTrên máitrạm BTS</t>
  </si>
  <si>
    <t>BLUTrên máitrạm BTS</t>
  </si>
  <si>
    <t>BGGTrên máitrạm BTS</t>
  </si>
  <si>
    <t>BNHTrên máitrạm BTS</t>
  </si>
  <si>
    <t>BTETrên máitrạm BTS</t>
  </si>
  <si>
    <t>BDHTrên máitrạm BTS</t>
  </si>
  <si>
    <t>BDGTrên máitrạm BTS</t>
  </si>
  <si>
    <t>BPCTrên máitrạm BTS</t>
  </si>
  <si>
    <t>BTNTrên máitrạm BTS</t>
  </si>
  <si>
    <t>CMUTrên máitrạm BTS</t>
  </si>
  <si>
    <t>CTOTrên máitrạm BTS</t>
  </si>
  <si>
    <t>DNGTrên máitrạm BTS</t>
  </si>
  <si>
    <t>DLKTrên máitrạm BTS</t>
  </si>
  <si>
    <t>DCNTrên máitrạm BTS</t>
  </si>
  <si>
    <t>DNITrên máitrạm BTS</t>
  </si>
  <si>
    <t>DTPTrên máitrạm BTS</t>
  </si>
  <si>
    <t>GLITrên máitrạm BTS</t>
  </si>
  <si>
    <t>HNMTrên máitrạm BTS</t>
  </si>
  <si>
    <t>HTHTrên máitrạm BTS</t>
  </si>
  <si>
    <t>HDGTrên máitrạm BTS</t>
  </si>
  <si>
    <t>HPGTrên máitrạm BTS</t>
  </si>
  <si>
    <t>HUGTrên máitrạm BTS</t>
  </si>
  <si>
    <t>HBHTrên máitrạm BTS</t>
  </si>
  <si>
    <t>HCMTrên máitrạm BTS</t>
  </si>
  <si>
    <t>HYNTrên máitrạm BTS</t>
  </si>
  <si>
    <t>KGGTrên máitrạm BTS</t>
  </si>
  <si>
    <t>KTMTrên máitrạm BTS</t>
  </si>
  <si>
    <t>KHATrên máitrạm BTS</t>
  </si>
  <si>
    <t>LSNTrên máitrạm BTS</t>
  </si>
  <si>
    <t>LDGTrên máitrạm BTS</t>
  </si>
  <si>
    <t>LANTrên máitrạm BTS</t>
  </si>
  <si>
    <t>NDHTrên máitrạm BTS</t>
  </si>
  <si>
    <t>NBHTrên máitrạm BTS</t>
  </si>
  <si>
    <t>NTNTrên máitrạm BTS</t>
  </si>
  <si>
    <t>NANTrên máitrạm BTS</t>
  </si>
  <si>
    <t>PTOTrên máitrạm BTS</t>
  </si>
  <si>
    <t>PYNTrên máitrạm BTS</t>
  </si>
  <si>
    <t>QBHTrên máitrạm BTS</t>
  </si>
  <si>
    <t>QNMTrên máitrạm BTS</t>
  </si>
  <si>
    <t>QNHTrên máitrạm BTS</t>
  </si>
  <si>
    <t>QNITrên máitrạm BTS</t>
  </si>
  <si>
    <t>QTITrên máitrạm BTS</t>
  </si>
  <si>
    <t>STGTrên máitrạm BTS</t>
  </si>
  <si>
    <t>TNHTrên máitrạm BTS</t>
  </si>
  <si>
    <t>TGGTrên máitrạm BTS</t>
  </si>
  <si>
    <t>TBHTrên máitrạm BTS</t>
  </si>
  <si>
    <t>THATrên máitrạm BTS</t>
  </si>
  <si>
    <t>TTHTrên máitrạm BTS</t>
  </si>
  <si>
    <t>TVHTrên máitrạm BTS</t>
  </si>
  <si>
    <t>VLGTrên máitrạm BTS</t>
  </si>
  <si>
    <t>VPCTrên máitrạm BTS</t>
  </si>
  <si>
    <t>VTUTrên máitrạm BTS</t>
  </si>
  <si>
    <t>TNNTrên máitrạm BTS</t>
  </si>
  <si>
    <t>SLATrên máitrạm BTS</t>
  </si>
  <si>
    <t>LCUTrên máitrạm BTS</t>
  </si>
  <si>
    <t>DBNTrên máitrạm BTS</t>
  </si>
  <si>
    <t>LCITrên máitrạm BTS</t>
  </si>
  <si>
    <t>YBITrên máitrạm BTS</t>
  </si>
  <si>
    <t>BKNTrên máitrạm BTS</t>
  </si>
  <si>
    <t>HGGTrên máitrạm BTS</t>
  </si>
  <si>
    <t>CBGTrên máitrạm BTS</t>
  </si>
  <si>
    <t>TQGTrên máitrạm BTS</t>
  </si>
  <si>
    <t>Tỷ lệ giao khoán xuống chi nhánh</t>
  </si>
  <si>
    <t>Tỷ lệ nhân Capex trong chào giá</t>
  </si>
  <si>
    <t>Chi phí nhân công vận hành khai thác</t>
  </si>
  <si>
    <t>Nhóm 1QuậnTrên máitrạm BTS</t>
  </si>
  <si>
    <t>Nhóm 1Thị trấn - HuyệnTrên máitrạm BTS</t>
  </si>
  <si>
    <t>Nhóm 1Xã - HuyệnTrên máitrạm BTS</t>
  </si>
  <si>
    <t>Nhóm 2Thành phốTrên máitrạm BTS</t>
  </si>
  <si>
    <t>Nhóm 2Thị xãTrên máitrạm BTS</t>
  </si>
  <si>
    <t>Nhóm 2Thị trấn - HuyệnTrên máitrạm BTS</t>
  </si>
  <si>
    <t>Nhóm 2Xã - HuyệnTrên máitrạm BTS</t>
  </si>
  <si>
    <t>Nhóm 4Thành phốTrên máitrạm BTS</t>
  </si>
  <si>
    <t>Nhóm 4Thị xãTrên máitrạm BTS</t>
  </si>
  <si>
    <t>Nhóm 4Thị trấn - HuyệnTrên máitrạm BTS</t>
  </si>
  <si>
    <t>Nhóm 4Xã - HuyệnTrên máitrạm BTS</t>
  </si>
  <si>
    <t>Nhóm 5Thành phốTrên máitrạm BTS</t>
  </si>
  <si>
    <t>Nhóm 5Thị xãTrên máitrạm BTS</t>
  </si>
  <si>
    <t>Nhóm 5Thị trấn - HuyệnTrên máitrạm BTS</t>
  </si>
  <si>
    <t>Nhóm 5Xã - HuyệnTrên máitrạm BTS</t>
  </si>
  <si>
    <t>Nhóm 6Thành phốTrên máitrạm BTS</t>
  </si>
  <si>
    <t>Nhóm 6Thị xãTrên máitrạm BTS</t>
  </si>
  <si>
    <t>Nhóm 6Thị trấn - HuyệnTrên máitrạm BTS</t>
  </si>
  <si>
    <t>Nhóm 6Xã - HuyệnTrên máitrạm BTS</t>
  </si>
  <si>
    <t>Nhóm 7Thành phốTrên máitrạm BTS</t>
  </si>
  <si>
    <t>Nhóm 7Thị xãTrên máitrạm BTS</t>
  </si>
  <si>
    <t>Nhóm 7Thị trấn - HuyệnTrên máitrạm BTS</t>
  </si>
  <si>
    <t>Nhóm 7Xã - HuyệnTrên máitrạm BTS</t>
  </si>
  <si>
    <t>Nhóm 8QuậnTrên máitrạm BTS</t>
  </si>
  <si>
    <t>Nhóm 8Thành phốTrên máitrạm BTS</t>
  </si>
  <si>
    <t>Nhóm 8Thị xãTrên máitrạm BTS</t>
  </si>
  <si>
    <t>Nhóm 8Thị trấn - HuyệnTrên máitrạm BTS</t>
  </si>
  <si>
    <t>Nhóm 8Xã - HuyệnTrên máitrạm BTS</t>
  </si>
  <si>
    <t>Nhóm 9QuậnTrên máitrạm BTS</t>
  </si>
  <si>
    <t>Nhóm 9Thành phốTrên máitrạm BTS</t>
  </si>
  <si>
    <t>Nhóm 9Thị xãTrên máitrạm BTS</t>
  </si>
  <si>
    <t>Nhóm 9Thị trấn - HuyệnTrên máitrạm BTS</t>
  </si>
  <si>
    <t>Nhóm 9Xã - HuyệnTrên máitrạm BTS</t>
  </si>
  <si>
    <t>Nhóm 1QuậnDưới đấttrạm BTS</t>
  </si>
  <si>
    <t>Nhóm 1Thị trấn - HuyệnDưới đấttrạm BTS</t>
  </si>
  <si>
    <t>Nhóm 1Xã - HuyệnDưới đấttrạm BTS</t>
  </si>
  <si>
    <t>Nhóm 2Thành phốDưới đấttrạm BTS</t>
  </si>
  <si>
    <t>Nhóm 2Thị xãDưới đấttrạm BTS</t>
  </si>
  <si>
    <t>Nhóm 2Thị trấn - HuyệnDưới đấttrạm BTS</t>
  </si>
  <si>
    <t>Nhóm 2Xã - HuyệnDưới đấttrạm BTS</t>
  </si>
  <si>
    <t>Nhóm 4Thành phốDưới đấttrạm BTS</t>
  </si>
  <si>
    <t>Nhóm 4Thị xãDưới đấttrạm BTS</t>
  </si>
  <si>
    <t>Nhóm 4Thị trấn - HuyệnDưới đấttrạm BTS</t>
  </si>
  <si>
    <t>Nhóm 4Xã - HuyệnDưới đấttrạm BTS</t>
  </si>
  <si>
    <t>Nhóm 5Thành phốDưới đấttrạm BTS</t>
  </si>
  <si>
    <t>Nhóm 5Thị xãDưới đấttrạm BTS</t>
  </si>
  <si>
    <t>Nhóm 5Thị trấn - HuyệnDưới đấttrạm BTS</t>
  </si>
  <si>
    <t>Nhóm 5Xã - HuyệnDưới đấttrạm BTS</t>
  </si>
  <si>
    <t>Nhóm 6Thành phốDưới đấttrạm BTS</t>
  </si>
  <si>
    <t>Nhóm 6Thị xãDưới đấttrạm BTS</t>
  </si>
  <si>
    <t>Nhóm 6Thị trấn - HuyệnDưới đấttrạm BTS</t>
  </si>
  <si>
    <t>Nhóm 6Xã - HuyệnDưới đấttrạm BTS</t>
  </si>
  <si>
    <t>Nhóm 7Thành phốDưới đấttrạm BTS</t>
  </si>
  <si>
    <t>Nhóm 7Thị xãDưới đấttrạm BTS</t>
  </si>
  <si>
    <t>Nhóm 7Thị trấn - HuyệnDưới đấttrạm BTS</t>
  </si>
  <si>
    <t>Nhóm 7Xã - HuyệnDưới đấttrạm BTS</t>
  </si>
  <si>
    <t>Nhóm 8QuậnDưới đấttrạm BTS</t>
  </si>
  <si>
    <t>Nhóm 8Thành phốDưới đấttrạm BTS</t>
  </si>
  <si>
    <t>Nhóm 8Thị xãDưới đấttrạm BTS</t>
  </si>
  <si>
    <t>Nhóm 8Thị trấn - HuyệnDưới đấttrạm BTS</t>
  </si>
  <si>
    <t>Nhóm 8Xã - HuyệnDưới đấttrạm BTS</t>
  </si>
  <si>
    <t>Nhóm 9QuậnDưới đấttrạm BTS</t>
  </si>
  <si>
    <t>Nhóm 9Thành phốDưới đấttrạm BTS</t>
  </si>
  <si>
    <t>Nhóm 9Thị xãDưới đấttrạm BTS</t>
  </si>
  <si>
    <t>Nhóm 9Thị trấn - HuyệnDưới đấttrạm BTS</t>
  </si>
  <si>
    <t>Nhóm 9Xã - HuyệnDưới đấttrạm BTS</t>
  </si>
  <si>
    <t>HNI- ngoại thànhĐồng bằngtrạm BTS</t>
  </si>
  <si>
    <t>HNI- ngoại thànhMiền núitrạm BTS</t>
  </si>
  <si>
    <t>HNI- ngoại thànhTrên máitrạm BTS</t>
  </si>
  <si>
    <t>HNI- ngoại thànhĐồng bằngtrạm RRU</t>
  </si>
  <si>
    <t>HNI- ngoại thànhMiền núitrạm RRU</t>
  </si>
  <si>
    <t>HNI- ngoại thànhTrên máitrạm RRU</t>
  </si>
  <si>
    <t>HNI- ngoại thànhĐồng bằngtrạm Small cell</t>
  </si>
  <si>
    <t>HNI- ngoại thànhMiền núitrạm Small cell</t>
  </si>
  <si>
    <t>HNI- ngoại thànhTrên máitrạm Small cell</t>
  </si>
  <si>
    <t>HNI- Nội thànhĐồng bằngtrạm BTS</t>
  </si>
  <si>
    <t>HNI- Nội thànhMiền núitrạm BTS</t>
  </si>
  <si>
    <t>HNI- Nội thànhTrên máitrạm BTS</t>
  </si>
  <si>
    <t>HNI- Nội thànhĐồng bằngtrạm RRU</t>
  </si>
  <si>
    <t>HNI- Nội thànhMiền núitrạm RRU</t>
  </si>
  <si>
    <t>HNI- Nội thànhTrên máitrạm RRU</t>
  </si>
  <si>
    <t>HNI- Nội thànhĐồng bằngtrạm Small cell</t>
  </si>
  <si>
    <t>HNI- Nội thànhMiền núitrạm Small cell</t>
  </si>
  <si>
    <t>HNI- Nội thànhTrên máitrạm Small cell</t>
  </si>
  <si>
    <t>QBHĐồng bằngtrạm BTS</t>
  </si>
  <si>
    <t>BLUĐồng bằngtrạm BTS</t>
  </si>
  <si>
    <t>BGGĐồng bằngtrạm BTS</t>
  </si>
  <si>
    <t>BNHĐồng bằngtrạm BTS</t>
  </si>
  <si>
    <t>BTEĐồng bằngtrạm BTS</t>
  </si>
  <si>
    <t>BDHĐồng bằngtrạm BTS</t>
  </si>
  <si>
    <t>BDGĐồng bằngtrạm BTS</t>
  </si>
  <si>
    <t>BPCĐồng bằngtrạm BTS</t>
  </si>
  <si>
    <t>BTNĐồng bằngtrạm BTS</t>
  </si>
  <si>
    <t>CMUĐồng bằngtrạm BTS</t>
  </si>
  <si>
    <t>CTOĐồng bằngtrạm BTS</t>
  </si>
  <si>
    <t>DNGĐồng bằngtrạm BTS</t>
  </si>
  <si>
    <t>DLKĐồng bằngtrạm BTS</t>
  </si>
  <si>
    <t>DCNĐồng bằngtrạm BTS</t>
  </si>
  <si>
    <t>DNIĐồng bằngtrạm BTS</t>
  </si>
  <si>
    <t>DTPĐồng bằngtrạm BTS</t>
  </si>
  <si>
    <t>GLIĐồng bằngtrạm BTS</t>
  </si>
  <si>
    <t>HNMĐồng bằngtrạm BTS</t>
  </si>
  <si>
    <t>HTHĐồng bằngtrạm BTS</t>
  </si>
  <si>
    <t>HDGĐồng bằngtrạm BTS</t>
  </si>
  <si>
    <t>HPGĐồng bằngtrạm BTS</t>
  </si>
  <si>
    <t>HUGĐồng bằngtrạm BTS</t>
  </si>
  <si>
    <t>HBHĐồng bằngtrạm BTS</t>
  </si>
  <si>
    <t>HCMĐồng bằngtrạm BTS</t>
  </si>
  <si>
    <t>HYNĐồng bằngtrạm BTS</t>
  </si>
  <si>
    <t>KGGĐồng bằngtrạm BTS</t>
  </si>
  <si>
    <t>KTMĐồng bằngtrạm BTS</t>
  </si>
  <si>
    <t>KHAĐồng bằngtrạm BTS</t>
  </si>
  <si>
    <t>LSNĐồng bằngtrạm BTS</t>
  </si>
  <si>
    <t>LDGĐồng bằngtrạm BTS</t>
  </si>
  <si>
    <t>LANĐồng bằngtrạm BTS</t>
  </si>
  <si>
    <t>NDHĐồng bằngtrạm BTS</t>
  </si>
  <si>
    <t>NTNĐồng bằngtrạm BTS</t>
  </si>
  <si>
    <t>NANĐồng bằngtrạm BTS</t>
  </si>
  <si>
    <t>PTOĐồng bằngtrạm BTS</t>
  </si>
  <si>
    <t>PYNĐồng bằngtrạm BTS</t>
  </si>
  <si>
    <t>QNMĐồng bằngtrạm BTS</t>
  </si>
  <si>
    <t>QNHĐồng bằngtrạm BTS</t>
  </si>
  <si>
    <t>QNIĐồng bằngtrạm BTS</t>
  </si>
  <si>
    <t>QTIĐồng bằngtrạm BTS</t>
  </si>
  <si>
    <t>STGĐồng bằngtrạm BTS</t>
  </si>
  <si>
    <t>TNHĐồng bằngtrạm BTS</t>
  </si>
  <si>
    <t>TGGĐồng bằngtrạm BTS</t>
  </si>
  <si>
    <t>TBHĐồng bằngtrạm BTS</t>
  </si>
  <si>
    <t>THAĐồng bằngtrạm BTS</t>
  </si>
  <si>
    <t>TTHĐồng bằngtrạm BTS</t>
  </si>
  <si>
    <t>TVHĐồng bằngtrạm BTS</t>
  </si>
  <si>
    <t>VLGĐồng bằngtrạm BTS</t>
  </si>
  <si>
    <t>VPCĐồng bằngtrạm BTS</t>
  </si>
  <si>
    <t>VTUĐồng bằngtrạm BTS</t>
  </si>
  <si>
    <t>TNNĐồng bằngtrạm BTS</t>
  </si>
  <si>
    <t>SLAĐồng bằngtrạm BTS</t>
  </si>
  <si>
    <t>LCUĐồng bằngtrạm BTS</t>
  </si>
  <si>
    <t>DBNĐồng bằngtrạm BTS</t>
  </si>
  <si>
    <t>LCIĐồng bằngtrạm BTS</t>
  </si>
  <si>
    <t>YBIĐồng bằngtrạm BTS</t>
  </si>
  <si>
    <t>BKNĐồng bằngtrạm BTS</t>
  </si>
  <si>
    <t>HGGĐồng bằngtrạm BTS</t>
  </si>
  <si>
    <t>CBGĐồng bằngtrạm BTS</t>
  </si>
  <si>
    <t>TQGĐồng bằngtrạm BTS</t>
  </si>
  <si>
    <t>TỔNG CHI PHÍ XÂY DỰNG + Thiết bị (Gxd+ Gtb)</t>
  </si>
  <si>
    <t>Tổng chi phí nguồn (Gtb)</t>
  </si>
  <si>
    <t xml:space="preserve">THƯ GIÁ CHÀO </t>
  </si>
  <si>
    <t>(Đính kèm Đơn chào giá số:        /CG-VCC)</t>
  </si>
  <si>
    <t>Nhóm 3Xã - HuyệnDưới đấttrạm RRU</t>
  </si>
  <si>
    <t>Nhóm 3Thành phốTrên máitrạm BTS</t>
  </si>
  <si>
    <t>Nhóm 3Thị xãTrên máitrạm BTS</t>
  </si>
  <si>
    <t>Nhóm 3Thị trấn - HuyệnTrên máitrạm BTS</t>
  </si>
  <si>
    <t>Nhóm 3Xã - HuyệnTrên máitrạm BTS</t>
  </si>
  <si>
    <t>Nhóm 3Thành phốDưới đấttrạm BTS</t>
  </si>
  <si>
    <t>Nhóm 3Thị xãDưới đấttrạm BTS</t>
  </si>
  <si>
    <t>Nhóm 3Thị trấn - HuyệnDưới đấttrạm BTS</t>
  </si>
  <si>
    <t>Nhóm 3Xã - HuyệnDưới đấttrạm BTS</t>
  </si>
  <si>
    <t>Nhóm 3Thành phốTrên máitrạm RRU</t>
  </si>
  <si>
    <t>Nhóm 3Thị xãTrên máitrạm RRU</t>
  </si>
  <si>
    <t>Nhóm 3Thị trấn - HuyệnTrên máitrạm RRU</t>
  </si>
  <si>
    <t>Nhóm 3Xã - HuyệnTrên máitrạm RRU</t>
  </si>
  <si>
    <t>Nhóm 3Thành phốDưới đấttrạm RRU</t>
  </si>
  <si>
    <t>Nhóm 3Thị xãDưới đấttrạm RRU</t>
  </si>
  <si>
    <t>Nhóm 3Thị trấn - HuyệnDưới đấttrạm RRU</t>
  </si>
  <si>
    <t>Nhóm 3Thành phốTrên máitrạm Small cell</t>
  </si>
  <si>
    <t>Nhóm 3Thị xãTrên máitrạm Small cell</t>
  </si>
  <si>
    <t>Nhóm 3Thị trấn - HuyệnTrên máitrạm Small cell</t>
  </si>
  <si>
    <t>Nhóm 3Xã - HuyệnTrên máitrạm Small cell</t>
  </si>
  <si>
    <t>Nhóm 3Thành phốDưới đấttrạm Small cell</t>
  </si>
  <si>
    <t>Nhóm 3Thị xãDưới đấttrạm Small cell</t>
  </si>
  <si>
    <t>Nhóm 3Thị trấn - HuyệnDưới đấttrạm Small cell</t>
  </si>
  <si>
    <t>Nhóm 3Xã - HuyệnDưới đấttrạm Small cell</t>
  </si>
  <si>
    <t>Chi phí vốn tự có</t>
  </si>
  <si>
    <t>roe HỢP NHẤT TRONG KH SXKD NĂM 2020</t>
  </si>
  <si>
    <t>Unlevered beta (ngành)</t>
  </si>
  <si>
    <t>http://pages.stern.nyu.edu/~adamodar/New_Home_Page/datafile/Betas.html</t>
  </si>
  <si>
    <t>D/E Dự án</t>
  </si>
  <si>
    <t>Tax rate</t>
  </si>
  <si>
    <t>Levered beta (dự án)</t>
  </si>
  <si>
    <t>Risk free rate</t>
  </si>
  <si>
    <t>https://www.hnx.vn/vi-vn/trai-phieu.html</t>
  </si>
  <si>
    <t>Risk premium</t>
  </si>
  <si>
    <t>http://pages.stern.nyu.edu/~adamodar/New_Home_Page/datafile/ctryprem.html</t>
  </si>
  <si>
    <t>Chi phí vốn vay</t>
  </si>
  <si>
    <t>Tỷ lệ vốn vay dự án</t>
  </si>
  <si>
    <t>Tỷ lệ vốn tự có dự án</t>
  </si>
  <si>
    <t>WACC</t>
  </si>
  <si>
    <t>CPqlc</t>
  </si>
  <si>
    <t>CPlv</t>
  </si>
  <si>
    <t>Ln</t>
  </si>
  <si>
    <t>Gtb</t>
  </si>
  <si>
    <t>Hợp đồng số: 080801-ĐT/HĐMB-2019/CTCT-SUNTEL</t>
  </si>
  <si>
    <t>Hợp đồng số: 250603-ĐT/HĐMB-2019/CTCT-QUANGTHONG</t>
  </si>
  <si>
    <t>Theo báo giá Công ty CP CN Kim Bình</t>
  </si>
  <si>
    <t>8. Lựa chọn thời gian khấu hao</t>
  </si>
  <si>
    <t>rr</t>
  </si>
  <si>
    <t>9. Lựa chọn chào giá, tự điền giá thuê</t>
  </si>
  <si>
    <t>Chào giá</t>
  </si>
  <si>
    <t>Tự nhập giá thuê</t>
  </si>
  <si>
    <t>Chi phí vận hành công trình hạ tầng cho thuê.</t>
  </si>
  <si>
    <t>Cột dây co 18m (dưới đất)- Tự đứng 3 đốt 600</t>
  </si>
  <si>
    <t>Cung cấp cột tháp 18m (dưới đất)- Tự đứng thanh giằng</t>
  </si>
  <si>
    <t>Cột dây co 24m (dưới đất)- 3 co 4 đốt 600</t>
  </si>
  <si>
    <t>SX Cột dây co 24m (dưới đất)- 3 co 4 đốt 600</t>
  </si>
  <si>
    <t>SX Cột tự đứng 18m (dưới đất)- Tự đứng 3 đốt 600</t>
  </si>
  <si>
    <t>Cột tự đứng 18m (dưới đất)- Tự đứng 3 đốt 600</t>
  </si>
  <si>
    <t>Cột tự đứng 18m (dưới đất)- Tự đứng thanh giằng</t>
  </si>
  <si>
    <t>Giá thuê trước VAT)</t>
  </si>
  <si>
    <t xml:space="preserve">Cột dây co 24m (dưới đất)- 3 co 4 đốt 600 </t>
  </si>
  <si>
    <t>Chi phí vật tư và nhân công lắp đặt điều hòa,….</t>
  </si>
  <si>
    <t>Móng nhà minishelter trên mái</t>
  </si>
  <si>
    <t>Móng nhà minishelter dưới đất (Gồm móng bệ, tường bó, mái)</t>
  </si>
  <si>
    <t>ĐIỆN BIÊN</t>
  </si>
  <si>
    <t>LAI CHÂU</t>
  </si>
  <si>
    <t>LÀO CAI</t>
  </si>
  <si>
    <t>Long:</t>
  </si>
  <si>
    <t>Lat:</t>
  </si>
  <si>
    <t>TTXD&amp;ĐTHT</t>
  </si>
  <si>
    <t>Kính trình Phó Tổng Giám đốc xem xét phê duyệt cho CNKT thực hiện triển khai đầu tư.</t>
  </si>
  <si>
    <t>Theo khảo sát thực tế và tình hình tại địa bàn cũng như quy hoạch mạng lưới của các nhà mạng, CNKT nhận thấy trạm sau đây có đủ điều kiện triển khai để TCT triển khai xây lắp trạm và cho thuê lại với các thông tin như sau:</t>
  </si>
  <si>
    <t>- Trung tâm Xây dựng &amp; Đầu tư hạ tầng</t>
  </si>
  <si>
    <t xml:space="preserve">- Phó Tổng Giám đốc </t>
  </si>
  <si>
    <t>PHÚ THỌ</t>
  </si>
  <si>
    <t>SƠN LA</t>
  </si>
  <si>
    <t>LẠNG SƠN</t>
  </si>
  <si>
    <t>HÒA BÌNH</t>
  </si>
  <si>
    <t>YÊN BÁI</t>
  </si>
  <si>
    <t>HÀ GIANG</t>
  </si>
  <si>
    <t>CAO BẰNG</t>
  </si>
  <si>
    <t>BẮC KẠN</t>
  </si>
  <si>
    <t>TUYÊN QUANG</t>
  </si>
  <si>
    <t>THÁI NGUYÊN</t>
  </si>
  <si>
    <t>VĨNH PHÚC</t>
  </si>
  <si>
    <t>BẮC GIANG</t>
  </si>
  <si>
    <t>BẮC NINH</t>
  </si>
  <si>
    <t>HƯNG YÊN</t>
  </si>
  <si>
    <t>HẢI DƯƠNG</t>
  </si>
  <si>
    <t>HẢI PHÒNG</t>
  </si>
  <si>
    <t>QUẢNG NINH</t>
  </si>
  <si>
    <t>HÀ NAM</t>
  </si>
  <si>
    <t>THÁI BÌNH</t>
  </si>
  <si>
    <t>NAM ĐỊNH</t>
  </si>
  <si>
    <t>HÀ NỘI</t>
  </si>
  <si>
    <t>NINH BÌNH</t>
  </si>
  <si>
    <t>THANH HÓA</t>
  </si>
  <si>
    <t>NGHỆ AN</t>
  </si>
  <si>
    <t>QUẢNG BÌNH</t>
  </si>
  <si>
    <t>QUẢNG TRỊ</t>
  </si>
  <si>
    <t>HÀ TĨNH</t>
  </si>
  <si>
    <t>ĐÀ NẴNG</t>
  </si>
  <si>
    <t>QUẢNG NGÃI</t>
  </si>
  <si>
    <t>BÌNH ĐỊNH</t>
  </si>
  <si>
    <t>QUẢNG NAM</t>
  </si>
  <si>
    <t>GIA LAI</t>
  </si>
  <si>
    <t>ĐẮC LẮK</t>
  </si>
  <si>
    <t>PHÚ YÊN</t>
  </si>
  <si>
    <t>KHÁNH HÒA</t>
  </si>
  <si>
    <t>ĐẮC NÔNG</t>
  </si>
  <si>
    <t>LÂM ĐỒNG</t>
  </si>
  <si>
    <t>NINH THUẬN</t>
  </si>
  <si>
    <t>BÌNH THUẬN</t>
  </si>
  <si>
    <t>BÌNH PHƯỚC</t>
  </si>
  <si>
    <t>ĐỒNG NAI</t>
  </si>
  <si>
    <t>VŨNG TÀU</t>
  </si>
  <si>
    <t>TÂY NINH</t>
  </si>
  <si>
    <t>BÌNH DƯƠNG</t>
  </si>
  <si>
    <t>HỒ CHÍ MINH</t>
  </si>
  <si>
    <t>ĐỒNG THÁP</t>
  </si>
  <si>
    <t>LONG AN</t>
  </si>
  <si>
    <t>TIỀN GIANG</t>
  </si>
  <si>
    <t>BẾN TRE</t>
  </si>
  <si>
    <t>VĨNH LONG</t>
  </si>
  <si>
    <t>TRÀ VINH</t>
  </si>
  <si>
    <t>CẦN THƠ</t>
  </si>
  <si>
    <t>HẬU GIANG</t>
  </si>
  <si>
    <t>KIÊN GIANG</t>
  </si>
  <si>
    <t>AN GIANG</t>
  </si>
  <si>
    <t>BẠC LIÊU</t>
  </si>
  <si>
    <t>CÀ MAU</t>
  </si>
  <si>
    <t>SÓC TRĂNG</t>
  </si>
  <si>
    <t>THỪA THIÊN HUẾ</t>
  </si>
  <si>
    <t>TỈNH</t>
  </si>
  <si>
    <t>KON TUM</t>
  </si>
  <si>
    <t>Đơn giá thuê mặt bằng theo tờ trình 1530</t>
  </si>
  <si>
    <t>Bảng 5. 1: Giá trị và phân nhóm TS khấu hao</t>
  </si>
  <si>
    <t>Thời gian KH (năm)</t>
  </si>
  <si>
    <t>Tuổi thọ thực tế</t>
  </si>
  <si>
    <t>Giá trị đầu tư</t>
  </si>
  <si>
    <t>Phân nhóm tài sản năm KH</t>
  </si>
  <si>
    <t>Gía trị tài sản</t>
  </si>
  <si>
    <t>Hạ tầng nhà trạm, xây lắp</t>
  </si>
  <si>
    <t>KH 4 năm</t>
  </si>
  <si>
    <t>KH 7 năm</t>
  </si>
  <si>
    <t>-</t>
  </si>
  <si>
    <t>KH 10 năm</t>
  </si>
  <si>
    <t>Bảng 5.2 Bảng tính khấu hao</t>
  </si>
  <si>
    <t>Đơn vị : Triệu đồng</t>
  </si>
  <si>
    <t xml:space="preserve">TS KH 4 </t>
  </si>
  <si>
    <t xml:space="preserve">TS KH 7 </t>
  </si>
  <si>
    <t xml:space="preserve">TS KH 10 </t>
  </si>
  <si>
    <t>Giá thuê hạ tầng (trước VAT)</t>
  </si>
  <si>
    <t>Giá thuê nguồn (trước VAT)</t>
  </si>
  <si>
    <t>Giá thuê hạ tầng + nguồn (trước VAT)</t>
  </si>
  <si>
    <t>Chi phí khác (15%)</t>
  </si>
  <si>
    <t xml:space="preserve">Cột dây co 48m (dưới đất) - 4 co </t>
  </si>
  <si>
    <t xml:space="preserve">Cột dây co 48m (dưới đất) </t>
  </si>
  <si>
    <t xml:space="preserve">Cột dây co 54m (dưới đất) </t>
  </si>
  <si>
    <t xml:space="preserve">Cột dây co 60m (dưới đất) </t>
  </si>
  <si>
    <t>Cột tự đứng 45m thanh giằng</t>
  </si>
  <si>
    <t>SX Cột dây co 48m (dưới đất) - ống 76,5</t>
  </si>
  <si>
    <t>SX Cột dây co 54m (dưới đất) - ống 76,5</t>
  </si>
  <si>
    <t>SX Cột dây co 60m (dưới đất) - ống 76,5</t>
  </si>
  <si>
    <t>Cung cấp cột tự đứng thanh giằng 45m</t>
  </si>
  <si>
    <t>Cột dây co 48m (dưới đất)</t>
  </si>
  <si>
    <t>Cột dây co 54m (dưới đất)</t>
  </si>
  <si>
    <t>Cột dây co 60m (dưới đất)</t>
  </si>
  <si>
    <t>Lắp dựng cột tự đứng loại 45m (vùng gió 4)</t>
  </si>
  <si>
    <t>Đơn giá VTNet chưa VAT
(Theo dự án năm 2020)</t>
  </si>
  <si>
    <t>Chú thích</t>
  </si>
  <si>
    <t>Xây dựng nhà trạm</t>
  </si>
  <si>
    <t>Cột 3m cóc (3 cột/trạm)</t>
  </si>
  <si>
    <t>Trạm</t>
  </si>
  <si>
    <t>Cột 5m cóc (3 cột/trạm)</t>
  </si>
  <si>
    <t>Cột ngụy trang bồn nước</t>
  </si>
  <si>
    <t>Cột 9m tự đứng trên mái (monopole)</t>
  </si>
  <si>
    <t>Lấy theo Giá trị trạm BDG863</t>
  </si>
  <si>
    <t xml:space="preserve">Cột 15m dây co trên mái </t>
  </si>
  <si>
    <t>Giá trị lấy theo GT HĐ CTO453</t>
  </si>
  <si>
    <t xml:space="preserve">Cột 15m tự đứng thanh giằng trên mái </t>
  </si>
  <si>
    <t>Cột 22m Monopole</t>
  </si>
  <si>
    <t>Cột 25m thân thiện (Cây thông)</t>
  </si>
  <si>
    <t>Cột 30m Monopole</t>
  </si>
  <si>
    <t>Quyết toán theo trạm LSN487</t>
  </si>
  <si>
    <t>Cột 36m Monopole</t>
  </si>
  <si>
    <t>XI</t>
  </si>
  <si>
    <t>Cột 30m tự đứng thanh giằng</t>
  </si>
  <si>
    <t>XII</t>
  </si>
  <si>
    <t>Cột 42m tự đứng thanh giằng</t>
  </si>
  <si>
    <t>XIII</t>
  </si>
  <si>
    <t>Cột 21 dây co (đốt 300x300)</t>
  </si>
  <si>
    <t>XIV</t>
  </si>
  <si>
    <t>Cột 24m dây co</t>
  </si>
  <si>
    <t>XV</t>
  </si>
  <si>
    <t>Cột 30m dây co</t>
  </si>
  <si>
    <t>XVI</t>
  </si>
  <si>
    <t>Cột 36m dây co</t>
  </si>
  <si>
    <t>XVII</t>
  </si>
  <si>
    <t>Cột 42m dây co</t>
  </si>
  <si>
    <t>XVIII</t>
  </si>
  <si>
    <t>Cột 28m thân thiện (Lồng đèn)</t>
  </si>
  <si>
    <t>XIX</t>
  </si>
  <si>
    <t>Cột 18m dây co (6 đốt 300x300)_móng co</t>
  </si>
  <si>
    <t>XX</t>
  </si>
  <si>
    <t>Cột 18m tự đứng (3 đốt 600x600)</t>
  </si>
  <si>
    <t>XXI</t>
  </si>
  <si>
    <t>Cột 20m tự đứng (Bê tông ly tâm)</t>
  </si>
  <si>
    <t>Xây dựng hệ thống tiếp địa</t>
  </si>
  <si>
    <t>Tiếp địa khoan thả cọc cho cột trên mái</t>
  </si>
  <si>
    <t>Tiếp địa khoan thả cọc thép bọc đồng dùng cho trạm dưới đất (đặc thù)</t>
  </si>
  <si>
    <t>TH tiếp địa cột anten sử dụng 12 cọc thép L63x5)</t>
  </si>
  <si>
    <t>TH tiếp địa cột anten sử dụng hố tiếp địa GEM kích thước 1,5*1,5*1m</t>
  </si>
  <si>
    <t>Kéo hệ thống điện AC</t>
  </si>
  <si>
    <t>Thi công kéo điện hạ thế 1 pha KC &lt; 100m</t>
  </si>
  <si>
    <t>Thi công kéo điện hạ thế 1 pha KC 200m</t>
  </si>
  <si>
    <t>Thi công kéo điện hạ thế 1 pha KC 400m</t>
  </si>
  <si>
    <t>Thi công kéo điện hạ thế 1 pha KC 800m</t>
  </si>
  <si>
    <t>Thi công kéo điện hạ thế 1 pha KC 1000m</t>
  </si>
  <si>
    <t>Thi công kéo điện hạ thế 3 pha</t>
  </si>
  <si>
    <t>Cải tạo điện yếu</t>
  </si>
  <si>
    <t>Thi công điện hạ thế ngầm 1 pha 50m</t>
  </si>
  <si>
    <t>Thi công điện hạ thế ngầm 1 pha 100m</t>
  </si>
  <si>
    <t>Thi công điện hạ thế ngầm 1 pha 200m</t>
  </si>
  <si>
    <t>Xây dựng phòng máy</t>
  </si>
  <si>
    <t>PM lắp ghép trên mái</t>
  </si>
  <si>
    <t>PM lắp ghép dưới đất - thông thường</t>
  </si>
  <si>
    <t>PM lắp ghép dưới đất - vượt lũ</t>
  </si>
  <si>
    <t>PM xây mới X04 - thông thường</t>
  </si>
  <si>
    <t>PM xây mới X04 - vượt lũ</t>
  </si>
  <si>
    <t>PM minishelter dưới đất</t>
  </si>
  <si>
    <t>PM minishelter trên mái</t>
  </si>
  <si>
    <t>Hạ tầng nguồn DC trạm Macro</t>
  </si>
  <si>
    <t>Hệ thống nguồn DC trạm</t>
  </si>
  <si>
    <t>Hệ thống nguồn DC trạm + Máy nổ</t>
  </si>
  <si>
    <t>Chú ý ô chọn:</t>
  </si>
  <si>
    <t>Trung du</t>
  </si>
  <si>
    <t>CBG0418-11</t>
  </si>
  <si>
    <t>Mobi</t>
  </si>
  <si>
    <t>Trạm RRU</t>
  </si>
  <si>
    <t>Trạm BTS</t>
  </si>
  <si>
    <t>Trạm Small cell</t>
  </si>
  <si>
    <t>Chi phí xin cấp phép Quy hoạch &amp; Xây dựng</t>
  </si>
  <si>
    <t>Đơn giá thuê mặt bằng theo tờ trình 1477</t>
  </si>
  <si>
    <t>Đánh giá:</t>
  </si>
  <si>
    <t>Giá trị VTNet</t>
  </si>
  <si>
    <t>Đồng/tháng VTNET</t>
  </si>
  <si>
    <t>Tự nhập</t>
  </si>
  <si>
    <t>Giá</t>
  </si>
  <si>
    <t>Trạm cột cóc 3m (3 cột/trạm)</t>
  </si>
  <si>
    <t>Trạm cột cóc 5m (3 cột/trạm)</t>
  </si>
  <si>
    <t>iii</t>
  </si>
  <si>
    <t>Trạm cột cóc 6m (3 cột/trạm)</t>
  </si>
  <si>
    <t>Cột tự đứng 9m trên mái (monopole)</t>
  </si>
  <si>
    <t xml:space="preserve">Cột tự đứng 12m trên mái </t>
  </si>
  <si>
    <t xml:space="preserve">Cột tự đứng 15m trên mái </t>
  </si>
  <si>
    <t xml:space="preserve">Cột dây co 18m trên mái </t>
  </si>
  <si>
    <t xml:space="preserve">Cột dây co 15m trên mái </t>
  </si>
  <si>
    <t xml:space="preserve">Cột dây co 12m trên mái </t>
  </si>
  <si>
    <t>Cột monopole 22m</t>
  </si>
  <si>
    <t>Cột thân thiện 25m</t>
  </si>
  <si>
    <t>Cột monopole 30m</t>
  </si>
  <si>
    <t>Cột monopole 36m _ XONG</t>
  </si>
  <si>
    <t>Cột tự đứng 30m thanh giằng</t>
  </si>
  <si>
    <t>Cột tự đứng 35m thanh giằng</t>
  </si>
  <si>
    <t>Cột tự đứng 40m thanh giằng</t>
  </si>
  <si>
    <t>Cột tự đứng 42m</t>
  </si>
  <si>
    <t>Cột dây co 42m _ Dây co</t>
  </si>
  <si>
    <t>Cột dây co 48m _ Dây co</t>
  </si>
  <si>
    <t>Cột dây co 36m _ Dây co</t>
  </si>
  <si>
    <t>Cột dây co 30m _ Dây co</t>
  </si>
  <si>
    <t>Cột dây co 24m _ Dây co</t>
  </si>
  <si>
    <t>Cột dây co 54m _ Dây co</t>
  </si>
  <si>
    <t>Cột dây co 60m _ Dây co</t>
  </si>
  <si>
    <t>Cột dây co 18m _ Dây co (đốt 600x600)</t>
  </si>
  <si>
    <t>Cột dây co 18m _ Dây co (đốt 300x300)</t>
  </si>
  <si>
    <t>Cột tháp 18m</t>
  </si>
  <si>
    <t>Cột thân thiện 28m (hoa sen/lồng đèn)</t>
  </si>
  <si>
    <t>Cột thân thiện 28m (cây thông/cây dừa)</t>
  </si>
  <si>
    <t>Cột tự đứng 18m (3 đốt 600x600)</t>
  </si>
  <si>
    <t>Cột tự đứng 20m (Bê tông ly tâm)</t>
  </si>
  <si>
    <t>Tiếp địa khoan thả cọc thép bọc đồng dùng cho trạm dưới đất (loại 4 cọc)</t>
  </si>
  <si>
    <t>Tiếp địa khoan thả cọc thép bọc đồng dùng cho trạm dưới đất (loại 3 cọc)</t>
  </si>
  <si>
    <t>TH tiếp địa cho cột anten Monopole, cột ngụy trang lồng đèn, cánh sen</t>
  </si>
  <si>
    <t>PM lắp ghép C05 trên mái</t>
  </si>
  <si>
    <t>PM lắp ghép C05 dưới đất - thông thường</t>
  </si>
  <si>
    <t>PM lắp ghép C05 dưới đất - vượt lũ</t>
  </si>
  <si>
    <t>PM lắp ghép C04 trên mái</t>
  </si>
  <si>
    <t>PM lắp ghép C04 dưới đất - thông thường</t>
  </si>
  <si>
    <t>PM lắp ghép C04 dưới đất - vượt lũ</t>
  </si>
  <si>
    <t>Đơn giá VCC đề xuất</t>
  </si>
  <si>
    <t>Cột dây co &lt; 24m, cột tự đứng thanh giằng, monopole lấy bằng 1.04%*Capex/12
Cột dây co &gt;= 24m lấy giá 601.635</t>
  </si>
  <si>
    <t>Chi phí quản lý dự án</t>
  </si>
  <si>
    <t>Chi phí rủi ro</t>
  </si>
  <si>
    <t>Dòng tiền ròng</t>
  </si>
  <si>
    <t>Thuế TNDN</t>
  </si>
  <si>
    <t>CP vận hành trạm</t>
  </si>
  <si>
    <t>Macro</t>
  </si>
  <si>
    <t>RRU (&lt;24m)</t>
  </si>
  <si>
    <t>RRU (&gt;=24m)</t>
  </si>
  <si>
    <t>SMC</t>
  </si>
  <si>
    <t>Dự án 728</t>
  </si>
  <si>
    <t>Dự án 945</t>
  </si>
  <si>
    <t>DỰ ÁN 1: DÒNG TIỀN, HIỆU QUẢ DỰ ÁN</t>
  </si>
  <si>
    <t>Khoản mục</t>
  </si>
  <si>
    <t>Tổng</t>
  </si>
  <si>
    <t>Năm đầu tư</t>
  </si>
  <si>
    <t>Năm vận hành khai thác</t>
  </si>
  <si>
    <t>Doanh Thu (B)</t>
  </si>
  <si>
    <t>Chi phí (C)</t>
  </si>
  <si>
    <t>Chi phí vận hành (OPEX)</t>
  </si>
  <si>
    <t>Chi phí di dời trạm</t>
  </si>
  <si>
    <t xml:space="preserve">Chi phí VHKT </t>
  </si>
  <si>
    <t>Chi phí thuê đất (sau 5 năm tăng 5% giá thuê)</t>
  </si>
  <si>
    <t xml:space="preserve">Chi phí quản lý </t>
  </si>
  <si>
    <t>Chi phí bảo trì bảo dưỡng (0,25% * (CPXD+TB))</t>
  </si>
  <si>
    <t xml:space="preserve">Khấu hao </t>
  </si>
  <si>
    <t xml:space="preserve">Lãi vay </t>
  </si>
  <si>
    <t>LỢI NHUẬN TRƯỚC THUẾ</t>
  </si>
  <si>
    <t>Thu nhập tính thuế</t>
  </si>
  <si>
    <t>LỢI NHUẬN SAU THUẾ</t>
  </si>
  <si>
    <t>Lợi nhuận sau thuế chiết khấu</t>
  </si>
  <si>
    <t>CHỈ TIÊU SINH LỜI</t>
  </si>
  <si>
    <t>Tỷ suất LNST/DT</t>
  </si>
  <si>
    <t>Tỷ suất LN/VCSH</t>
  </si>
  <si>
    <t>Tỷ suất LN/VDT</t>
  </si>
  <si>
    <t xml:space="preserve">DÒNG TIỀN </t>
  </si>
  <si>
    <t>Vốn tự có</t>
  </si>
  <si>
    <t>Vốn vay</t>
  </si>
  <si>
    <t>Chi phí Vốn CSH</t>
  </si>
  <si>
    <t>Chi phí Vốn vay</t>
  </si>
  <si>
    <t>Quan điểm Tổng đầu tư (TIP)</t>
  </si>
  <si>
    <t>Hệ số chiết khấu 1/(1+r)^t</t>
  </si>
  <si>
    <t>r=WACC</t>
  </si>
  <si>
    <t>LNST+KH+Lãi *(1-thuế)</t>
  </si>
  <si>
    <t>Dòng tiền luỹ kế toàn bộ dự án</t>
  </si>
  <si>
    <t>Dòng tiền ròng chiết khấu</t>
  </si>
  <si>
    <t>Lũy kế dòng tiền chiết khấu</t>
  </si>
  <si>
    <t>Giá trị hiện tại ròng NPV</t>
  </si>
  <si>
    <t>Suất thu hồi nội tại IRR</t>
  </si>
  <si>
    <t>Thời gian thu hồi vốn</t>
  </si>
  <si>
    <t>Thời gian thu hồi vốn (chiết khấu)</t>
  </si>
  <si>
    <t>Quan điểm Vốn Chủ sở hữu (EPV)</t>
  </si>
  <si>
    <t>r= Re</t>
  </si>
  <si>
    <t>Chi phí trả gốc vay</t>
  </si>
  <si>
    <t>LNST+KH-Trả gốc</t>
  </si>
  <si>
    <r>
      <t xml:space="preserve">Tỷ suất chiết khấu </t>
    </r>
    <r>
      <rPr>
        <b/>
        <sz val="10"/>
        <rFont val="Times New Roman"/>
        <family val="1"/>
      </rPr>
      <t xml:space="preserve">r </t>
    </r>
    <r>
      <rPr>
        <sz val="10"/>
        <rFont val="Times New Roman"/>
        <family val="1"/>
      </rPr>
      <t>năm (WACC)</t>
    </r>
  </si>
  <si>
    <t>TMĐT</t>
  </si>
  <si>
    <t>LNST/DT</t>
  </si>
  <si>
    <t>Dự án</t>
  </si>
  <si>
    <t>Gồm trong capex VTNet</t>
  </si>
  <si>
    <t>VTNet ko đồng ý, không có trong 261</t>
  </si>
  <si>
    <t>Monopole 30m, đất cấp 3</t>
  </si>
  <si>
    <t>Monopole 30m, vùng gió 1,2,3  (bao gồm cả bu lông móng + bản đệm)</t>
  </si>
  <si>
    <t>KV</t>
  </si>
  <si>
    <t>Mã trạm (VTN)</t>
  </si>
  <si>
    <t>Mã trạm (VCC)</t>
  </si>
  <si>
    <t>Địa chỉ</t>
  </si>
  <si>
    <t>Mái/ Đất</t>
  </si>
  <si>
    <t>Độ cao cột</t>
  </si>
  <si>
    <t>Loại cột</t>
  </si>
  <si>
    <t>Móng co</t>
  </si>
  <si>
    <t>Loại nhà</t>
  </si>
  <si>
    <t>Điện CNKT</t>
  </si>
  <si>
    <t>Số cột điện</t>
  </si>
  <si>
    <t>Vận chuyển bộ</t>
  </si>
  <si>
    <t>Thuê Acquy</t>
  </si>
  <si>
    <t>Gía thuê MB thực tế</t>
  </si>
  <si>
    <t>VCC chào giá thuê hạ tầng</t>
  </si>
  <si>
    <t>VCC chào giá thuê nguồn Accqui</t>
  </si>
  <si>
    <t>Tổng cộng (Chưa VAT)</t>
  </si>
  <si>
    <t>Ngày gửi</t>
  </si>
  <si>
    <t>Hoàn thành</t>
  </si>
  <si>
    <t>Người lập</t>
  </si>
  <si>
    <t>Tgian HV</t>
  </si>
  <si>
    <t>Kết luận</t>
  </si>
  <si>
    <t>Xây dựng nhà X04 - thông thường</t>
  </si>
  <si>
    <t>Xây dựng nhà X04 - vượt lũ</t>
  </si>
  <si>
    <t>Móng</t>
  </si>
  <si>
    <t>Cột tự đứng thanh giằng 12m trên mái</t>
  </si>
  <si>
    <t>Cột tự đứng thanh giằng 15m trên mái</t>
  </si>
  <si>
    <t>Cột 30m - 3 chân, đất cấp 2, vùng gió 1,2</t>
  </si>
  <si>
    <t>Cung cấp cột tự đứng thanh giằng 30m</t>
  </si>
  <si>
    <t>Lắp cột tự đứng thanh giằng 12m trên mái</t>
  </si>
  <si>
    <t>Lắp cột tự đứng thanh giằng 15m trên mái</t>
  </si>
  <si>
    <t>Lắp dựng cột tự đứng loại 30m (vùng gió 4)</t>
  </si>
  <si>
    <t>Cột dây co 30m dưới đất</t>
  </si>
  <si>
    <t>SX cột dây co 30m dưới đấts - ống 76</t>
  </si>
  <si>
    <t>Cột tự đứng thanh giằng 12m</t>
  </si>
  <si>
    <t>Cột tự đứng thanh giằng 15m</t>
  </si>
  <si>
    <t>Lắp Cột Monopole 30m</t>
  </si>
  <si>
    <t>Lắp Cột Monopole 36m</t>
  </si>
  <si>
    <t xml:space="preserve"> Lắp Cột Monopole 22m</t>
  </si>
  <si>
    <t>Lắp Cột dây co 30m dưới đất</t>
  </si>
  <si>
    <t>Lắp Cột dây co 42m (dưới đất)</t>
  </si>
  <si>
    <t>Lắp Cột dây co 36m (dưới đất)</t>
  </si>
  <si>
    <t>Lắp Cột dây co 18m (dưới đất)- Tự đứng 3 đốt 600</t>
  </si>
  <si>
    <t xml:space="preserve">Lắp Cột dây co 24m (dưới đất)- 3 co 4 đốt 600 </t>
  </si>
  <si>
    <t>Lắp Cột dây co 48m (dưới đất)</t>
  </si>
  <si>
    <t>Lắp Cột dây co 54m (dưới đất)</t>
  </si>
  <si>
    <t>Lắp Cột dây co 60m (dưới đất)</t>
  </si>
  <si>
    <t>Capex cột</t>
  </si>
  <si>
    <t>Giá thuê MB Theo định mức</t>
  </si>
  <si>
    <t>Capex Tiếp địa</t>
  </si>
  <si>
    <t>Capex AC</t>
  </si>
  <si>
    <t>Capex phòng máy</t>
  </si>
  <si>
    <t>Tổng Capex HT</t>
  </si>
  <si>
    <t>Capex HT VCC</t>
  </si>
  <si>
    <t>TinhNM</t>
  </si>
  <si>
    <t>BTN0154-11</t>
  </si>
  <si>
    <t>VCC</t>
  </si>
  <si>
    <t>VTNet</t>
  </si>
  <si>
    <t>Chào giá vượt khung</t>
  </si>
  <si>
    <t>Chào giá thông thường</t>
  </si>
  <si>
    <t>Mã VCC</t>
  </si>
  <si>
    <t>CTBTN0065</t>
  </si>
  <si>
    <t>Khu A….</t>
  </si>
  <si>
    <t>KV2</t>
  </si>
  <si>
    <t>3. Móng co</t>
  </si>
  <si>
    <t>Số cột</t>
  </si>
  <si>
    <t>4,Chiều dài đường điện</t>
  </si>
  <si>
    <t>Treo</t>
  </si>
  <si>
    <t>5,Hình thức</t>
  </si>
  <si>
    <t>6, Cự ly Vận chuyển bộ</t>
  </si>
  <si>
    <t>7. Đảm bảo số nhà mạng thuê</t>
  </si>
  <si>
    <t>8. Triển khai nguồn</t>
  </si>
  <si>
    <t>9. Chi phí dự kiến</t>
  </si>
  <si>
    <t>10. Lựa chọn thời gian khấu hao</t>
  </si>
  <si>
    <t>11. Lựa chọn chào giá, tự điền giá thuê</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</si>
</sst>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00\ _₫_-;\-* #,##0.00\ _₫_-;_-* &quot;-&quot;??\ _₫_-;_-@_-"/>
    <numFmt numFmtId="165" formatCode="_-* #,##0.00_-;\-* #,##0.00_-;_-* &quot;-&quot;??_-;_-@_-"/>
    <numFmt numFmtId="166" formatCode="_-* #,##0\ _₫_-;\-* #,##0\ _₫_-;_-* &quot;-&quot;??\ _₫_-;_-@_-"/>
    <numFmt numFmtId="167" formatCode="#,##0;[Red]#,##0"/>
    <numFmt numFmtId="168" formatCode="#,##0.#;\-#,##0.#"/>
    <numFmt numFmtId="169" formatCode="0.#####\ %;\-0.#####\ %"/>
    <numFmt numFmtId="170" formatCode="_(* #,##0_);_(* \(#,##0\);_(* &quot;-&quot;??_);_(@_)"/>
    <numFmt numFmtId="171" formatCode="_(* #,##0.0_);_(* \(#,##0.0\);_(* &quot;-&quot;??_);_(@_)"/>
    <numFmt numFmtId="172" formatCode="_-* #,##0.0\ _₫_-;\-* #,##0.0\ _₫_-;_-* &quot;-&quot;??\ _₫_-;_-@_-"/>
    <numFmt numFmtId="173" formatCode="_-* #,##0.00000\ _₫_-;\-* #,##0.00000\ _₫_-;_-* &quot;-&quot;??\ _₫_-;_-@_-"/>
    <numFmt numFmtId="174" formatCode="#,##0.000&quot;%&quot;"/>
    <numFmt numFmtId="175" formatCode="0.00000"/>
    <numFmt numFmtId="176" formatCode="0.0%"/>
    <numFmt numFmtId="177" formatCode="0.000%"/>
    <numFmt numFmtId="178" formatCode="_-* #,##0.000\ _₫_-;\-* #,##0.000\ _₫_-;_-* &quot;-&quot;??\ _₫_-;_-@_-"/>
    <numFmt numFmtId="179" formatCode="0.000"/>
    <numFmt numFmtId="180" formatCode="[$-409]d\-mmm\-yy;@"/>
  </numFmts>
  <fonts count="87">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3"/>
      <scheme val="minor"/>
    </font>
    <font>
      <sz val="8.25"/>
      <name val="Microsoft Sans Serif"/>
      <family val="2"/>
    </font>
    <font>
      <b/>
      <sz val="11"/>
      <color theme="1"/>
      <name val="Times New Roman"/>
      <family val="1"/>
    </font>
    <font>
      <sz val="11"/>
      <color theme="1"/>
      <name val="Times New Roman"/>
      <family val="1"/>
    </font>
    <font>
      <b/>
      <sz val="11"/>
      <color theme="1"/>
      <name val="Calibri"/>
      <family val="2"/>
      <scheme val="minor"/>
    </font>
    <font>
      <b/>
      <sz val="15"/>
      <name val="Times New Roman"/>
      <family val="1"/>
    </font>
    <font>
      <b/>
      <sz val="12"/>
      <name val="Times New Roman"/>
      <family val="1"/>
    </font>
    <font>
      <b/>
      <sz val="11"/>
      <name val="Times New Roman"/>
      <family val="1"/>
    </font>
    <font>
      <sz val="10"/>
      <name val="Times New Roman"/>
      <family val="1"/>
    </font>
    <font>
      <sz val="11"/>
      <name val="Arial Narrow"/>
      <family val="2"/>
    </font>
    <font>
      <i/>
      <sz val="11"/>
      <name val="Times New Roman"/>
      <family val="1"/>
    </font>
    <font>
      <sz val="11"/>
      <name val="Times New Roman"/>
      <family val="1"/>
    </font>
    <font>
      <b/>
      <i/>
      <sz val="11"/>
      <name val="Times New Roman"/>
      <family val="1"/>
    </font>
    <font>
      <b/>
      <sz val="12"/>
      <color indexed="32"/>
      <name val="Times New Roman"/>
      <family val="1"/>
    </font>
    <font>
      <sz val="11"/>
      <color indexed="32"/>
      <name val="Arial Narrow"/>
      <family val="2"/>
    </font>
    <font>
      <sz val="12"/>
      <color theme="1"/>
      <name val="Times New Roman"/>
      <family val="1"/>
    </font>
    <font>
      <sz val="12"/>
      <name val="Times New Roman"/>
      <family val="1"/>
    </font>
    <font>
      <sz val="10"/>
      <color theme="1"/>
      <name val="Calibri"/>
      <family val="2"/>
      <scheme val="minor"/>
    </font>
    <font>
      <b/>
      <sz val="11"/>
      <color rgb="FFFF0000"/>
      <name val="Calibri"/>
      <family val="2"/>
      <charset val="163"/>
      <scheme val="minor"/>
    </font>
    <font>
      <sz val="14"/>
      <name val=".VnTime"/>
      <family val="2"/>
    </font>
    <font>
      <sz val="11"/>
      <color rgb="FF000000"/>
      <name val="Times New Roman"/>
      <family val="1"/>
    </font>
    <font>
      <b/>
      <sz val="11"/>
      <color rgb="FFFF0000"/>
      <name val="Calibri"/>
      <family val="2"/>
      <scheme val="minor"/>
    </font>
    <font>
      <b/>
      <sz val="11"/>
      <color rgb="FFFF0000"/>
      <name val="Times New Roman"/>
      <family val="1"/>
    </font>
    <font>
      <sz val="10"/>
      <color theme="1"/>
      <name val="Times New Roman"/>
      <family val="1"/>
    </font>
    <font>
      <sz val="11"/>
      <color rgb="FFFF0000"/>
      <name val="Times New Roman"/>
      <family val="1"/>
    </font>
    <font>
      <u/>
      <sz val="11"/>
      <color theme="10"/>
      <name val="Calibri"/>
      <family val="2"/>
      <charset val="163"/>
      <scheme val="minor"/>
    </font>
    <font>
      <b/>
      <sz val="12"/>
      <color theme="1"/>
      <name val="Times New Roman"/>
      <family val="1"/>
    </font>
    <font>
      <sz val="11"/>
      <color rgb="FFFF0000"/>
      <name val="Calibri"/>
      <family val="2"/>
      <scheme val="minor"/>
    </font>
    <font>
      <b/>
      <sz val="10"/>
      <color theme="1"/>
      <name val="Times New Roman"/>
      <family val="1"/>
    </font>
    <font>
      <b/>
      <sz val="10"/>
      <color rgb="FF000000"/>
      <name val="Times New Roman"/>
      <family val="1"/>
    </font>
    <font>
      <b/>
      <sz val="10"/>
      <color rgb="FFFF0000"/>
      <name val="Times New Roman"/>
      <family val="1"/>
    </font>
    <font>
      <sz val="10"/>
      <color rgb="FF000000"/>
      <name val="Times New Roman"/>
      <family val="1"/>
    </font>
    <font>
      <sz val="10"/>
      <color rgb="FFFF0000"/>
      <name val="Times New Roman"/>
      <family val="1"/>
    </font>
    <font>
      <b/>
      <sz val="9"/>
      <color indexed="81"/>
      <name val="Tahoma"/>
      <family val="2"/>
    </font>
    <font>
      <sz val="9"/>
      <color indexed="81"/>
      <name val="Tahoma"/>
      <family val="2"/>
    </font>
    <font>
      <sz val="12"/>
      <name val="VN Times"/>
    </font>
    <font>
      <b/>
      <sz val="13"/>
      <color theme="1"/>
      <name val="Calibri Light"/>
      <family val="1"/>
      <charset val="163"/>
      <scheme val="major"/>
    </font>
    <font>
      <i/>
      <sz val="13"/>
      <color theme="1"/>
      <name val="Calibri Light"/>
      <family val="1"/>
      <charset val="163"/>
      <scheme val="major"/>
    </font>
    <font>
      <b/>
      <sz val="11"/>
      <color theme="1"/>
      <name val="Calibri Light"/>
      <family val="1"/>
      <charset val="163"/>
      <scheme val="major"/>
    </font>
    <font>
      <sz val="11"/>
      <color theme="1"/>
      <name val="Calibri Light"/>
      <family val="1"/>
      <charset val="163"/>
      <scheme val="major"/>
    </font>
    <font>
      <i/>
      <sz val="12"/>
      <name val="Times New Roman"/>
      <family val="1"/>
    </font>
    <font>
      <sz val="13"/>
      <name val="Times New Roman"/>
      <family val="1"/>
    </font>
    <font>
      <b/>
      <sz val="11"/>
      <color rgb="FF000000"/>
      <name val="Times New Roman"/>
      <family val="1"/>
    </font>
    <font>
      <b/>
      <i/>
      <sz val="11"/>
      <color rgb="FF000000"/>
      <name val="Times New Roman"/>
      <family val="1"/>
    </font>
    <font>
      <sz val="10"/>
      <color theme="1"/>
      <name val="Calibri"/>
      <family val="2"/>
      <charset val="163"/>
      <scheme val="minor"/>
    </font>
    <font>
      <b/>
      <sz val="10"/>
      <name val="Times New Roman"/>
      <family val="1"/>
    </font>
    <font>
      <b/>
      <sz val="13"/>
      <name val="Times New Roman"/>
      <family val="1"/>
    </font>
    <font>
      <b/>
      <sz val="14"/>
      <color theme="1"/>
      <name val="Times New Roman"/>
      <family val="1"/>
    </font>
    <font>
      <i/>
      <sz val="13"/>
      <color theme="1"/>
      <name val="Times New Roman"/>
      <family val="1"/>
    </font>
    <font>
      <i/>
      <sz val="14"/>
      <color theme="1"/>
      <name val="Times New Roman"/>
      <family val="1"/>
    </font>
    <font>
      <sz val="14"/>
      <color theme="1"/>
      <name val="Times New Roman"/>
      <family val="1"/>
    </font>
    <font>
      <b/>
      <sz val="11"/>
      <color theme="1"/>
      <name val="Calibri"/>
      <family val="2"/>
      <charset val="163"/>
      <scheme val="minor"/>
    </font>
    <font>
      <sz val="11"/>
      <color theme="0"/>
      <name val="Times New Roman"/>
      <family val="1"/>
    </font>
    <font>
      <b/>
      <sz val="11"/>
      <color theme="0"/>
      <name val="Times New Roman"/>
      <family val="1"/>
    </font>
    <font>
      <sz val="11"/>
      <color theme="0"/>
      <name val="Calibri"/>
      <family val="2"/>
      <charset val="163"/>
      <scheme val="minor"/>
    </font>
    <font>
      <sz val="10"/>
      <color theme="0"/>
      <name val="Times New Roman"/>
      <family val="1"/>
    </font>
    <font>
      <u/>
      <sz val="11"/>
      <name val="Calibri"/>
      <family val="2"/>
      <charset val="163"/>
      <scheme val="minor"/>
    </font>
    <font>
      <b/>
      <sz val="13"/>
      <color theme="1"/>
      <name val="Calibri"/>
      <family val="2"/>
      <scheme val="minor"/>
    </font>
    <font>
      <b/>
      <i/>
      <sz val="11"/>
      <color theme="1"/>
      <name val="Times New Roman"/>
      <family val="1"/>
    </font>
    <font>
      <b/>
      <sz val="11"/>
      <name val="Calibri"/>
      <family val="2"/>
      <charset val="163"/>
      <scheme val="minor"/>
    </font>
    <font>
      <sz val="11"/>
      <name val="Calibri"/>
      <family val="2"/>
      <scheme val="minor"/>
    </font>
    <font>
      <sz val="11"/>
      <name val="Calibri Light"/>
      <family val="1"/>
      <charset val="163"/>
      <scheme val="major"/>
    </font>
    <font>
      <b/>
      <sz val="9"/>
      <color theme="1"/>
      <name val="Times New Roman"/>
      <family val="1"/>
    </font>
    <font>
      <sz val="9"/>
      <color theme="1"/>
      <name val="Times New Roman"/>
      <family val="1"/>
    </font>
    <font>
      <sz val="11"/>
      <color rgb="FFFF0000"/>
      <name val="Calibri"/>
      <family val="2"/>
      <charset val="163"/>
      <scheme val="minor"/>
    </font>
    <font>
      <sz val="9"/>
      <color rgb="FFFF0000"/>
      <name val="Times New Roman"/>
      <family val="1"/>
    </font>
    <font>
      <sz val="10"/>
      <name val="Arial"/>
      <family val="2"/>
      <charset val="163"/>
    </font>
    <font>
      <sz val="11"/>
      <color theme="0"/>
      <name val="Calibri"/>
      <family val="2"/>
      <scheme val="minor"/>
    </font>
    <font>
      <b/>
      <u/>
      <sz val="11"/>
      <color theme="1"/>
      <name val="Calibri"/>
      <family val="2"/>
      <scheme val="minor"/>
    </font>
    <font>
      <sz val="11"/>
      <color theme="0"/>
      <name val="Calibri Light"/>
      <family val="1"/>
      <charset val="163"/>
      <scheme val="major"/>
    </font>
    <font>
      <sz val="10"/>
      <name val="Calibri"/>
      <family val="2"/>
      <charset val="163"/>
      <scheme val="minor"/>
    </font>
    <font>
      <b/>
      <sz val="10"/>
      <name val="Calibri"/>
      <family val="2"/>
      <scheme val="minor"/>
    </font>
    <font>
      <b/>
      <sz val="10"/>
      <color theme="1"/>
      <name val="Calibri"/>
      <family val="2"/>
      <scheme val="minor"/>
    </font>
    <font>
      <sz val="10"/>
      <name val="Calibri"/>
      <family val="2"/>
      <scheme val="minor"/>
    </font>
    <font>
      <sz val="10"/>
      <name val="Arial"/>
      <family val="2"/>
    </font>
    <font>
      <sz val="10"/>
      <color rgb="FFFF0000"/>
      <name val="Calibri"/>
      <family val="2"/>
      <scheme val="minor"/>
    </font>
    <font>
      <sz val="10"/>
      <color rgb="FFFF0000"/>
      <name val="Calibri"/>
      <family val="2"/>
      <charset val="163"/>
      <scheme val="minor"/>
    </font>
    <font>
      <b/>
      <sz val="11"/>
      <color theme="8" tint="-0.499984740745262"/>
      <name val="Times New Roman"/>
      <family val="1"/>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33"/>
      </patternFill>
    </fill>
    <fill>
      <patternFill patternType="solid">
        <fgColor theme="7" tint="0.79998168889431442"/>
        <bgColor indexed="64"/>
      </patternFill>
    </fill>
    <fill>
      <patternFill patternType="solid">
        <fgColor theme="0"/>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59999389629810485"/>
        <bgColor indexed="65"/>
      </patternFill>
    </fill>
    <fill>
      <patternFill patternType="solid">
        <fgColor theme="4"/>
        <bgColor indexed="64"/>
      </patternFill>
    </fill>
    <fill>
      <patternFill patternType="solid">
        <fgColor rgb="FFFFCC99"/>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2"/>
        <bgColor indexed="64"/>
      </patternFill>
    </fill>
    <fill>
      <patternFill patternType="solid">
        <fgColor rgb="FFFFC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indexed="64"/>
      </left>
      <right/>
      <top style="thin">
        <color indexed="64"/>
      </top>
      <bottom style="dotted">
        <color indexed="8"/>
      </bottom>
      <diagonal/>
    </border>
    <border>
      <left/>
      <right/>
      <top style="thin">
        <color indexed="64"/>
      </top>
      <bottom style="dotted">
        <color indexed="8"/>
      </bottom>
      <diagonal/>
    </border>
    <border>
      <left/>
      <right style="thin">
        <color indexed="64"/>
      </right>
      <top style="thin">
        <color indexed="64"/>
      </top>
      <bottom style="dotted">
        <color indexed="8"/>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style="medium">
        <color rgb="FF000000"/>
      </bottom>
      <diagonal/>
    </border>
    <border>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diagonal/>
    </border>
  </borders>
  <cellStyleXfs count="26">
    <xf numFmtId="0" fontId="0" fillId="0" borderId="0"/>
    <xf numFmtId="164" fontId="7" fillId="0" borderId="0" applyFont="0" applyFill="0" applyBorder="0" applyAlignment="0" applyProtection="0"/>
    <xf numFmtId="0" fontId="8" fillId="0" borderId="0">
      <protection locked="0"/>
    </xf>
    <xf numFmtId="43" fontId="6" fillId="0" borderId="0" applyFont="0" applyFill="0" applyBorder="0" applyAlignment="0" applyProtection="0"/>
    <xf numFmtId="0" fontId="6" fillId="0" borderId="0"/>
    <xf numFmtId="9" fontId="6" fillId="0" borderId="0" applyFont="0" applyFill="0" applyBorder="0" applyAlignment="0" applyProtection="0"/>
    <xf numFmtId="43" fontId="26" fillId="0" borderId="0" applyFont="0" applyFill="0" applyBorder="0" applyAlignment="0" applyProtection="0"/>
    <xf numFmtId="9" fontId="7" fillId="0" borderId="0" applyFont="0" applyFill="0" applyBorder="0" applyAlignment="0" applyProtection="0"/>
    <xf numFmtId="0" fontId="7" fillId="9" borderId="0" applyNumberFormat="0" applyBorder="0" applyAlignment="0" applyProtection="0"/>
    <xf numFmtId="0" fontId="32" fillId="0" borderId="0" applyNumberFormat="0" applyFill="0" applyBorder="0" applyAlignment="0" applyProtection="0"/>
    <xf numFmtId="0" fontId="42"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43" fontId="2" fillId="0" borderId="0" applyFont="0" applyFill="0" applyBorder="0" applyAlignment="0" applyProtection="0"/>
    <xf numFmtId="0" fontId="73" fillId="0" borderId="0">
      <alignment vertical="top"/>
    </xf>
    <xf numFmtId="0" fontId="1" fillId="0" borderId="0"/>
    <xf numFmtId="0" fontId="1" fillId="0" borderId="0"/>
    <xf numFmtId="9" fontId="1" fillId="0" borderId="0" applyFont="0" applyFill="0" applyBorder="0" applyAlignment="0" applyProtection="0"/>
    <xf numFmtId="164" fontId="7" fillId="0" borderId="0" applyFont="0" applyFill="0" applyBorder="0" applyAlignment="0" applyProtection="0"/>
    <xf numFmtId="0" fontId="1" fillId="0" borderId="0"/>
    <xf numFmtId="0" fontId="7" fillId="0" borderId="0"/>
    <xf numFmtId="164" fontId="7" fillId="0" borderId="0" applyFont="0" applyFill="0" applyBorder="0" applyAlignment="0" applyProtection="0"/>
    <xf numFmtId="0" fontId="81" fillId="0" borderId="0"/>
    <xf numFmtId="41" fontId="7" fillId="0" borderId="0" applyFont="0" applyFill="0" applyBorder="0" applyAlignment="0" applyProtection="0"/>
  </cellStyleXfs>
  <cellXfs count="821">
    <xf numFmtId="0" fontId="0" fillId="0" borderId="0" xfId="0"/>
    <xf numFmtId="0" fontId="9" fillId="0" borderId="1" xfId="0" applyFont="1" applyBorder="1"/>
    <xf numFmtId="0" fontId="10" fillId="0" borderId="0" xfId="0" applyFont="1"/>
    <xf numFmtId="0" fontId="10" fillId="0" borderId="1" xfId="0" applyFont="1" applyBorder="1"/>
    <xf numFmtId="0" fontId="9" fillId="0" borderId="0" xfId="0" applyFont="1"/>
    <xf numFmtId="0" fontId="10" fillId="0" borderId="1" xfId="0" applyFont="1" applyBorder="1" applyAlignment="1">
      <alignment wrapText="1"/>
    </xf>
    <xf numFmtId="0" fontId="10" fillId="0" borderId="0" xfId="0" applyFont="1" applyFill="1"/>
    <xf numFmtId="0" fontId="10" fillId="0" borderId="1" xfId="0" applyFont="1" applyBorder="1" applyAlignment="1">
      <alignment horizontal="center" vertical="center"/>
    </xf>
    <xf numFmtId="0" fontId="10" fillId="3" borderId="1" xfId="0" applyFont="1" applyFill="1" applyBorder="1"/>
    <xf numFmtId="0" fontId="10" fillId="2" borderId="1" xfId="0" applyFont="1" applyFill="1" applyBorder="1"/>
    <xf numFmtId="0" fontId="10" fillId="0" borderId="0" xfId="0" applyFont="1" applyAlignment="1">
      <alignment wrapText="1"/>
    </xf>
    <xf numFmtId="0" fontId="11" fillId="0" borderId="0" xfId="0" applyFont="1"/>
    <xf numFmtId="0" fontId="8" fillId="0" borderId="0" xfId="0" applyFont="1" applyAlignment="1" applyProtection="1">
      <alignment vertical="top"/>
      <protection locked="0"/>
    </xf>
    <xf numFmtId="0" fontId="14" fillId="0" borderId="0" xfId="0" applyFont="1" applyAlignment="1" applyProtection="1">
      <alignment horizontal="center" vertical="top" wrapText="1"/>
      <protection locked="0"/>
    </xf>
    <xf numFmtId="0" fontId="14" fillId="4" borderId="3" xfId="0" applyFont="1" applyFill="1" applyBorder="1" applyAlignment="1" applyProtection="1">
      <alignment horizontal="center" vertical="center"/>
      <protection locked="0"/>
    </xf>
    <xf numFmtId="0" fontId="14" fillId="4" borderId="4" xfId="0" applyFont="1" applyFill="1" applyBorder="1" applyAlignment="1" applyProtection="1">
      <alignment horizontal="center" vertical="center"/>
      <protection locked="0"/>
    </xf>
    <xf numFmtId="0" fontId="15" fillId="0" borderId="5" xfId="0" applyFont="1" applyBorder="1" applyAlignment="1" applyProtection="1">
      <alignment horizontal="center" vertical="top"/>
      <protection locked="0"/>
    </xf>
    <xf numFmtId="0" fontId="15" fillId="0" borderId="6" xfId="0" applyFont="1" applyBorder="1" applyAlignment="1" applyProtection="1">
      <alignment vertical="top" wrapText="1"/>
      <protection locked="0"/>
    </xf>
    <xf numFmtId="0" fontId="15" fillId="0" borderId="6" xfId="0" applyFont="1" applyBorder="1" applyAlignment="1" applyProtection="1">
      <alignment horizontal="center" vertical="top" wrapText="1"/>
      <protection locked="0"/>
    </xf>
    <xf numFmtId="0" fontId="16" fillId="0" borderId="6" xfId="0" applyFont="1" applyBorder="1" applyAlignment="1" applyProtection="1">
      <alignment horizontal="center" vertical="top" wrapText="1"/>
      <protection locked="0"/>
    </xf>
    <xf numFmtId="0" fontId="15" fillId="0" borderId="6" xfId="0" applyFont="1" applyBorder="1" applyAlignment="1" applyProtection="1">
      <alignment vertical="top"/>
      <protection locked="0"/>
    </xf>
    <xf numFmtId="0" fontId="15" fillId="0" borderId="6" xfId="0" applyFont="1" applyBorder="1" applyAlignment="1" applyProtection="1">
      <alignment horizontal="center" vertical="top"/>
      <protection locked="0"/>
    </xf>
    <xf numFmtId="168" fontId="15" fillId="0" borderId="6" xfId="0" applyNumberFormat="1" applyFont="1" applyBorder="1" applyAlignment="1" applyProtection="1">
      <alignment vertical="top" wrapText="1"/>
      <protection locked="0"/>
    </xf>
    <xf numFmtId="0" fontId="17" fillId="0" borderId="5" xfId="0" applyFont="1" applyBorder="1" applyAlignment="1" applyProtection="1">
      <alignment horizontal="center" vertical="top"/>
      <protection locked="0"/>
    </xf>
    <xf numFmtId="0" fontId="17" fillId="0" borderId="6" xfId="0" applyFont="1" applyBorder="1" applyAlignment="1" applyProtection="1">
      <alignment vertical="top" wrapText="1"/>
      <protection locked="0"/>
    </xf>
    <xf numFmtId="0" fontId="17" fillId="0" borderId="6" xfId="0" applyFont="1" applyBorder="1" applyAlignment="1" applyProtection="1">
      <alignment horizontal="center" vertical="top" wrapText="1"/>
      <protection locked="0"/>
    </xf>
    <xf numFmtId="0" fontId="17" fillId="0" borderId="6" xfId="0" applyFont="1" applyBorder="1" applyAlignment="1" applyProtection="1">
      <alignment vertical="top"/>
      <protection locked="0"/>
    </xf>
    <xf numFmtId="0" fontId="17" fillId="0" borderId="6" xfId="0" applyFont="1" applyBorder="1" applyAlignment="1" applyProtection="1">
      <alignment horizontal="center" vertical="top"/>
      <protection locked="0"/>
    </xf>
    <xf numFmtId="168" fontId="17" fillId="0" borderId="6" xfId="0" applyNumberFormat="1" applyFont="1" applyBorder="1" applyAlignment="1" applyProtection="1">
      <alignment vertical="top" wrapText="1"/>
      <protection locked="0"/>
    </xf>
    <xf numFmtId="0" fontId="18" fillId="0" borderId="5" xfId="0" applyFont="1" applyBorder="1" applyAlignment="1" applyProtection="1">
      <alignment horizontal="center" vertical="top"/>
      <protection locked="0"/>
    </xf>
    <xf numFmtId="0" fontId="18" fillId="0" borderId="6" xfId="0" applyFont="1" applyBorder="1" applyAlignment="1" applyProtection="1">
      <alignment vertical="top" wrapText="1"/>
      <protection locked="0"/>
    </xf>
    <xf numFmtId="0" fontId="18" fillId="0" borderId="6" xfId="0" applyFont="1" applyBorder="1" applyAlignment="1" applyProtection="1">
      <alignment horizontal="center" vertical="top" wrapText="1"/>
      <protection locked="0"/>
    </xf>
    <xf numFmtId="0" fontId="18" fillId="0" borderId="6" xfId="0" applyFont="1" applyBorder="1" applyAlignment="1" applyProtection="1">
      <alignment vertical="top"/>
      <protection locked="0"/>
    </xf>
    <xf numFmtId="0" fontId="18" fillId="0" borderId="6" xfId="0" applyFont="1" applyBorder="1" applyAlignment="1" applyProtection="1">
      <alignment horizontal="center" vertical="top"/>
      <protection locked="0"/>
    </xf>
    <xf numFmtId="168" fontId="18" fillId="0" borderId="6" xfId="0" applyNumberFormat="1" applyFont="1" applyBorder="1" applyAlignment="1" applyProtection="1">
      <alignment vertical="top" wrapText="1"/>
      <protection locked="0"/>
    </xf>
    <xf numFmtId="49" fontId="17" fillId="0" borderId="6" xfId="0" applyNumberFormat="1" applyFont="1" applyBorder="1" applyAlignment="1" applyProtection="1">
      <alignment horizontal="center" vertical="top" wrapText="1"/>
      <protection locked="0"/>
    </xf>
    <xf numFmtId="49" fontId="15" fillId="0" borderId="6" xfId="0" applyNumberFormat="1" applyFont="1" applyBorder="1" applyAlignment="1" applyProtection="1">
      <alignment horizontal="center" vertical="top" wrapText="1"/>
      <protection locked="0"/>
    </xf>
    <xf numFmtId="0" fontId="19" fillId="0" borderId="5" xfId="0" applyFont="1" applyBorder="1" applyAlignment="1" applyProtection="1">
      <alignment horizontal="center" vertical="top"/>
      <protection locked="0"/>
    </xf>
    <xf numFmtId="0" fontId="19" fillId="0" borderId="6" xfId="0" applyFont="1" applyBorder="1" applyAlignment="1" applyProtection="1">
      <alignment vertical="top" wrapText="1"/>
      <protection locked="0"/>
    </xf>
    <xf numFmtId="0" fontId="19" fillId="0" borderId="6" xfId="0" applyFont="1" applyBorder="1" applyAlignment="1" applyProtection="1">
      <alignment horizontal="center" vertical="top" wrapText="1"/>
      <protection locked="0"/>
    </xf>
    <xf numFmtId="0" fontId="19" fillId="0" borderId="6" xfId="0" applyFont="1" applyBorder="1" applyAlignment="1" applyProtection="1">
      <alignment vertical="top"/>
      <protection locked="0"/>
    </xf>
    <xf numFmtId="49" fontId="19" fillId="0" borderId="6" xfId="0" applyNumberFormat="1" applyFont="1" applyBorder="1" applyAlignment="1" applyProtection="1">
      <alignment horizontal="center" vertical="top" wrapText="1"/>
      <protection locked="0"/>
    </xf>
    <xf numFmtId="168" fontId="19" fillId="0" borderId="6" xfId="0" applyNumberFormat="1" applyFont="1" applyBorder="1" applyAlignment="1" applyProtection="1">
      <alignment vertical="top" wrapText="1"/>
      <protection locked="0"/>
    </xf>
    <xf numFmtId="169" fontId="15" fillId="0" borderId="6" xfId="0" applyNumberFormat="1" applyFont="1" applyBorder="1" applyAlignment="1" applyProtection="1">
      <alignment vertical="top" wrapText="1"/>
      <protection locked="0"/>
    </xf>
    <xf numFmtId="169" fontId="15" fillId="0" borderId="6" xfId="0" applyNumberFormat="1" applyFont="1" applyBorder="1" applyAlignment="1" applyProtection="1">
      <alignment horizontal="center" vertical="top" wrapText="1"/>
      <protection locked="0"/>
    </xf>
    <xf numFmtId="0" fontId="13" fillId="0" borderId="5" xfId="0" applyFont="1" applyBorder="1" applyAlignment="1" applyProtection="1">
      <alignment horizontal="center" vertical="top"/>
      <protection locked="0"/>
    </xf>
    <xf numFmtId="0" fontId="13" fillId="0" borderId="6" xfId="0" applyFont="1" applyBorder="1" applyAlignment="1" applyProtection="1">
      <alignment vertical="top" wrapText="1"/>
      <protection locked="0"/>
    </xf>
    <xf numFmtId="0" fontId="13" fillId="0" borderId="6" xfId="0" applyFont="1" applyBorder="1" applyAlignment="1" applyProtection="1">
      <alignment horizontal="center" vertical="top" wrapText="1"/>
      <protection locked="0"/>
    </xf>
    <xf numFmtId="0" fontId="13" fillId="0" borderId="6" xfId="0" applyFont="1" applyBorder="1" applyAlignment="1" applyProtection="1">
      <alignment vertical="top"/>
      <protection locked="0"/>
    </xf>
    <xf numFmtId="0" fontId="13" fillId="0" borderId="6" xfId="0" applyFont="1" applyBorder="1" applyAlignment="1" applyProtection="1">
      <alignment horizontal="center" vertical="top"/>
      <protection locked="0"/>
    </xf>
    <xf numFmtId="168" fontId="13" fillId="0" borderId="6" xfId="0" applyNumberFormat="1" applyFont="1" applyBorder="1" applyAlignment="1" applyProtection="1">
      <alignment vertical="top" wrapText="1"/>
      <protection locked="0"/>
    </xf>
    <xf numFmtId="0" fontId="20" fillId="0" borderId="5" xfId="0" applyFont="1" applyBorder="1" applyAlignment="1" applyProtection="1">
      <alignment horizontal="center" vertical="center"/>
      <protection locked="0"/>
    </xf>
    <xf numFmtId="0" fontId="20" fillId="0" borderId="6" xfId="0" applyFont="1" applyBorder="1" applyAlignment="1" applyProtection="1">
      <alignment horizontal="center" vertical="center" wrapText="1"/>
      <protection locked="0"/>
    </xf>
    <xf numFmtId="0" fontId="21" fillId="0" borderId="6" xfId="0" applyFont="1" applyBorder="1" applyAlignment="1" applyProtection="1">
      <alignment horizontal="center" vertical="center" wrapText="1"/>
      <protection locked="0"/>
    </xf>
    <xf numFmtId="0" fontId="20" fillId="0" borderId="6" xfId="0" applyFont="1" applyBorder="1" applyAlignment="1" applyProtection="1">
      <alignment vertical="center"/>
      <protection locked="0"/>
    </xf>
    <xf numFmtId="0" fontId="20" fillId="0" borderId="6" xfId="0" applyFont="1" applyBorder="1" applyAlignment="1" applyProtection="1">
      <alignment horizontal="center" vertical="center"/>
      <protection locked="0"/>
    </xf>
    <xf numFmtId="168" fontId="20" fillId="0" borderId="6" xfId="0" applyNumberFormat="1" applyFont="1" applyBorder="1" applyAlignment="1" applyProtection="1">
      <alignment vertical="center" wrapText="1"/>
      <protection locked="0"/>
    </xf>
    <xf numFmtId="0" fontId="10" fillId="0" borderId="0" xfId="0" applyFont="1" applyBorder="1"/>
    <xf numFmtId="0" fontId="15" fillId="0" borderId="6" xfId="0" applyFont="1" applyBorder="1" applyAlignment="1" applyProtection="1">
      <alignment vertical="center" wrapText="1"/>
      <protection locked="0"/>
    </xf>
    <xf numFmtId="0" fontId="17" fillId="0" borderId="6" xfId="0" applyFont="1" applyBorder="1" applyAlignment="1" applyProtection="1">
      <alignment vertical="center" wrapText="1"/>
      <protection locked="0"/>
    </xf>
    <xf numFmtId="0" fontId="18" fillId="0" borderId="6" xfId="0" applyFont="1" applyBorder="1" applyAlignment="1" applyProtection="1">
      <alignment vertical="center" wrapText="1"/>
      <protection locked="0"/>
    </xf>
    <xf numFmtId="0" fontId="14" fillId="0" borderId="0" xfId="0" applyFont="1" applyAlignment="1" applyProtection="1">
      <alignment vertical="center" wrapText="1"/>
      <protection locked="0"/>
    </xf>
    <xf numFmtId="0" fontId="8" fillId="0" borderId="0" xfId="0" applyFont="1" applyAlignment="1" applyProtection="1">
      <alignment vertical="center"/>
      <protection locked="0"/>
    </xf>
    <xf numFmtId="170" fontId="18" fillId="5" borderId="1" xfId="3" applyNumberFormat="1" applyFont="1" applyFill="1" applyBorder="1" applyAlignment="1">
      <alignment horizontal="center" vertical="center" wrapText="1"/>
    </xf>
    <xf numFmtId="170" fontId="18" fillId="5" borderId="1" xfId="3" applyNumberFormat="1" applyFont="1" applyFill="1" applyBorder="1" applyAlignment="1">
      <alignment horizontal="left" vertical="center" wrapText="1"/>
    </xf>
    <xf numFmtId="0" fontId="6" fillId="0" borderId="0" xfId="4"/>
    <xf numFmtId="0" fontId="18" fillId="0" borderId="1" xfId="3" quotePrefix="1" applyNumberFormat="1" applyFont="1" applyFill="1" applyBorder="1" applyAlignment="1">
      <alignment horizontal="center" vertical="center" wrapText="1"/>
    </xf>
    <xf numFmtId="170" fontId="18" fillId="0" borderId="1" xfId="3" quotePrefix="1" applyNumberFormat="1" applyFont="1" applyFill="1" applyBorder="1" applyAlignment="1">
      <alignment horizontal="left" vertical="center" wrapText="1"/>
    </xf>
    <xf numFmtId="9" fontId="18" fillId="0" borderId="1" xfId="5" applyFont="1" applyFill="1" applyBorder="1" applyAlignment="1">
      <alignment horizontal="center" vertical="center" wrapText="1"/>
    </xf>
    <xf numFmtId="170" fontId="18" fillId="0" borderId="1" xfId="3" applyNumberFormat="1" applyFont="1" applyFill="1" applyBorder="1" applyAlignment="1">
      <alignment horizontal="left" vertical="center" wrapText="1"/>
    </xf>
    <xf numFmtId="170" fontId="18" fillId="0" borderId="1" xfId="3" applyNumberFormat="1" applyFont="1" applyFill="1" applyBorder="1" applyAlignment="1">
      <alignment horizontal="center" vertical="center" wrapText="1"/>
    </xf>
    <xf numFmtId="171" fontId="18" fillId="0" borderId="1" xfId="3" applyNumberFormat="1" applyFont="1" applyFill="1" applyBorder="1" applyAlignment="1">
      <alignment horizontal="center" vertical="center" wrapText="1"/>
    </xf>
    <xf numFmtId="170" fontId="22" fillId="0" borderId="1" xfId="3" applyNumberFormat="1" applyFont="1" applyBorder="1" applyAlignment="1">
      <alignment horizontal="left" vertical="center"/>
    </xf>
    <xf numFmtId="170" fontId="14" fillId="5" borderId="1" xfId="3" applyNumberFormat="1" applyFont="1" applyFill="1" applyBorder="1" applyAlignment="1">
      <alignment horizontal="center" vertical="center" wrapText="1"/>
    </xf>
    <xf numFmtId="170" fontId="14" fillId="5" borderId="1" xfId="3" applyNumberFormat="1" applyFont="1" applyFill="1" applyBorder="1" applyAlignment="1">
      <alignment horizontal="left" vertical="center" wrapText="1"/>
    </xf>
    <xf numFmtId="0" fontId="9" fillId="0" borderId="1" xfId="0" applyFont="1" applyBorder="1" applyAlignment="1">
      <alignment horizontal="center" vertical="center"/>
    </xf>
    <xf numFmtId="0" fontId="0" fillId="0" borderId="0" xfId="0" applyFont="1"/>
    <xf numFmtId="170" fontId="18" fillId="5" borderId="11" xfId="1" applyNumberFormat="1" applyFont="1" applyFill="1" applyBorder="1" applyAlignment="1">
      <alignment horizontal="center" vertical="center" wrapText="1"/>
    </xf>
    <xf numFmtId="170" fontId="14" fillId="5" borderId="11" xfId="1" applyNumberFormat="1" applyFont="1" applyFill="1" applyBorder="1" applyAlignment="1">
      <alignment horizontal="center" vertical="center" wrapText="1"/>
    </xf>
    <xf numFmtId="0" fontId="18" fillId="0" borderId="12" xfId="1" quotePrefix="1" applyNumberFormat="1" applyFont="1" applyFill="1" applyBorder="1" applyAlignment="1">
      <alignment horizontal="center" vertical="center" wrapText="1"/>
    </xf>
    <xf numFmtId="170" fontId="18" fillId="0" borderId="12" xfId="1" applyNumberFormat="1" applyFont="1" applyFill="1" applyBorder="1" applyAlignment="1">
      <alignment horizontal="left" vertical="center" wrapText="1"/>
    </xf>
    <xf numFmtId="170" fontId="18" fillId="0" borderId="12" xfId="1" applyNumberFormat="1" applyFont="1" applyFill="1" applyBorder="1" applyAlignment="1">
      <alignment horizontal="center" vertical="center" wrapText="1"/>
    </xf>
    <xf numFmtId="171" fontId="18" fillId="0" borderId="12" xfId="1" applyNumberFormat="1" applyFont="1" applyFill="1" applyBorder="1" applyAlignment="1">
      <alignment horizontal="center" vertical="center" wrapText="1"/>
    </xf>
    <xf numFmtId="0" fontId="18" fillId="0" borderId="13" xfId="1" quotePrefix="1" applyNumberFormat="1" applyFont="1" applyFill="1" applyBorder="1" applyAlignment="1">
      <alignment horizontal="center" vertical="center" wrapText="1"/>
    </xf>
    <xf numFmtId="170" fontId="14" fillId="5" borderId="11" xfId="1" applyNumberFormat="1" applyFont="1" applyFill="1" applyBorder="1" applyAlignment="1">
      <alignment horizontal="left" vertical="center" wrapText="1"/>
    </xf>
    <xf numFmtId="0" fontId="0" fillId="0" borderId="0" xfId="0" applyAlignment="1">
      <alignment horizontal="left"/>
    </xf>
    <xf numFmtId="170" fontId="18" fillId="5" borderId="13" xfId="1" applyNumberFormat="1" applyFont="1" applyFill="1" applyBorder="1" applyAlignment="1">
      <alignment horizontal="left" wrapText="1"/>
    </xf>
    <xf numFmtId="170" fontId="18" fillId="5" borderId="13" xfId="1" applyNumberFormat="1" applyFont="1" applyFill="1" applyBorder="1" applyAlignment="1">
      <alignment horizontal="center" wrapText="1"/>
    </xf>
    <xf numFmtId="0" fontId="10" fillId="0" borderId="0" xfId="0" quotePrefix="1" applyFont="1"/>
    <xf numFmtId="0" fontId="10" fillId="7" borderId="0" xfId="0" applyFont="1" applyFill="1"/>
    <xf numFmtId="0" fontId="10" fillId="2" borderId="0" xfId="0" applyFont="1" applyFill="1"/>
    <xf numFmtId="0" fontId="9" fillId="0" borderId="0" xfId="0" applyFont="1" applyAlignment="1">
      <alignment horizontal="center" vertical="center"/>
    </xf>
    <xf numFmtId="0" fontId="10" fillId="0" borderId="1" xfId="0" applyFont="1" applyFill="1" applyBorder="1" applyAlignment="1">
      <alignment vertical="center" wrapText="1"/>
    </xf>
    <xf numFmtId="0" fontId="10" fillId="0" borderId="1" xfId="0" applyFont="1" applyFill="1" applyBorder="1" applyAlignment="1">
      <alignment horizontal="center"/>
    </xf>
    <xf numFmtId="10" fontId="10" fillId="0" borderId="1" xfId="0" applyNumberFormat="1" applyFont="1" applyBorder="1"/>
    <xf numFmtId="43" fontId="10" fillId="0" borderId="1" xfId="0" applyNumberFormat="1" applyFont="1" applyBorder="1"/>
    <xf numFmtId="0" fontId="10" fillId="0" borderId="14" xfId="0" applyFont="1" applyFill="1" applyBorder="1" applyAlignment="1">
      <alignment horizontal="center"/>
    </xf>
    <xf numFmtId="0" fontId="10" fillId="0" borderId="14" xfId="0" applyFont="1" applyBorder="1"/>
    <xf numFmtId="0" fontId="29" fillId="0" borderId="0" xfId="0" applyFont="1"/>
    <xf numFmtId="0" fontId="14" fillId="7" borderId="0" xfId="0" applyFont="1" applyFill="1" applyAlignment="1">
      <alignment horizontal="center" vertical="center"/>
    </xf>
    <xf numFmtId="0" fontId="9" fillId="8" borderId="1" xfId="0" applyFont="1" applyFill="1" applyBorder="1" applyAlignment="1">
      <alignment vertical="center"/>
    </xf>
    <xf numFmtId="166" fontId="10" fillId="2" borderId="0" xfId="1" applyNumberFormat="1" applyFont="1" applyFill="1"/>
    <xf numFmtId="0" fontId="10" fillId="0" borderId="1" xfId="0" applyFont="1" applyBorder="1" applyAlignment="1">
      <alignment horizontal="center"/>
    </xf>
    <xf numFmtId="0" fontId="9" fillId="3" borderId="1" xfId="0" applyFont="1" applyFill="1" applyBorder="1" applyAlignment="1">
      <alignment horizontal="center"/>
    </xf>
    <xf numFmtId="0" fontId="9" fillId="2" borderId="1" xfId="0" applyFont="1" applyFill="1" applyBorder="1" applyAlignment="1">
      <alignment horizontal="center"/>
    </xf>
    <xf numFmtId="0" fontId="30" fillId="0" borderId="0" xfId="0" applyFont="1"/>
    <xf numFmtId="0" fontId="10" fillId="0" borderId="0" xfId="0" applyFont="1" applyAlignment="1">
      <alignment horizontal="center" vertical="center"/>
    </xf>
    <xf numFmtId="0" fontId="10" fillId="0" borderId="0" xfId="0" applyFont="1" applyAlignment="1">
      <alignment horizontal="left"/>
    </xf>
    <xf numFmtId="0" fontId="10" fillId="6" borderId="1" xfId="0" applyFont="1" applyFill="1" applyBorder="1"/>
    <xf numFmtId="0" fontId="10" fillId="0" borderId="1" xfId="0" applyFont="1" applyBorder="1" applyAlignment="1">
      <alignment horizontal="center"/>
    </xf>
    <xf numFmtId="0" fontId="10" fillId="0" borderId="1" xfId="0" applyFont="1" applyBorder="1" applyAlignment="1">
      <alignment horizontal="center" wrapText="1"/>
    </xf>
    <xf numFmtId="10" fontId="10" fillId="0" borderId="1" xfId="0" applyNumberFormat="1" applyFont="1" applyBorder="1" applyAlignment="1">
      <alignment horizontal="center"/>
    </xf>
    <xf numFmtId="0" fontId="10" fillId="0" borderId="1" xfId="0" applyFont="1" applyFill="1" applyBorder="1" applyAlignment="1">
      <alignment vertical="center"/>
    </xf>
    <xf numFmtId="0" fontId="10" fillId="0" borderId="1" xfId="0" applyFont="1" applyBorder="1" applyAlignment="1">
      <alignment vertical="center"/>
    </xf>
    <xf numFmtId="0" fontId="10" fillId="0" borderId="0" xfId="0" applyFont="1" applyAlignment="1">
      <alignment vertical="center"/>
    </xf>
    <xf numFmtId="0" fontId="10" fillId="6" borderId="1" xfId="0" applyFont="1" applyFill="1" applyBorder="1" applyAlignment="1">
      <alignment vertical="center"/>
    </xf>
    <xf numFmtId="0" fontId="32" fillId="0" borderId="0" xfId="9"/>
    <xf numFmtId="0" fontId="0" fillId="0" borderId="0" xfId="0" applyProtection="1">
      <protection locked="0"/>
    </xf>
    <xf numFmtId="0" fontId="11" fillId="0" borderId="0" xfId="0" applyFont="1" applyProtection="1">
      <protection locked="0"/>
    </xf>
    <xf numFmtId="43" fontId="11" fillId="0" borderId="0" xfId="0" applyNumberFormat="1" applyFont="1" applyProtection="1">
      <protection locked="0"/>
    </xf>
    <xf numFmtId="0" fontId="9" fillId="0" borderId="1" xfId="0" applyFont="1" applyBorder="1" applyProtection="1"/>
    <xf numFmtId="0" fontId="6" fillId="0" borderId="1" xfId="0" applyFont="1" applyBorder="1" applyAlignment="1" applyProtection="1">
      <alignment horizontal="center" vertical="center"/>
    </xf>
    <xf numFmtId="0" fontId="6" fillId="0" borderId="1" xfId="0" applyFont="1" applyBorder="1" applyProtection="1"/>
    <xf numFmtId="166" fontId="6" fillId="0" borderId="1" xfId="1" applyNumberFormat="1" applyFont="1" applyBorder="1" applyAlignment="1" applyProtection="1">
      <alignment horizontal="center" vertical="center"/>
    </xf>
    <xf numFmtId="166" fontId="27" fillId="0" borderId="1" xfId="1" applyNumberFormat="1" applyFont="1" applyBorder="1" applyAlignment="1" applyProtection="1">
      <alignment horizontal="right" vertical="center"/>
    </xf>
    <xf numFmtId="0" fontId="0" fillId="0" borderId="1" xfId="0" applyBorder="1" applyAlignment="1" applyProtection="1">
      <alignment horizontal="center" vertical="center"/>
    </xf>
    <xf numFmtId="0" fontId="0" fillId="0" borderId="1" xfId="0" applyBorder="1" applyProtection="1"/>
    <xf numFmtId="166" fontId="0" fillId="0" borderId="1" xfId="1" applyNumberFormat="1" applyFont="1" applyBorder="1" applyProtection="1"/>
    <xf numFmtId="0" fontId="5" fillId="0" borderId="1" xfId="0" applyFont="1" applyFill="1" applyBorder="1" applyAlignment="1" applyProtection="1">
      <alignment horizontal="center" vertical="center"/>
    </xf>
    <xf numFmtId="0" fontId="0" fillId="0" borderId="1" xfId="0" applyFill="1" applyBorder="1" applyProtection="1"/>
    <xf numFmtId="166" fontId="0" fillId="0" borderId="1" xfId="0" applyNumberFormat="1" applyBorder="1" applyProtection="1"/>
    <xf numFmtId="0" fontId="9" fillId="0" borderId="1" xfId="0" applyFont="1" applyBorder="1" applyAlignment="1" applyProtection="1">
      <alignment horizontal="center" vertical="center"/>
    </xf>
    <xf numFmtId="43" fontId="11" fillId="0" borderId="0" xfId="0" applyNumberFormat="1" applyFont="1" applyAlignment="1" applyProtection="1">
      <alignment horizontal="right"/>
      <protection locked="0"/>
    </xf>
    <xf numFmtId="43" fontId="28" fillId="0" borderId="0" xfId="0" applyNumberFormat="1" applyFont="1" applyAlignment="1" applyProtection="1">
      <alignment horizontal="right"/>
      <protection locked="0"/>
    </xf>
    <xf numFmtId="0" fontId="4" fillId="0" borderId="1" xfId="0" applyFont="1" applyFill="1" applyBorder="1" applyAlignment="1" applyProtection="1">
      <alignment horizontal="center" vertical="center"/>
      <protection locked="0"/>
    </xf>
    <xf numFmtId="0" fontId="0" fillId="0" borderId="1" xfId="0" applyFill="1" applyBorder="1" applyProtection="1">
      <protection locked="0"/>
    </xf>
    <xf numFmtId="166" fontId="0" fillId="2" borderId="1" xfId="0" applyNumberFormat="1" applyFill="1" applyBorder="1" applyProtection="1">
      <protection locked="0"/>
    </xf>
    <xf numFmtId="0" fontId="0" fillId="2" borderId="1" xfId="0" applyFill="1" applyBorder="1" applyProtection="1">
      <protection locked="0"/>
    </xf>
    <xf numFmtId="166" fontId="0" fillId="2" borderId="1" xfId="1" applyNumberFormat="1" applyFont="1" applyFill="1" applyBorder="1" applyProtection="1">
      <protection locked="0"/>
    </xf>
    <xf numFmtId="0" fontId="9" fillId="0" borderId="1" xfId="0" applyFont="1" applyBorder="1" applyAlignment="1">
      <alignment horizontal="center"/>
    </xf>
    <xf numFmtId="0" fontId="33" fillId="0" borderId="0" xfId="0" applyFont="1"/>
    <xf numFmtId="0" fontId="13" fillId="6" borderId="1" xfId="8" applyFont="1" applyFill="1" applyBorder="1" applyAlignment="1" applyProtection="1">
      <alignment horizontal="center" vertical="center" wrapText="1"/>
      <protection locked="0"/>
    </xf>
    <xf numFmtId="0" fontId="23" fillId="6" borderId="1" xfId="8" applyFont="1" applyFill="1" applyBorder="1" applyAlignment="1" applyProtection="1">
      <alignment horizontal="center" vertical="center" wrapText="1"/>
      <protection locked="0"/>
    </xf>
    <xf numFmtId="0" fontId="9" fillId="8" borderId="1" xfId="0" applyFont="1" applyFill="1" applyBorder="1" applyAlignment="1">
      <alignment horizontal="center"/>
    </xf>
    <xf numFmtId="0" fontId="34" fillId="0" borderId="0" xfId="0" applyFont="1"/>
    <xf numFmtId="0" fontId="31" fillId="0" borderId="0" xfId="0" applyFont="1"/>
    <xf numFmtId="3" fontId="46" fillId="0" borderId="21" xfId="0" applyNumberFormat="1" applyFont="1" applyBorder="1" applyAlignment="1">
      <alignment horizontal="center" vertical="center" wrapText="1"/>
    </xf>
    <xf numFmtId="0" fontId="46" fillId="0" borderId="21" xfId="0" applyFont="1" applyBorder="1" applyAlignment="1">
      <alignment horizontal="center" vertical="center" wrapText="1"/>
    </xf>
    <xf numFmtId="0" fontId="45" fillId="0" borderId="17" xfId="0" applyFont="1" applyBorder="1" applyAlignment="1">
      <alignment horizontal="center" vertical="center" wrapText="1"/>
    </xf>
    <xf numFmtId="0" fontId="45" fillId="0" borderId="24" xfId="0" applyFont="1" applyBorder="1" applyAlignment="1">
      <alignment horizontal="center" vertical="center" wrapText="1"/>
    </xf>
    <xf numFmtId="0" fontId="23" fillId="6" borderId="21" xfId="8" applyFont="1" applyFill="1" applyBorder="1" applyAlignment="1" applyProtection="1">
      <alignment horizontal="center" vertical="center" wrapText="1"/>
      <protection locked="0"/>
    </xf>
    <xf numFmtId="0" fontId="10" fillId="0" borderId="21" xfId="0" applyFont="1" applyBorder="1"/>
    <xf numFmtId="0" fontId="10" fillId="0" borderId="21" xfId="0" applyFont="1" applyBorder="1" applyAlignment="1">
      <alignment horizontal="center"/>
    </xf>
    <xf numFmtId="172" fontId="10" fillId="0" borderId="19" xfId="1" applyNumberFormat="1" applyFont="1" applyBorder="1" applyAlignment="1">
      <alignment horizontal="center"/>
    </xf>
    <xf numFmtId="172" fontId="10" fillId="0" borderId="20" xfId="1" applyNumberFormat="1" applyFont="1" applyBorder="1" applyAlignment="1">
      <alignment horizontal="center"/>
    </xf>
    <xf numFmtId="0" fontId="49" fillId="0" borderId="29" xfId="0" applyFont="1" applyBorder="1" applyAlignment="1">
      <alignment horizontal="center" vertical="center" wrapText="1"/>
    </xf>
    <xf numFmtId="0" fontId="49" fillId="6" borderId="29" xfId="0" applyFont="1" applyFill="1" applyBorder="1" applyAlignment="1">
      <alignment horizontal="center" vertical="center" wrapText="1"/>
    </xf>
    <xf numFmtId="0" fontId="50" fillId="0" borderId="31" xfId="0" applyFont="1" applyBorder="1" applyAlignment="1">
      <alignment horizontal="center" vertical="center" wrapText="1"/>
    </xf>
    <xf numFmtId="0" fontId="50" fillId="6" borderId="31" xfId="0" applyFont="1" applyFill="1" applyBorder="1" applyAlignment="1">
      <alignment horizontal="center" vertical="center" wrapText="1"/>
    </xf>
    <xf numFmtId="0" fontId="49" fillId="0" borderId="30" xfId="0" applyFont="1" applyBorder="1" applyAlignment="1">
      <alignment horizontal="center" vertical="center"/>
    </xf>
    <xf numFmtId="0" fontId="49" fillId="0" borderId="31" xfId="0" applyFont="1" applyBorder="1" applyAlignment="1">
      <alignment horizontal="center" vertical="center"/>
    </xf>
    <xf numFmtId="3" fontId="49" fillId="0" borderId="31" xfId="0" applyNumberFormat="1" applyFont="1" applyBorder="1" applyAlignment="1">
      <alignment horizontal="center" vertical="center" wrapText="1"/>
    </xf>
    <xf numFmtId="0" fontId="27" fillId="0" borderId="30" xfId="0" applyFont="1" applyBorder="1" applyAlignment="1">
      <alignment horizontal="center" vertical="center"/>
    </xf>
    <xf numFmtId="0" fontId="27" fillId="0" borderId="31" xfId="0" applyFont="1" applyBorder="1" applyAlignment="1">
      <alignment vertical="center"/>
    </xf>
    <xf numFmtId="3" fontId="27" fillId="0" borderId="31" xfId="0" applyNumberFormat="1" applyFont="1" applyBorder="1" applyAlignment="1">
      <alignment horizontal="right" vertical="center" wrapText="1"/>
    </xf>
    <xf numFmtId="3" fontId="27" fillId="6" borderId="31" xfId="0" applyNumberFormat="1" applyFont="1" applyFill="1" applyBorder="1" applyAlignment="1">
      <alignment horizontal="right" vertical="center" wrapText="1"/>
    </xf>
    <xf numFmtId="0" fontId="27" fillId="0" borderId="31" xfId="0" applyFont="1" applyBorder="1" applyAlignment="1">
      <alignment horizontal="right" vertical="center" wrapText="1"/>
    </xf>
    <xf numFmtId="0" fontId="27" fillId="0" borderId="28" xfId="0" applyFont="1" applyBorder="1" applyAlignment="1">
      <alignment vertical="center"/>
    </xf>
    <xf numFmtId="3" fontId="27" fillId="0" borderId="28" xfId="0" applyNumberFormat="1" applyFont="1" applyBorder="1" applyAlignment="1">
      <alignment horizontal="right" vertical="center" wrapText="1"/>
    </xf>
    <xf numFmtId="3" fontId="27" fillId="6" borderId="28" xfId="0" applyNumberFormat="1" applyFont="1" applyFill="1" applyBorder="1" applyAlignment="1">
      <alignment horizontal="right" vertical="center" wrapText="1"/>
    </xf>
    <xf numFmtId="0" fontId="27" fillId="0" borderId="32" xfId="0" applyFont="1" applyBorder="1" applyAlignment="1">
      <alignment vertical="center"/>
    </xf>
    <xf numFmtId="3" fontId="27" fillId="0" borderId="32" xfId="0" applyNumberFormat="1" applyFont="1" applyBorder="1" applyAlignment="1">
      <alignment horizontal="right" vertical="center" wrapText="1"/>
    </xf>
    <xf numFmtId="3" fontId="27" fillId="6" borderId="32" xfId="0" applyNumberFormat="1" applyFont="1" applyFill="1" applyBorder="1" applyAlignment="1">
      <alignment horizontal="right" vertical="center" wrapText="1"/>
    </xf>
    <xf numFmtId="0" fontId="27" fillId="0" borderId="29" xfId="0" applyFont="1" applyBorder="1" applyAlignment="1">
      <alignment vertical="center"/>
    </xf>
    <xf numFmtId="3" fontId="27" fillId="0" borderId="29" xfId="0" applyNumberFormat="1" applyFont="1" applyBorder="1" applyAlignment="1">
      <alignment horizontal="right" vertical="center" wrapText="1"/>
    </xf>
    <xf numFmtId="3" fontId="27" fillId="6" borderId="29" xfId="0" applyNumberFormat="1" applyFont="1" applyFill="1" applyBorder="1" applyAlignment="1">
      <alignment horizontal="right" vertical="center" wrapText="1"/>
    </xf>
    <xf numFmtId="0" fontId="46" fillId="0" borderId="21" xfId="0" applyFont="1" applyBorder="1" applyAlignment="1">
      <alignment horizontal="left" vertical="center" wrapText="1"/>
    </xf>
    <xf numFmtId="0" fontId="45" fillId="0" borderId="15" xfId="0" applyFont="1" applyBorder="1" applyAlignment="1">
      <alignment horizontal="center" vertical="center" wrapText="1"/>
    </xf>
    <xf numFmtId="0" fontId="45" fillId="0" borderId="22" xfId="0" applyFont="1" applyBorder="1" applyAlignment="1">
      <alignment horizontal="center" vertical="center" wrapText="1"/>
    </xf>
    <xf numFmtId="0" fontId="43" fillId="0" borderId="0" xfId="0" applyFont="1" applyAlignment="1">
      <alignment horizontal="center" vertical="center" wrapText="1"/>
    </xf>
    <xf numFmtId="0" fontId="45" fillId="0" borderId="21" xfId="0" applyFont="1" applyBorder="1" applyAlignment="1">
      <alignment horizontal="center" vertical="center" wrapText="1"/>
    </xf>
    <xf numFmtId="0" fontId="51" fillId="0" borderId="0" xfId="0" applyFont="1"/>
    <xf numFmtId="0" fontId="30" fillId="0" borderId="21" xfId="0" applyFont="1" applyBorder="1"/>
    <xf numFmtId="9" fontId="18" fillId="0" borderId="21" xfId="5" applyFont="1" applyFill="1" applyBorder="1" applyAlignment="1">
      <alignment horizontal="center" vertical="center" wrapText="1"/>
    </xf>
    <xf numFmtId="9" fontId="18" fillId="0" borderId="21" xfId="5" applyNumberFormat="1" applyFont="1" applyFill="1" applyBorder="1" applyAlignment="1">
      <alignment horizontal="center" vertical="center" wrapText="1"/>
    </xf>
    <xf numFmtId="174" fontId="53" fillId="0" borderId="6" xfId="4" applyNumberFormat="1" applyFont="1" applyBorder="1" applyAlignment="1" applyProtection="1">
      <alignment horizontal="center" vertical="center" wrapText="1"/>
      <protection locked="0"/>
    </xf>
    <xf numFmtId="3" fontId="0" fillId="0" borderId="0" xfId="0" applyNumberFormat="1"/>
    <xf numFmtId="0" fontId="46" fillId="2" borderId="21" xfId="0" applyFont="1" applyFill="1" applyBorder="1" applyAlignment="1">
      <alignment horizontal="center" vertical="center" wrapText="1"/>
    </xf>
    <xf numFmtId="0" fontId="46" fillId="2" borderId="21" xfId="0" applyFont="1" applyFill="1" applyBorder="1" applyAlignment="1">
      <alignment horizontal="left" vertical="center" wrapText="1"/>
    </xf>
    <xf numFmtId="3" fontId="46" fillId="0" borderId="17" xfId="0" applyNumberFormat="1" applyFont="1" applyFill="1" applyBorder="1" applyAlignment="1">
      <alignment horizontal="center" vertical="center" wrapText="1"/>
    </xf>
    <xf numFmtId="0" fontId="36" fillId="0" borderId="31" xfId="0" applyFont="1" applyBorder="1" applyAlignment="1">
      <alignment horizontal="center" vertical="center" wrapText="1"/>
    </xf>
    <xf numFmtId="0" fontId="38" fillId="0" borderId="30" xfId="0" applyFont="1" applyBorder="1" applyAlignment="1">
      <alignment horizontal="center" vertical="center" wrapText="1"/>
    </xf>
    <xf numFmtId="0" fontId="38" fillId="0" borderId="31" xfId="0" applyFont="1" applyBorder="1" applyAlignment="1">
      <alignment vertical="center" wrapText="1"/>
    </xf>
    <xf numFmtId="10" fontId="38" fillId="0" borderId="31" xfId="0" applyNumberFormat="1" applyFont="1" applyBorder="1" applyAlignment="1">
      <alignment horizontal="right" vertical="center" wrapText="1"/>
    </xf>
    <xf numFmtId="10" fontId="38" fillId="0" borderId="31" xfId="0" applyNumberFormat="1" applyFont="1" applyBorder="1" applyAlignment="1">
      <alignment horizontal="center" vertical="center" wrapText="1"/>
    </xf>
    <xf numFmtId="0" fontId="38" fillId="0" borderId="31" xfId="0" applyFont="1" applyBorder="1" applyAlignment="1">
      <alignment horizontal="center" vertical="center" wrapText="1"/>
    </xf>
    <xf numFmtId="0" fontId="38" fillId="0" borderId="37" xfId="0" applyFont="1" applyFill="1" applyBorder="1" applyAlignment="1">
      <alignment vertical="center" wrapText="1"/>
    </xf>
    <xf numFmtId="9" fontId="10" fillId="0" borderId="0" xfId="7" applyFont="1"/>
    <xf numFmtId="166" fontId="10" fillId="11" borderId="14" xfId="1" applyNumberFormat="1" applyFont="1" applyFill="1" applyBorder="1"/>
    <xf numFmtId="0" fontId="27" fillId="0" borderId="37" xfId="0" applyFont="1" applyBorder="1" applyAlignment="1">
      <alignment vertical="center"/>
    </xf>
    <xf numFmtId="3" fontId="27" fillId="0" borderId="37" xfId="0" applyNumberFormat="1" applyFont="1" applyBorder="1" applyAlignment="1">
      <alignment horizontal="right" vertical="center" wrapText="1"/>
    </xf>
    <xf numFmtId="0" fontId="10" fillId="0" borderId="0" xfId="0" applyFont="1" applyFill="1" applyBorder="1" applyAlignment="1">
      <alignment horizontal="center"/>
    </xf>
    <xf numFmtId="166" fontId="10" fillId="0" borderId="0" xfId="7" applyNumberFormat="1" applyFont="1" applyBorder="1"/>
    <xf numFmtId="166" fontId="9" fillId="0" borderId="0" xfId="1" applyNumberFormat="1" applyFont="1"/>
    <xf numFmtId="0" fontId="0" fillId="0" borderId="38" xfId="0" applyBorder="1"/>
    <xf numFmtId="176" fontId="0" fillId="0" borderId="29" xfId="0" applyNumberFormat="1" applyBorder="1"/>
    <xf numFmtId="0" fontId="0" fillId="0" borderId="39" xfId="0" applyBorder="1"/>
    <xf numFmtId="0" fontId="0" fillId="0" borderId="37" xfId="0" applyBorder="1"/>
    <xf numFmtId="165" fontId="0" fillId="0" borderId="37" xfId="0" applyNumberFormat="1" applyBorder="1"/>
    <xf numFmtId="16" fontId="0" fillId="0" borderId="0" xfId="0" applyNumberFormat="1"/>
    <xf numFmtId="9" fontId="0" fillId="0" borderId="37" xfId="0" applyNumberFormat="1" applyBorder="1"/>
    <xf numFmtId="2" fontId="0" fillId="0" borderId="37" xfId="0" applyNumberFormat="1" applyBorder="1"/>
    <xf numFmtId="176" fontId="0" fillId="0" borderId="37" xfId="0" applyNumberFormat="1" applyBorder="1"/>
    <xf numFmtId="0" fontId="0" fillId="0" borderId="40" xfId="0" applyBorder="1"/>
    <xf numFmtId="10" fontId="0" fillId="0" borderId="31" xfId="0" applyNumberFormat="1" applyBorder="1"/>
    <xf numFmtId="0" fontId="27" fillId="0" borderId="37" xfId="0" applyFont="1" applyFill="1" applyBorder="1" applyAlignment="1">
      <alignment vertical="center"/>
    </xf>
    <xf numFmtId="0" fontId="58" fillId="0" borderId="0" xfId="0" applyFont="1"/>
    <xf numFmtId="0" fontId="35" fillId="0" borderId="0" xfId="0" applyFont="1"/>
    <xf numFmtId="0" fontId="59" fillId="0" borderId="0" xfId="0" applyFont="1"/>
    <xf numFmtId="0" fontId="59" fillId="0" borderId="0" xfId="0" applyFont="1" applyAlignment="1">
      <alignment vertical="center"/>
    </xf>
    <xf numFmtId="170" fontId="62" fillId="0" borderId="0" xfId="0" applyNumberFormat="1" applyFont="1" applyFill="1" applyBorder="1" applyAlignment="1">
      <alignment vertical="center" wrapText="1"/>
    </xf>
    <xf numFmtId="0" fontId="61" fillId="0" borderId="0" xfId="0" applyFont="1" applyFill="1" applyBorder="1"/>
    <xf numFmtId="0" fontId="10" fillId="0" borderId="21" xfId="0" applyFont="1" applyBorder="1" applyAlignment="1">
      <alignment vertical="center"/>
    </xf>
    <xf numFmtId="0" fontId="10" fillId="0" borderId="21" xfId="0" applyFont="1" applyBorder="1" applyAlignment="1">
      <alignment horizontal="center" vertical="center"/>
    </xf>
    <xf numFmtId="166" fontId="10" fillId="3" borderId="21" xfId="1" applyNumberFormat="1" applyFont="1" applyFill="1" applyBorder="1"/>
    <xf numFmtId="166" fontId="10" fillId="3" borderId="21" xfId="0" applyNumberFormat="1" applyFont="1" applyFill="1" applyBorder="1" applyAlignment="1">
      <alignment vertical="center"/>
    </xf>
    <xf numFmtId="166" fontId="10" fillId="2" borderId="21" xfId="1" applyNumberFormat="1" applyFont="1" applyFill="1" applyBorder="1"/>
    <xf numFmtId="166" fontId="10" fillId="3" borderId="21" xfId="1" applyNumberFormat="1" applyFont="1" applyFill="1" applyBorder="1" applyAlignment="1">
      <alignment vertical="center"/>
    </xf>
    <xf numFmtId="0" fontId="10" fillId="0" borderId="21" xfId="0" applyFont="1" applyBorder="1" applyAlignment="1">
      <alignment wrapText="1"/>
    </xf>
    <xf numFmtId="0" fontId="9" fillId="0" borderId="21" xfId="0" applyFont="1" applyBorder="1" applyAlignment="1">
      <alignment horizontal="center" vertical="center"/>
    </xf>
    <xf numFmtId="0" fontId="9" fillId="0" borderId="21" xfId="0" applyFont="1" applyBorder="1"/>
    <xf numFmtId="0" fontId="9" fillId="3" borderId="21" xfId="0" applyFont="1" applyFill="1" applyBorder="1" applyAlignment="1">
      <alignment horizontal="center"/>
    </xf>
    <xf numFmtId="0" fontId="10" fillId="2" borderId="21" xfId="0" applyFont="1" applyFill="1" applyBorder="1" applyAlignment="1">
      <alignment horizontal="center"/>
    </xf>
    <xf numFmtId="0" fontId="9" fillId="2" borderId="21" xfId="0" applyFont="1" applyFill="1" applyBorder="1" applyAlignment="1">
      <alignment horizontal="center"/>
    </xf>
    <xf numFmtId="0" fontId="10" fillId="3" borderId="21" xfId="0" applyFont="1" applyFill="1" applyBorder="1"/>
    <xf numFmtId="0" fontId="10" fillId="2" borderId="21" xfId="0" applyFont="1" applyFill="1" applyBorder="1"/>
    <xf numFmtId="166" fontId="10" fillId="0" borderId="21" xfId="0" applyNumberFormat="1" applyFont="1" applyBorder="1"/>
    <xf numFmtId="166" fontId="10" fillId="2" borderId="21" xfId="0" applyNumberFormat="1" applyFont="1" applyFill="1" applyBorder="1" applyAlignment="1">
      <alignment vertical="center"/>
    </xf>
    <xf numFmtId="166" fontId="30" fillId="3" borderId="21" xfId="1" applyNumberFormat="1" applyFont="1" applyFill="1" applyBorder="1"/>
    <xf numFmtId="166" fontId="30" fillId="3" borderId="21" xfId="0" applyNumberFormat="1" applyFont="1" applyFill="1" applyBorder="1" applyAlignment="1">
      <alignment vertical="center"/>
    </xf>
    <xf numFmtId="166" fontId="30" fillId="2" borderId="21" xfId="0" applyNumberFormat="1" applyFont="1" applyFill="1" applyBorder="1" applyAlignment="1">
      <alignment vertical="center"/>
    </xf>
    <xf numFmtId="166" fontId="30" fillId="2" borderId="21" xfId="1" applyNumberFormat="1" applyFont="1" applyFill="1" applyBorder="1"/>
    <xf numFmtId="166" fontId="30" fillId="2" borderId="21" xfId="0" applyNumberFormat="1" applyFont="1" applyFill="1" applyBorder="1"/>
    <xf numFmtId="166" fontId="10" fillId="2" borderId="21" xfId="1" applyNumberFormat="1" applyFont="1" applyFill="1" applyBorder="1" applyAlignment="1">
      <alignment vertical="center"/>
    </xf>
    <xf numFmtId="166" fontId="10" fillId="0" borderId="21" xfId="0" applyNumberFormat="1" applyFont="1" applyBorder="1" applyAlignment="1" applyProtection="1"/>
    <xf numFmtId="0" fontId="10" fillId="0" borderId="21" xfId="0" applyFont="1" applyBorder="1" applyAlignment="1">
      <alignment vertical="center" wrapText="1"/>
    </xf>
    <xf numFmtId="166" fontId="10" fillId="6" borderId="21" xfId="0" applyNumberFormat="1" applyFont="1" applyFill="1" applyBorder="1" applyAlignment="1" applyProtection="1"/>
    <xf numFmtId="167" fontId="10" fillId="2" borderId="21" xfId="2" applyNumberFormat="1" applyFont="1" applyFill="1" applyBorder="1" applyAlignment="1" applyProtection="1">
      <alignment horizontal="right" vertical="center"/>
    </xf>
    <xf numFmtId="167" fontId="10" fillId="3" borderId="21" xfId="2" applyNumberFormat="1" applyFont="1" applyFill="1" applyBorder="1" applyAlignment="1" applyProtection="1">
      <alignment horizontal="right" vertical="center"/>
    </xf>
    <xf numFmtId="0" fontId="9" fillId="0" borderId="21" xfId="0" applyFont="1" applyBorder="1" applyAlignment="1">
      <alignment wrapText="1"/>
    </xf>
    <xf numFmtId="0" fontId="10" fillId="0" borderId="21" xfId="0" applyFont="1" applyFill="1" applyBorder="1"/>
    <xf numFmtId="166" fontId="31" fillId="3" borderId="21" xfId="0" applyNumberFormat="1" applyFont="1" applyFill="1" applyBorder="1" applyAlignment="1">
      <alignment vertical="center"/>
    </xf>
    <xf numFmtId="166" fontId="31" fillId="2" borderId="21" xfId="0" applyNumberFormat="1" applyFont="1" applyFill="1" applyBorder="1" applyAlignment="1">
      <alignment vertical="center"/>
    </xf>
    <xf numFmtId="167" fontId="18" fillId="3" borderId="21" xfId="2" applyNumberFormat="1" applyFont="1" applyFill="1" applyBorder="1" applyAlignment="1" applyProtection="1">
      <alignment horizontal="right" vertical="center"/>
    </xf>
    <xf numFmtId="0" fontId="10" fillId="0" borderId="0" xfId="0" applyFont="1" applyAlignment="1">
      <alignment horizontal="right"/>
    </xf>
    <xf numFmtId="0" fontId="31" fillId="0" borderId="21" xfId="0" applyFont="1" applyBorder="1"/>
    <xf numFmtId="0" fontId="10" fillId="0" borderId="43" xfId="0" applyFont="1" applyBorder="1" applyAlignment="1">
      <alignment horizontal="center" vertical="center"/>
    </xf>
    <xf numFmtId="0" fontId="10" fillId="0" borderId="43" xfId="0" applyFont="1" applyBorder="1"/>
    <xf numFmtId="166" fontId="10" fillId="3" borderId="43" xfId="1" applyNumberFormat="1" applyFont="1" applyFill="1" applyBorder="1"/>
    <xf numFmtId="166" fontId="10" fillId="3" borderId="43" xfId="0" applyNumberFormat="1" applyFont="1" applyFill="1" applyBorder="1" applyAlignment="1">
      <alignment vertical="center"/>
    </xf>
    <xf numFmtId="166" fontId="10" fillId="2" borderId="43" xfId="0" applyNumberFormat="1" applyFont="1" applyFill="1" applyBorder="1" applyAlignment="1">
      <alignment vertical="center"/>
    </xf>
    <xf numFmtId="166" fontId="10" fillId="2" borderId="43" xfId="1" applyNumberFormat="1" applyFont="1" applyFill="1" applyBorder="1"/>
    <xf numFmtId="0" fontId="10" fillId="2" borderId="43" xfId="0" applyFont="1" applyFill="1" applyBorder="1"/>
    <xf numFmtId="166" fontId="10" fillId="0" borderId="43" xfId="0" applyNumberFormat="1" applyFont="1" applyBorder="1"/>
    <xf numFmtId="0" fontId="9" fillId="0" borderId="43" xfId="0" applyFont="1" applyBorder="1" applyAlignment="1">
      <alignment horizontal="center" vertical="center"/>
    </xf>
    <xf numFmtId="0" fontId="9" fillId="0" borderId="43" xfId="0" applyFont="1" applyBorder="1" applyAlignment="1">
      <alignment wrapText="1"/>
    </xf>
    <xf numFmtId="166" fontId="10" fillId="0" borderId="43" xfId="0" applyNumberFormat="1" applyFont="1" applyFill="1" applyBorder="1"/>
    <xf numFmtId="0" fontId="10" fillId="0" borderId="0" xfId="0" applyFont="1" applyAlignment="1" applyProtection="1">
      <protection hidden="1"/>
    </xf>
    <xf numFmtId="0" fontId="9" fillId="0" borderId="0" xfId="0" applyFont="1" applyAlignment="1" applyProtection="1">
      <protection hidden="1"/>
    </xf>
    <xf numFmtId="0" fontId="0" fillId="0" borderId="0" xfId="0" applyProtection="1">
      <protection hidden="1"/>
    </xf>
    <xf numFmtId="0" fontId="34" fillId="0" borderId="0" xfId="0" applyFont="1" applyProtection="1">
      <protection hidden="1"/>
    </xf>
    <xf numFmtId="0" fontId="57" fillId="0" borderId="0" xfId="0" applyFont="1" applyAlignment="1" applyProtection="1">
      <alignment horizontal="right" vertical="center"/>
      <protection hidden="1"/>
    </xf>
    <xf numFmtId="0" fontId="18" fillId="0" borderId="0" xfId="0" applyFont="1"/>
    <xf numFmtId="0" fontId="18" fillId="0" borderId="0" xfId="0" applyFont="1" applyAlignment="1">
      <alignment vertical="center"/>
    </xf>
    <xf numFmtId="0" fontId="14" fillId="0" borderId="0" xfId="0" applyFont="1"/>
    <xf numFmtId="175" fontId="15" fillId="6" borderId="43" xfId="0" applyNumberFormat="1" applyFont="1" applyFill="1" applyBorder="1" applyAlignment="1">
      <alignment horizontal="center" vertical="center"/>
    </xf>
    <xf numFmtId="166" fontId="18" fillId="0" borderId="0" xfId="0" applyNumberFormat="1" applyFont="1"/>
    <xf numFmtId="0" fontId="63" fillId="0" borderId="0" xfId="9" applyFont="1"/>
    <xf numFmtId="0" fontId="60" fillId="0" borderId="0" xfId="0" applyFont="1"/>
    <xf numFmtId="166" fontId="6" fillId="0" borderId="0" xfId="4" applyNumberFormat="1"/>
    <xf numFmtId="0" fontId="59" fillId="0" borderId="0" xfId="0" applyFont="1" applyBorder="1"/>
    <xf numFmtId="10" fontId="31" fillId="0" borderId="21" xfId="5" applyNumberFormat="1" applyFont="1" applyFill="1" applyBorder="1" applyAlignment="1">
      <alignment horizontal="center" vertical="center" wrapText="1"/>
    </xf>
    <xf numFmtId="0" fontId="64" fillId="0" borderId="0" xfId="14" applyFont="1"/>
    <xf numFmtId="0" fontId="2" fillId="0" borderId="0" xfId="14"/>
    <xf numFmtId="0" fontId="9" fillId="0" borderId="38" xfId="14" applyFont="1" applyBorder="1" applyAlignment="1">
      <alignment horizontal="center" vertical="center"/>
    </xf>
    <xf numFmtId="0" fontId="9" fillId="0" borderId="44" xfId="14" applyFont="1" applyBorder="1" applyAlignment="1">
      <alignment horizontal="center" vertical="center"/>
    </xf>
    <xf numFmtId="0" fontId="9" fillId="0" borderId="44" xfId="14" applyFont="1" applyBorder="1" applyAlignment="1">
      <alignment horizontal="center" vertical="center" wrapText="1"/>
    </xf>
    <xf numFmtId="0" fontId="9" fillId="0" borderId="29" xfId="14" applyFont="1" applyBorder="1" applyAlignment="1">
      <alignment horizontal="center" vertical="center" wrapText="1"/>
    </xf>
    <xf numFmtId="0" fontId="9" fillId="0" borderId="0" xfId="14" applyFont="1" applyFill="1" applyBorder="1" applyAlignment="1">
      <alignment horizontal="center" vertical="center" wrapText="1"/>
    </xf>
    <xf numFmtId="170" fontId="0" fillId="0" borderId="0" xfId="15" applyNumberFormat="1" applyFont="1"/>
    <xf numFmtId="0" fontId="9" fillId="0" borderId="39" xfId="14" applyFont="1" applyBorder="1" applyAlignment="1">
      <alignment horizontal="center"/>
    </xf>
    <xf numFmtId="0" fontId="9" fillId="0" borderId="0" xfId="14" applyFont="1" applyBorder="1" applyAlignment="1">
      <alignment horizontal="left"/>
    </xf>
    <xf numFmtId="0" fontId="9" fillId="0" borderId="0" xfId="14" applyFont="1" applyBorder="1" applyAlignment="1">
      <alignment horizontal="center"/>
    </xf>
    <xf numFmtId="0" fontId="2" fillId="0" borderId="0" xfId="14" applyBorder="1"/>
    <xf numFmtId="170" fontId="9" fillId="0" borderId="0" xfId="15" applyNumberFormat="1" applyFont="1" applyBorder="1" applyAlignment="1">
      <alignment horizontal="center"/>
    </xf>
    <xf numFmtId="43" fontId="9" fillId="0" borderId="37" xfId="14" applyNumberFormat="1" applyFont="1" applyBorder="1" applyAlignment="1">
      <alignment horizontal="center"/>
    </xf>
    <xf numFmtId="0" fontId="10" fillId="0" borderId="39" xfId="14" applyFont="1" applyBorder="1" applyAlignment="1">
      <alignment horizontal="center" vertical="center"/>
    </xf>
    <xf numFmtId="0" fontId="65" fillId="0" borderId="0" xfId="14" applyFont="1" applyBorder="1"/>
    <xf numFmtId="0" fontId="10" fillId="0" borderId="0" xfId="14" applyNumberFormat="1" applyFont="1" applyBorder="1" applyAlignment="1">
      <alignment horizontal="center" vertical="center"/>
    </xf>
    <xf numFmtId="0" fontId="2" fillId="0" borderId="0" xfId="14" applyBorder="1" applyAlignment="1">
      <alignment horizontal="center" vertical="center"/>
    </xf>
    <xf numFmtId="170" fontId="10" fillId="0" borderId="0" xfId="14" applyNumberFormat="1" applyFont="1" applyBorder="1"/>
    <xf numFmtId="3" fontId="10" fillId="0" borderId="0" xfId="14" applyNumberFormat="1" applyFont="1" applyBorder="1" applyAlignment="1">
      <alignment horizontal="center" vertical="center"/>
    </xf>
    <xf numFmtId="3" fontId="9" fillId="0" borderId="37" xfId="15" applyNumberFormat="1" applyFont="1" applyBorder="1"/>
    <xf numFmtId="170" fontId="2" fillId="0" borderId="0" xfId="14" applyNumberFormat="1"/>
    <xf numFmtId="0" fontId="10" fillId="0" borderId="0" xfId="14" applyFont="1" applyBorder="1" applyAlignment="1">
      <alignment horizontal="center" vertical="center"/>
    </xf>
    <xf numFmtId="0" fontId="2" fillId="0" borderId="0" xfId="14" applyBorder="1" applyAlignment="1">
      <alignment horizontal="center"/>
    </xf>
    <xf numFmtId="3" fontId="2" fillId="0" borderId="0" xfId="14" applyNumberFormat="1"/>
    <xf numFmtId="170" fontId="2" fillId="0" borderId="0" xfId="1" applyNumberFormat="1" applyFont="1"/>
    <xf numFmtId="3" fontId="10" fillId="0" borderId="0" xfId="14" applyNumberFormat="1" applyFont="1" applyBorder="1"/>
    <xf numFmtId="43" fontId="10" fillId="0" borderId="37" xfId="15" applyFont="1" applyBorder="1"/>
    <xf numFmtId="0" fontId="10" fillId="0" borderId="39" xfId="14" quotePrefix="1" applyFont="1" applyBorder="1" applyAlignment="1">
      <alignment horizontal="center" vertical="center"/>
    </xf>
    <xf numFmtId="0" fontId="10" fillId="0" borderId="40" xfId="14" applyFont="1" applyBorder="1" applyAlignment="1">
      <alignment horizontal="center" vertical="center"/>
    </xf>
    <xf numFmtId="3" fontId="10" fillId="0" borderId="45" xfId="14" applyNumberFormat="1" applyFont="1" applyBorder="1"/>
    <xf numFmtId="43" fontId="10" fillId="0" borderId="31" xfId="15" applyFont="1" applyBorder="1"/>
    <xf numFmtId="0" fontId="0" fillId="0" borderId="0" xfId="0" applyAlignment="1"/>
    <xf numFmtId="0" fontId="2" fillId="0" borderId="46" xfId="14" applyBorder="1"/>
    <xf numFmtId="0" fontId="65" fillId="0" borderId="47" xfId="14" applyFont="1" applyFill="1" applyBorder="1" applyAlignment="1">
      <alignment horizontal="center"/>
    </xf>
    <xf numFmtId="0" fontId="10" fillId="0" borderId="47" xfId="14" applyFont="1" applyFill="1" applyBorder="1" applyAlignment="1">
      <alignment horizontal="center" vertical="center"/>
    </xf>
    <xf numFmtId="0" fontId="10" fillId="0" borderId="48" xfId="14" applyFont="1" applyFill="1" applyBorder="1" applyAlignment="1">
      <alignment horizontal="center" vertical="center"/>
    </xf>
    <xf numFmtId="0" fontId="11" fillId="0" borderId="0" xfId="14" applyFont="1"/>
    <xf numFmtId="0" fontId="11" fillId="0" borderId="49" xfId="14" applyFont="1" applyBorder="1"/>
    <xf numFmtId="0" fontId="9" fillId="0" borderId="43" xfId="14" applyFont="1" applyBorder="1" applyAlignment="1">
      <alignment horizontal="center"/>
    </xf>
    <xf numFmtId="170" fontId="9" fillId="0" borderId="43" xfId="15" applyNumberFormat="1" applyFont="1" applyBorder="1"/>
    <xf numFmtId="170" fontId="9" fillId="0" borderId="50" xfId="15" applyNumberFormat="1" applyFont="1" applyBorder="1"/>
    <xf numFmtId="0" fontId="2" fillId="0" borderId="49" xfId="14" applyBorder="1"/>
    <xf numFmtId="0" fontId="2" fillId="0" borderId="43" xfId="14" applyFont="1" applyBorder="1"/>
    <xf numFmtId="170" fontId="10" fillId="0" borderId="43" xfId="15" applyNumberFormat="1" applyFont="1" applyBorder="1"/>
    <xf numFmtId="170" fontId="10" fillId="0" borderId="50" xfId="15" applyNumberFormat="1" applyFont="1" applyBorder="1"/>
    <xf numFmtId="0" fontId="2" fillId="0" borderId="51" xfId="14" applyBorder="1"/>
    <xf numFmtId="0" fontId="2" fillId="0" borderId="52" xfId="14" applyFont="1" applyBorder="1"/>
    <xf numFmtId="170" fontId="10" fillId="0" borderId="52" xfId="15" applyNumberFormat="1" applyFont="1" applyBorder="1"/>
    <xf numFmtId="170" fontId="10" fillId="0" borderId="53" xfId="15" applyNumberFormat="1" applyFont="1" applyBorder="1"/>
    <xf numFmtId="0" fontId="35" fillId="0" borderId="0" xfId="0" applyFont="1" applyBorder="1" applyAlignment="1">
      <alignment horizontal="center" vertical="center" wrapText="1"/>
    </xf>
    <xf numFmtId="0" fontId="38" fillId="0" borderId="0" xfId="0" applyFont="1" applyBorder="1" applyAlignment="1">
      <alignment vertical="center" wrapText="1"/>
    </xf>
    <xf numFmtId="0" fontId="30"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30" fillId="0" borderId="0" xfId="0" applyFont="1" applyBorder="1" applyAlignment="1">
      <alignment vertical="center" wrapText="1"/>
    </xf>
    <xf numFmtId="170" fontId="36" fillId="0" borderId="0" xfId="0" applyNumberFormat="1" applyFont="1" applyBorder="1" applyAlignment="1">
      <alignment horizontal="center" vertical="center" wrapText="1"/>
    </xf>
    <xf numFmtId="0" fontId="39" fillId="0" borderId="0" xfId="0" applyFont="1" applyBorder="1" applyAlignment="1">
      <alignment vertical="center" wrapText="1"/>
    </xf>
    <xf numFmtId="0" fontId="66" fillId="0" borderId="0" xfId="0" applyFont="1"/>
    <xf numFmtId="0" fontId="67" fillId="0" borderId="0" xfId="4" applyFont="1"/>
    <xf numFmtId="0" fontId="18" fillId="0" borderId="0" xfId="0" applyFont="1" applyBorder="1"/>
    <xf numFmtId="0" fontId="68" fillId="0" borderId="0" xfId="0" applyFont="1" applyBorder="1" applyAlignment="1">
      <alignment horizontal="left" vertical="center" wrapText="1"/>
    </xf>
    <xf numFmtId="167" fontId="10" fillId="2" borderId="43" xfId="2" applyNumberFormat="1" applyFont="1" applyFill="1" applyBorder="1" applyAlignment="1" applyProtection="1">
      <alignment horizontal="right" vertical="center"/>
    </xf>
    <xf numFmtId="0" fontId="9" fillId="0" borderId="0" xfId="0" applyFont="1" applyAlignment="1">
      <alignment horizontal="center"/>
    </xf>
    <xf numFmtId="0" fontId="10" fillId="0" borderId="0" xfId="0" applyFont="1" applyAlignment="1">
      <alignment horizontal="center"/>
    </xf>
    <xf numFmtId="166" fontId="10" fillId="0" borderId="2" xfId="1" applyNumberFormat="1" applyFont="1" applyBorder="1" applyAlignment="1">
      <alignment horizontal="center"/>
    </xf>
    <xf numFmtId="166" fontId="10" fillId="0" borderId="10" xfId="1" applyNumberFormat="1" applyFont="1" applyBorder="1" applyAlignment="1">
      <alignment horizontal="center"/>
    </xf>
    <xf numFmtId="0" fontId="13" fillId="6" borderId="2" xfId="8" applyFont="1" applyFill="1" applyBorder="1" applyAlignment="1" applyProtection="1">
      <alignment horizontal="left" vertical="center" wrapText="1"/>
      <protection locked="0"/>
    </xf>
    <xf numFmtId="0" fontId="13" fillId="6" borderId="16" xfId="8" applyFont="1" applyFill="1" applyBorder="1" applyAlignment="1" applyProtection="1">
      <alignment horizontal="left" vertical="center" wrapText="1"/>
      <protection locked="0"/>
    </xf>
    <xf numFmtId="0" fontId="13" fillId="6" borderId="10" xfId="8" applyFont="1" applyFill="1" applyBorder="1" applyAlignment="1" applyProtection="1">
      <alignment horizontal="left" vertical="center" wrapText="1"/>
      <protection locked="0"/>
    </xf>
    <xf numFmtId="172" fontId="10" fillId="0" borderId="2" xfId="1" applyNumberFormat="1" applyFont="1" applyBorder="1" applyAlignment="1">
      <alignment horizontal="center"/>
    </xf>
    <xf numFmtId="172" fontId="10" fillId="0" borderId="10" xfId="1" applyNumberFormat="1" applyFont="1" applyBorder="1" applyAlignment="1">
      <alignment horizontal="center"/>
    </xf>
    <xf numFmtId="0" fontId="23" fillId="6" borderId="2" xfId="8" applyFont="1" applyFill="1" applyBorder="1" applyAlignment="1" applyProtection="1">
      <alignment horizontal="left" vertical="center" wrapText="1"/>
      <protection locked="0"/>
    </xf>
    <xf numFmtId="0" fontId="23" fillId="6" borderId="16" xfId="8" applyFont="1" applyFill="1" applyBorder="1" applyAlignment="1" applyProtection="1">
      <alignment horizontal="left" vertical="center" wrapText="1"/>
      <protection locked="0"/>
    </xf>
    <xf numFmtId="0" fontId="23" fillId="6" borderId="10" xfId="8" applyFont="1" applyFill="1" applyBorder="1" applyAlignment="1" applyProtection="1">
      <alignment horizontal="left" vertical="center" wrapText="1"/>
      <protection locked="0"/>
    </xf>
    <xf numFmtId="166" fontId="10" fillId="0" borderId="2" xfId="1" applyNumberFormat="1" applyFont="1" applyBorder="1" applyAlignment="1">
      <alignment horizontal="center" vertical="center"/>
    </xf>
    <xf numFmtId="166" fontId="10" fillId="0" borderId="10" xfId="1" applyNumberFormat="1" applyFont="1" applyBorder="1" applyAlignment="1">
      <alignment horizontal="center" vertical="center"/>
    </xf>
    <xf numFmtId="0" fontId="47" fillId="6" borderId="19" xfId="8" applyFont="1" applyFill="1" applyBorder="1" applyAlignment="1" applyProtection="1">
      <alignment horizontal="left" vertical="center" wrapText="1"/>
      <protection locked="0"/>
    </xf>
    <xf numFmtId="0" fontId="47" fillId="6" borderId="23" xfId="8" applyFont="1" applyFill="1" applyBorder="1" applyAlignment="1" applyProtection="1">
      <alignment horizontal="left" vertical="center" wrapText="1"/>
      <protection locked="0"/>
    </xf>
    <xf numFmtId="0" fontId="47" fillId="6" borderId="20" xfId="8" applyFont="1" applyFill="1" applyBorder="1" applyAlignment="1" applyProtection="1">
      <alignment horizontal="left" vertical="center" wrapText="1"/>
      <protection locked="0"/>
    </xf>
    <xf numFmtId="166" fontId="10" fillId="0" borderId="19" xfId="1" applyNumberFormat="1" applyFont="1" applyBorder="1" applyAlignment="1">
      <alignment horizontal="center" vertical="center"/>
    </xf>
    <xf numFmtId="166" fontId="10" fillId="0" borderId="20" xfId="1" applyNumberFormat="1" applyFont="1" applyBorder="1" applyAlignment="1">
      <alignment horizontal="center" vertical="center"/>
    </xf>
    <xf numFmtId="173" fontId="10" fillId="0" borderId="2" xfId="1" applyNumberFormat="1" applyFont="1" applyBorder="1" applyAlignment="1">
      <alignment horizontal="center"/>
    </xf>
    <xf numFmtId="173" fontId="10" fillId="0" borderId="10" xfId="1" applyNumberFormat="1" applyFont="1" applyBorder="1" applyAlignment="1">
      <alignment horizontal="center"/>
    </xf>
    <xf numFmtId="170" fontId="18" fillId="0" borderId="1" xfId="1" applyNumberFormat="1" applyFont="1" applyFill="1" applyBorder="1" applyAlignment="1">
      <alignment horizontal="left" vertical="center" wrapText="1"/>
    </xf>
    <xf numFmtId="166" fontId="10" fillId="2" borderId="2" xfId="1" applyNumberFormat="1" applyFont="1" applyFill="1" applyBorder="1" applyAlignment="1">
      <alignment horizontal="center"/>
    </xf>
    <xf numFmtId="166" fontId="10" fillId="2" borderId="10" xfId="1" applyNumberFormat="1" applyFont="1" applyFill="1" applyBorder="1" applyAlignment="1">
      <alignment horizontal="center"/>
    </xf>
    <xf numFmtId="164" fontId="10" fillId="0" borderId="2" xfId="1" applyFont="1" applyBorder="1" applyAlignment="1">
      <alignment horizontal="center"/>
    </xf>
    <xf numFmtId="164" fontId="10" fillId="0" borderId="10" xfId="1" applyFont="1" applyBorder="1" applyAlignment="1">
      <alignment horizontal="center"/>
    </xf>
    <xf numFmtId="0" fontId="48" fillId="0" borderId="25" xfId="4" applyFont="1" applyBorder="1" applyAlignment="1" applyProtection="1">
      <alignment horizontal="left" vertical="center" wrapText="1"/>
      <protection locked="0"/>
    </xf>
    <xf numFmtId="0" fontId="48" fillId="0" borderId="26" xfId="4" applyFont="1" applyBorder="1" applyAlignment="1" applyProtection="1">
      <alignment horizontal="left" vertical="center" wrapText="1"/>
      <protection locked="0"/>
    </xf>
    <xf numFmtId="0" fontId="48" fillId="0" borderId="27" xfId="4" applyFont="1" applyBorder="1" applyAlignment="1" applyProtection="1">
      <alignment horizontal="left" vertical="center" wrapText="1"/>
      <protection locked="0"/>
    </xf>
    <xf numFmtId="0" fontId="9" fillId="8" borderId="1" xfId="0" applyFont="1" applyFill="1" applyBorder="1" applyAlignment="1">
      <alignment horizontal="left"/>
    </xf>
    <xf numFmtId="170" fontId="14" fillId="0" borderId="16" xfId="1" applyNumberFormat="1" applyFont="1" applyFill="1" applyBorder="1" applyAlignment="1">
      <alignment horizontal="left" vertical="center" wrapText="1"/>
    </xf>
    <xf numFmtId="170" fontId="14" fillId="0" borderId="10" xfId="1" applyNumberFormat="1" applyFont="1" applyFill="1" applyBorder="1" applyAlignment="1">
      <alignment horizontal="left" vertical="center" wrapText="1"/>
    </xf>
    <xf numFmtId="172" fontId="9" fillId="0" borderId="2" xfId="1" applyNumberFormat="1" applyFont="1" applyBorder="1" applyAlignment="1">
      <alignment horizontal="center"/>
    </xf>
    <xf numFmtId="172" fontId="9" fillId="0" borderId="10" xfId="1" applyNumberFormat="1" applyFont="1" applyBorder="1" applyAlignment="1">
      <alignment horizontal="center"/>
    </xf>
    <xf numFmtId="0" fontId="9" fillId="8" borderId="2" xfId="0" applyFont="1" applyFill="1" applyBorder="1" applyAlignment="1">
      <alignment horizontal="left"/>
    </xf>
    <xf numFmtId="0" fontId="9" fillId="8" borderId="16" xfId="0" applyFont="1" applyFill="1" applyBorder="1" applyAlignment="1">
      <alignment horizontal="left"/>
    </xf>
    <xf numFmtId="0" fontId="9" fillId="8" borderId="10" xfId="0" applyFont="1" applyFill="1" applyBorder="1" applyAlignment="1">
      <alignment horizontal="left"/>
    </xf>
    <xf numFmtId="0" fontId="10" fillId="6" borderId="2" xfId="0" applyFont="1" applyFill="1" applyBorder="1" applyAlignment="1">
      <alignment horizontal="left" vertical="center"/>
    </xf>
    <xf numFmtId="0" fontId="10" fillId="6" borderId="16" xfId="0" applyFont="1" applyFill="1" applyBorder="1" applyAlignment="1">
      <alignment horizontal="left" vertical="center"/>
    </xf>
    <xf numFmtId="0" fontId="10" fillId="6" borderId="10" xfId="0" applyFont="1" applyFill="1" applyBorder="1" applyAlignment="1">
      <alignment horizontal="left" vertical="center"/>
    </xf>
    <xf numFmtId="0" fontId="10" fillId="7" borderId="1" xfId="0" applyFont="1" applyFill="1" applyBorder="1" applyAlignment="1">
      <alignment horizontal="left" vertical="center"/>
    </xf>
    <xf numFmtId="0" fontId="9" fillId="8" borderId="2" xfId="0" applyFont="1" applyFill="1" applyBorder="1" applyAlignment="1">
      <alignment horizontal="left" vertical="center"/>
    </xf>
    <xf numFmtId="0" fontId="9" fillId="8" borderId="16" xfId="0" applyFont="1" applyFill="1" applyBorder="1" applyAlignment="1">
      <alignment horizontal="left" vertical="center"/>
    </xf>
    <xf numFmtId="0" fontId="9" fillId="8" borderId="10" xfId="0" applyFont="1" applyFill="1" applyBorder="1" applyAlignment="1">
      <alignment horizontal="left" vertical="center"/>
    </xf>
    <xf numFmtId="0" fontId="10" fillId="7" borderId="1" xfId="0" applyFont="1" applyFill="1" applyBorder="1" applyAlignment="1">
      <alignment horizontal="left" vertical="center" wrapText="1"/>
    </xf>
    <xf numFmtId="0" fontId="9" fillId="8" borderId="2" xfId="0" applyFont="1" applyFill="1" applyBorder="1" applyAlignment="1">
      <alignment horizontal="center" vertical="center"/>
    </xf>
    <xf numFmtId="0" fontId="9" fillId="8" borderId="10" xfId="0" applyFont="1" applyFill="1" applyBorder="1" applyAlignment="1">
      <alignment horizontal="center" vertical="center"/>
    </xf>
    <xf numFmtId="164" fontId="10" fillId="0" borderId="41" xfId="1" applyFont="1" applyBorder="1" applyAlignment="1">
      <alignment horizontal="center" vertical="center"/>
    </xf>
    <xf numFmtId="164" fontId="10" fillId="0" borderId="42" xfId="1" applyFont="1" applyBorder="1" applyAlignment="1">
      <alignment horizontal="center" vertical="center"/>
    </xf>
    <xf numFmtId="164" fontId="10" fillId="0" borderId="2" xfId="1" applyFont="1" applyBorder="1" applyAlignment="1">
      <alignment horizontal="center" vertical="center"/>
    </xf>
    <xf numFmtId="164" fontId="10" fillId="0" borderId="10" xfId="1" applyFont="1" applyBorder="1" applyAlignment="1">
      <alignment horizontal="center" vertical="center"/>
    </xf>
    <xf numFmtId="0" fontId="9" fillId="6" borderId="0" xfId="0" applyFont="1" applyFill="1" applyAlignment="1">
      <alignment horizontal="center"/>
    </xf>
    <xf numFmtId="170" fontId="14" fillId="0" borderId="1" xfId="1" applyNumberFormat="1" applyFont="1" applyFill="1" applyBorder="1" applyAlignment="1">
      <alignment horizontal="left" vertical="center" wrapText="1"/>
    </xf>
    <xf numFmtId="0" fontId="9" fillId="8" borderId="1" xfId="0" applyFont="1" applyFill="1" applyBorder="1" applyAlignment="1">
      <alignment horizontal="center" vertical="center"/>
    </xf>
    <xf numFmtId="0" fontId="10" fillId="2" borderId="16"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9" fillId="0" borderId="2" xfId="0" applyFont="1" applyBorder="1" applyAlignment="1">
      <alignment horizontal="center"/>
    </xf>
    <xf numFmtId="0" fontId="9" fillId="0" borderId="10" xfId="0" applyFont="1" applyBorder="1" applyAlignment="1">
      <alignment horizontal="center"/>
    </xf>
    <xf numFmtId="0" fontId="9" fillId="0" borderId="19" xfId="0" applyFont="1" applyFill="1" applyBorder="1" applyAlignment="1">
      <alignment horizontal="left"/>
    </xf>
    <xf numFmtId="0" fontId="9" fillId="0" borderId="23" xfId="0" applyFont="1" applyFill="1" applyBorder="1" applyAlignment="1">
      <alignment horizontal="left"/>
    </xf>
    <xf numFmtId="0" fontId="9" fillId="0" borderId="20" xfId="0" applyFont="1" applyFill="1" applyBorder="1" applyAlignment="1">
      <alignment horizontal="left"/>
    </xf>
    <xf numFmtId="166" fontId="10" fillId="0" borderId="19" xfId="1" applyNumberFormat="1" applyFont="1" applyFill="1" applyBorder="1" applyAlignment="1">
      <alignment horizontal="center"/>
    </xf>
    <xf numFmtId="166" fontId="10" fillId="0" borderId="20" xfId="1" applyNumberFormat="1" applyFont="1" applyFill="1" applyBorder="1" applyAlignment="1">
      <alignment horizontal="center"/>
    </xf>
    <xf numFmtId="0" fontId="69" fillId="0" borderId="31" xfId="0" applyFont="1" applyBorder="1" applyAlignment="1">
      <alignment horizontal="center" vertical="center" wrapText="1"/>
    </xf>
    <xf numFmtId="0" fontId="70" fillId="0" borderId="30" xfId="0" applyFont="1" applyBorder="1" applyAlignment="1">
      <alignment horizontal="center" vertical="center" wrapText="1"/>
    </xf>
    <xf numFmtId="0" fontId="70" fillId="0" borderId="31" xfId="0" applyFont="1" applyBorder="1" applyAlignment="1">
      <alignment vertical="center" wrapText="1"/>
    </xf>
    <xf numFmtId="10" fontId="70" fillId="0" borderId="31" xfId="0" applyNumberFormat="1" applyFont="1" applyBorder="1" applyAlignment="1">
      <alignment horizontal="right" vertical="center" wrapText="1"/>
    </xf>
    <xf numFmtId="10" fontId="70" fillId="0" borderId="31" xfId="0" applyNumberFormat="1" applyFont="1" applyBorder="1" applyAlignment="1">
      <alignment horizontal="center" vertical="center" wrapText="1"/>
    </xf>
    <xf numFmtId="0" fontId="70" fillId="0" borderId="31" xfId="0" applyFont="1" applyBorder="1" applyAlignment="1">
      <alignment horizontal="center" vertical="center" wrapText="1"/>
    </xf>
    <xf numFmtId="0" fontId="70" fillId="0" borderId="31" xfId="0" applyFont="1" applyBorder="1" applyAlignment="1">
      <alignment horizontal="right" vertical="center" wrapText="1"/>
    </xf>
    <xf numFmtId="10" fontId="70" fillId="0" borderId="30" xfId="0" applyNumberFormat="1" applyFont="1" applyBorder="1" applyAlignment="1">
      <alignment horizontal="right" vertical="center" wrapText="1"/>
    </xf>
    <xf numFmtId="10" fontId="71" fillId="0" borderId="0" xfId="0" applyNumberFormat="1" applyFont="1"/>
    <xf numFmtId="0" fontId="72" fillId="0" borderId="31" xfId="0" applyFont="1" applyBorder="1" applyAlignment="1">
      <alignment vertical="center" wrapText="1"/>
    </xf>
    <xf numFmtId="10" fontId="72" fillId="0" borderId="31" xfId="0" applyNumberFormat="1" applyFont="1" applyBorder="1" applyAlignment="1">
      <alignment horizontal="right" vertical="center" wrapText="1"/>
    </xf>
    <xf numFmtId="0" fontId="72" fillId="0" borderId="31" xfId="0" applyFont="1" applyBorder="1" applyAlignment="1">
      <alignment horizontal="right" vertical="center" wrapText="1"/>
    </xf>
    <xf numFmtId="0" fontId="39" fillId="0" borderId="0" xfId="0" applyFont="1"/>
    <xf numFmtId="0" fontId="72" fillId="0" borderId="55" xfId="0" applyFont="1" applyBorder="1" applyAlignment="1">
      <alignment vertical="center" wrapText="1"/>
    </xf>
    <xf numFmtId="10" fontId="72" fillId="0" borderId="31" xfId="0" applyNumberFormat="1" applyFont="1" applyBorder="1" applyAlignment="1">
      <alignment horizontal="center" vertical="center" wrapText="1"/>
    </xf>
    <xf numFmtId="0" fontId="72" fillId="0" borderId="31" xfId="0" applyFont="1" applyBorder="1" applyAlignment="1">
      <alignment horizontal="center" vertical="center" wrapText="1"/>
    </xf>
    <xf numFmtId="0" fontId="9" fillId="0" borderId="0" xfId="0" applyFont="1" applyAlignment="1">
      <alignment horizontal="center"/>
    </xf>
    <xf numFmtId="0" fontId="10" fillId="0" borderId="0" xfId="0" applyFont="1" applyAlignment="1" applyProtection="1">
      <alignment horizontal="center"/>
      <protection hidden="1"/>
    </xf>
    <xf numFmtId="0" fontId="71" fillId="0" borderId="0" xfId="0" applyFont="1" applyFill="1" applyBorder="1"/>
    <xf numFmtId="43" fontId="71" fillId="0" borderId="0" xfId="0" applyNumberFormat="1" applyFont="1" applyFill="1" applyBorder="1"/>
    <xf numFmtId="170" fontId="71" fillId="0" borderId="0" xfId="0" applyNumberFormat="1" applyFont="1" applyFill="1" applyBorder="1"/>
    <xf numFmtId="0" fontId="25" fillId="0" borderId="0" xfId="0" applyFont="1" applyFill="1" applyBorder="1"/>
    <xf numFmtId="43" fontId="25" fillId="0" borderId="0" xfId="0" applyNumberFormat="1" applyFont="1" applyFill="1" applyBorder="1"/>
    <xf numFmtId="0" fontId="71" fillId="0" borderId="0" xfId="0" applyFont="1"/>
    <xf numFmtId="0" fontId="25" fillId="0" borderId="0" xfId="0" applyFont="1"/>
    <xf numFmtId="0" fontId="13" fillId="0" borderId="43" xfId="16" applyFont="1" applyFill="1" applyBorder="1" applyAlignment="1">
      <alignment horizontal="center" vertical="center"/>
    </xf>
    <xf numFmtId="0" fontId="13" fillId="0" borderId="43" xfId="16" applyFont="1" applyFill="1" applyBorder="1" applyAlignment="1">
      <alignment horizontal="center" vertical="center" wrapText="1"/>
    </xf>
    <xf numFmtId="3" fontId="13" fillId="2" borderId="43" xfId="16" applyNumberFormat="1" applyFont="1" applyFill="1" applyBorder="1" applyAlignment="1">
      <alignment horizontal="center" vertical="center" wrapText="1"/>
    </xf>
    <xf numFmtId="0" fontId="13" fillId="0" borderId="43" xfId="16" applyFont="1" applyFill="1" applyBorder="1" applyAlignment="1">
      <alignment horizontal="left" vertical="center" wrapText="1"/>
    </xf>
    <xf numFmtId="0" fontId="23" fillId="0" borderId="43" xfId="16" applyFont="1" applyFill="1" applyBorder="1" applyAlignment="1">
      <alignment horizontal="center" vertical="center" wrapText="1"/>
    </xf>
    <xf numFmtId="170" fontId="13" fillId="6" borderId="43" xfId="15" applyNumberFormat="1" applyFont="1" applyFill="1" applyBorder="1" applyAlignment="1">
      <alignment horizontal="center" vertical="center"/>
    </xf>
    <xf numFmtId="3" fontId="13" fillId="6" borderId="43" xfId="15" applyNumberFormat="1" applyFont="1" applyFill="1" applyBorder="1" applyAlignment="1">
      <alignment horizontal="right" vertical="center"/>
    </xf>
    <xf numFmtId="0" fontId="23" fillId="6" borderId="43" xfId="14" applyFont="1" applyFill="1" applyBorder="1" applyAlignment="1"/>
    <xf numFmtId="0" fontId="13" fillId="2" borderId="43" xfId="16" applyFont="1" applyFill="1" applyBorder="1" applyAlignment="1">
      <alignment horizontal="center" vertical="center"/>
    </xf>
    <xf numFmtId="0" fontId="13" fillId="2" borderId="43" xfId="16" applyFont="1" applyFill="1" applyBorder="1" applyAlignment="1">
      <alignment horizontal="left" vertical="center" wrapText="1"/>
    </xf>
    <xf numFmtId="0" fontId="23" fillId="2" borderId="43" xfId="16" applyFont="1" applyFill="1" applyBorder="1" applyAlignment="1">
      <alignment horizontal="center" vertical="center" wrapText="1"/>
    </xf>
    <xf numFmtId="170" fontId="13" fillId="2" borderId="43" xfId="16" applyNumberFormat="1" applyFont="1" applyFill="1" applyBorder="1" applyAlignment="1">
      <alignment horizontal="center" vertical="center" wrapText="1"/>
    </xf>
    <xf numFmtId="170" fontId="13" fillId="3" borderId="43" xfId="15" applyNumberFormat="1" applyFont="1" applyFill="1" applyBorder="1"/>
    <xf numFmtId="0" fontId="23" fillId="2" borderId="43" xfId="14" applyFont="1" applyFill="1" applyBorder="1" applyAlignment="1">
      <alignment horizontal="center"/>
    </xf>
    <xf numFmtId="1" fontId="13" fillId="2" borderId="43" xfId="16" applyNumberFormat="1" applyFont="1" applyFill="1" applyBorder="1" applyAlignment="1">
      <alignment horizontal="center"/>
    </xf>
    <xf numFmtId="170" fontId="13" fillId="2" borderId="43" xfId="11" applyNumberFormat="1" applyFont="1" applyFill="1" applyBorder="1" applyAlignment="1">
      <alignment horizontal="center"/>
    </xf>
    <xf numFmtId="1" fontId="13" fillId="2" borderId="43" xfId="16" applyNumberFormat="1" applyFont="1" applyFill="1" applyBorder="1" applyAlignment="1">
      <alignment horizontal="center" vertical="center"/>
    </xf>
    <xf numFmtId="0" fontId="13" fillId="6" borderId="43" xfId="16" applyFont="1" applyFill="1" applyBorder="1" applyAlignment="1">
      <alignment horizontal="center" vertical="center"/>
    </xf>
    <xf numFmtId="0" fontId="13" fillId="6" borderId="43" xfId="16" applyFont="1" applyFill="1" applyBorder="1" applyAlignment="1">
      <alignment horizontal="left" vertical="center" wrapText="1"/>
    </xf>
    <xf numFmtId="0" fontId="23" fillId="6" borderId="43" xfId="16" applyFont="1" applyFill="1" applyBorder="1" applyAlignment="1">
      <alignment horizontal="center" vertical="center" wrapText="1"/>
    </xf>
    <xf numFmtId="0" fontId="23" fillId="0" borderId="43" xfId="14" applyFont="1" applyFill="1" applyBorder="1" applyAlignment="1"/>
    <xf numFmtId="0" fontId="9" fillId="8" borderId="2" xfId="0" applyFont="1" applyFill="1" applyBorder="1" applyAlignment="1">
      <alignment vertical="center"/>
    </xf>
    <xf numFmtId="0" fontId="9" fillId="8" borderId="10" xfId="0" applyFont="1" applyFill="1" applyBorder="1" applyAlignment="1">
      <alignment vertical="center"/>
    </xf>
    <xf numFmtId="164" fontId="10" fillId="0" borderId="2" xfId="1" applyFont="1" applyBorder="1" applyAlignment="1">
      <alignment vertical="center"/>
    </xf>
    <xf numFmtId="164" fontId="10" fillId="0" borderId="10" xfId="1" applyFont="1" applyBorder="1" applyAlignment="1">
      <alignment vertical="center"/>
    </xf>
    <xf numFmtId="164" fontId="10" fillId="6" borderId="2" xfId="1" applyFont="1" applyFill="1" applyBorder="1" applyAlignment="1">
      <alignment vertical="center"/>
    </xf>
    <xf numFmtId="164" fontId="10" fillId="6" borderId="10" xfId="1" applyFont="1" applyFill="1" applyBorder="1" applyAlignment="1">
      <alignment vertical="center"/>
    </xf>
    <xf numFmtId="166" fontId="9" fillId="0" borderId="2" xfId="1" applyNumberFormat="1" applyFont="1" applyBorder="1" applyAlignment="1"/>
    <xf numFmtId="166" fontId="9" fillId="0" borderId="10" xfId="1" applyNumberFormat="1" applyFont="1" applyBorder="1" applyAlignment="1"/>
    <xf numFmtId="166" fontId="10" fillId="0" borderId="2" xfId="1" applyNumberFormat="1" applyFont="1" applyBorder="1" applyAlignment="1"/>
    <xf numFmtId="166" fontId="10" fillId="0" borderId="10" xfId="1" applyNumberFormat="1" applyFont="1" applyBorder="1" applyAlignment="1"/>
    <xf numFmtId="166" fontId="10" fillId="0" borderId="2" xfId="1" applyNumberFormat="1" applyFont="1" applyBorder="1" applyAlignment="1">
      <alignment vertical="center"/>
    </xf>
    <xf numFmtId="166" fontId="10" fillId="0" borderId="10" xfId="1" applyNumberFormat="1" applyFont="1" applyBorder="1" applyAlignment="1">
      <alignment vertical="center"/>
    </xf>
    <xf numFmtId="164" fontId="10" fillId="0" borderId="2" xfId="1" applyFont="1" applyBorder="1" applyAlignment="1"/>
    <xf numFmtId="164" fontId="10" fillId="0" borderId="10" xfId="1" applyFont="1" applyBorder="1" applyAlignment="1"/>
    <xf numFmtId="0" fontId="1" fillId="0" borderId="0" xfId="17"/>
    <xf numFmtId="0" fontId="10" fillId="0" borderId="0" xfId="17" applyFont="1"/>
    <xf numFmtId="0" fontId="75" fillId="0" borderId="0" xfId="17" applyFont="1"/>
    <xf numFmtId="0" fontId="18" fillId="2" borderId="0" xfId="17" applyFont="1" applyFill="1"/>
    <xf numFmtId="0" fontId="18" fillId="0" borderId="0" xfId="17" applyFont="1"/>
    <xf numFmtId="0" fontId="18" fillId="7" borderId="0" xfId="17" applyFont="1" applyFill="1"/>
    <xf numFmtId="0" fontId="10" fillId="0" borderId="0" xfId="17" quotePrefix="1" applyFont="1"/>
    <xf numFmtId="0" fontId="74" fillId="0" borderId="0" xfId="17" applyFont="1"/>
    <xf numFmtId="0" fontId="1" fillId="0" borderId="0" xfId="17" applyBorder="1"/>
    <xf numFmtId="0" fontId="74" fillId="0" borderId="0" xfId="18" applyFont="1" applyBorder="1"/>
    <xf numFmtId="0" fontId="9" fillId="0" borderId="0" xfId="17" applyFont="1"/>
    <xf numFmtId="0" fontId="14" fillId="7" borderId="0" xfId="17" applyFont="1" applyFill="1" applyAlignment="1">
      <alignment horizontal="center" vertical="center"/>
    </xf>
    <xf numFmtId="0" fontId="10" fillId="0" borderId="0" xfId="17" applyFont="1" applyAlignment="1">
      <alignment horizontal="right"/>
    </xf>
    <xf numFmtId="175" fontId="30" fillId="0" borderId="0" xfId="17" applyNumberFormat="1" applyFont="1" applyBorder="1" applyAlignment="1">
      <alignment horizontal="left" vertical="center"/>
    </xf>
    <xf numFmtId="0" fontId="10" fillId="0" borderId="0" xfId="17" applyFont="1" applyFill="1" applyAlignment="1">
      <alignment horizontal="left" vertical="center"/>
    </xf>
    <xf numFmtId="0" fontId="10" fillId="0" borderId="0" xfId="17" applyFont="1" applyAlignment="1">
      <alignment horizontal="left"/>
    </xf>
    <xf numFmtId="0" fontId="9" fillId="0" borderId="0" xfId="17" applyFont="1" applyAlignment="1"/>
    <xf numFmtId="0" fontId="10" fillId="0" borderId="0" xfId="17" applyFont="1" applyFill="1"/>
    <xf numFmtId="0" fontId="9" fillId="0" borderId="0" xfId="17" applyFont="1" applyAlignment="1">
      <alignment horizontal="center"/>
    </xf>
    <xf numFmtId="0" fontId="9" fillId="0" borderId="0" xfId="17" applyFont="1" applyAlignment="1">
      <alignment horizontal="center" vertical="center"/>
    </xf>
    <xf numFmtId="0" fontId="59" fillId="0" borderId="0" xfId="17" applyFont="1" applyBorder="1"/>
    <xf numFmtId="0" fontId="10" fillId="0" borderId="43" xfId="17" applyFont="1" applyBorder="1" applyAlignment="1">
      <alignment horizontal="center" vertical="center"/>
    </xf>
    <xf numFmtId="0" fontId="10" fillId="2" borderId="43" xfId="17" applyFont="1" applyFill="1" applyBorder="1"/>
    <xf numFmtId="0" fontId="10" fillId="0" borderId="0" xfId="17" applyFont="1" applyAlignment="1">
      <alignment horizontal="center" vertical="center"/>
    </xf>
    <xf numFmtId="0" fontId="76" fillId="0" borderId="0" xfId="17" applyFont="1" applyBorder="1" applyAlignment="1">
      <alignment horizontal="left" vertical="center" wrapText="1"/>
    </xf>
    <xf numFmtId="0" fontId="10" fillId="2" borderId="43" xfId="17" applyFont="1" applyFill="1" applyBorder="1" applyAlignment="1">
      <alignment horizontal="center" vertical="center"/>
    </xf>
    <xf numFmtId="9" fontId="10" fillId="0" borderId="0" xfId="19" applyFont="1"/>
    <xf numFmtId="0" fontId="1" fillId="0" borderId="0" xfId="18"/>
    <xf numFmtId="0" fontId="35" fillId="0" borderId="0" xfId="17" applyFont="1"/>
    <xf numFmtId="166" fontId="10" fillId="0" borderId="0" xfId="20" applyNumberFormat="1" applyFont="1" applyFill="1"/>
    <xf numFmtId="0" fontId="9" fillId="8" borderId="43" xfId="17" applyFont="1" applyFill="1" applyBorder="1" applyAlignment="1">
      <alignment horizontal="center" vertical="center"/>
    </xf>
    <xf numFmtId="0" fontId="9" fillId="8" borderId="43" xfId="17" applyFont="1" applyFill="1" applyBorder="1" applyAlignment="1">
      <alignment vertical="center"/>
    </xf>
    <xf numFmtId="0" fontId="10" fillId="0" borderId="43" xfId="17" applyFont="1" applyBorder="1" applyAlignment="1">
      <alignment vertical="center"/>
    </xf>
    <xf numFmtId="0" fontId="9" fillId="0" borderId="43" xfId="17" applyFont="1" applyBorder="1"/>
    <xf numFmtId="0" fontId="9" fillId="0" borderId="43" xfId="17" applyFont="1" applyBorder="1" applyAlignment="1">
      <alignment horizontal="center"/>
    </xf>
    <xf numFmtId="166" fontId="9" fillId="0" borderId="43" xfId="17" applyNumberFormat="1" applyFont="1" applyBorder="1"/>
    <xf numFmtId="0" fontId="9" fillId="8" borderId="43" xfId="17" applyFont="1" applyFill="1" applyBorder="1" applyAlignment="1">
      <alignment horizontal="center"/>
    </xf>
    <xf numFmtId="0" fontId="10" fillId="0" borderId="43" xfId="17" applyFont="1" applyBorder="1" applyAlignment="1">
      <alignment horizontal="center"/>
    </xf>
    <xf numFmtId="0" fontId="10" fillId="0" borderId="43" xfId="17" applyFont="1" applyBorder="1"/>
    <xf numFmtId="0" fontId="10" fillId="6" borderId="43" xfId="17" applyFont="1" applyFill="1" applyBorder="1" applyAlignment="1">
      <alignment horizontal="center"/>
    </xf>
    <xf numFmtId="164" fontId="10" fillId="0" borderId="41" xfId="20" applyFont="1" applyBorder="1" applyAlignment="1">
      <alignment horizontal="center"/>
    </xf>
    <xf numFmtId="164" fontId="10" fillId="0" borderId="42" xfId="20" applyFont="1" applyBorder="1" applyAlignment="1">
      <alignment horizontal="center"/>
    </xf>
    <xf numFmtId="0" fontId="31" fillId="0" borderId="0" xfId="17" applyFont="1"/>
    <xf numFmtId="0" fontId="10" fillId="0" borderId="22" xfId="17" applyFont="1" applyFill="1" applyBorder="1" applyAlignment="1">
      <alignment horizontal="center"/>
    </xf>
    <xf numFmtId="0" fontId="10" fillId="0" borderId="22" xfId="17" applyFont="1" applyBorder="1"/>
    <xf numFmtId="166" fontId="10" fillId="0" borderId="22" xfId="20" applyNumberFormat="1" applyFont="1" applyFill="1" applyBorder="1"/>
    <xf numFmtId="0" fontId="10" fillId="0" borderId="43" xfId="17" applyFont="1" applyFill="1" applyBorder="1" applyAlignment="1">
      <alignment horizontal="center"/>
    </xf>
    <xf numFmtId="10" fontId="10" fillId="0" borderId="43" xfId="17" applyNumberFormat="1" applyFont="1" applyBorder="1"/>
    <xf numFmtId="0" fontId="10" fillId="0" borderId="43" xfId="17" applyFont="1" applyBorder="1" applyAlignment="1">
      <alignment wrapText="1"/>
    </xf>
    <xf numFmtId="43" fontId="10" fillId="0" borderId="43" xfId="17" applyNumberFormat="1" applyFont="1" applyBorder="1"/>
    <xf numFmtId="9" fontId="10" fillId="0" borderId="43" xfId="19" applyFont="1" applyBorder="1"/>
    <xf numFmtId="166" fontId="9" fillId="0" borderId="0" xfId="20" applyNumberFormat="1" applyFont="1"/>
    <xf numFmtId="0" fontId="10" fillId="0" borderId="0" xfId="17" applyFont="1" applyFill="1" applyBorder="1" applyAlignment="1">
      <alignment horizontal="center"/>
    </xf>
    <xf numFmtId="0" fontId="10" fillId="0" borderId="0" xfId="17" applyFont="1" applyBorder="1"/>
    <xf numFmtId="166" fontId="10" fillId="0" borderId="0" xfId="19" applyNumberFormat="1" applyFont="1" applyBorder="1"/>
    <xf numFmtId="0" fontId="29" fillId="0" borderId="0" xfId="17" applyFont="1"/>
    <xf numFmtId="164" fontId="10" fillId="0" borderId="41" xfId="20" applyFont="1" applyBorder="1" applyAlignment="1">
      <alignment vertical="center"/>
    </xf>
    <xf numFmtId="164" fontId="10" fillId="0" borderId="42" xfId="20" applyFont="1" applyBorder="1" applyAlignment="1">
      <alignment vertical="center"/>
    </xf>
    <xf numFmtId="166" fontId="9" fillId="0" borderId="41" xfId="20" applyNumberFormat="1" applyFont="1" applyBorder="1" applyAlignment="1"/>
    <xf numFmtId="166" fontId="9" fillId="0" borderId="42" xfId="20" applyNumberFormat="1" applyFont="1" applyBorder="1" applyAlignment="1"/>
    <xf numFmtId="0" fontId="23" fillId="0" borderId="43" xfId="16" applyFont="1" applyFill="1" applyBorder="1" applyAlignment="1">
      <alignment horizontal="left" vertical="center" wrapText="1"/>
    </xf>
    <xf numFmtId="0" fontId="23" fillId="2" borderId="43" xfId="16" applyFont="1" applyFill="1" applyBorder="1" applyAlignment="1">
      <alignment horizontal="left" vertical="center" wrapText="1"/>
    </xf>
    <xf numFmtId="0" fontId="23" fillId="6" borderId="43" xfId="16" applyFont="1" applyFill="1" applyBorder="1" applyAlignment="1">
      <alignment horizontal="left" vertical="center" wrapText="1"/>
    </xf>
    <xf numFmtId="0" fontId="36" fillId="0" borderId="0" xfId="0" applyFont="1" applyBorder="1" applyAlignment="1">
      <alignment horizontal="center" vertical="center" wrapText="1"/>
    </xf>
    <xf numFmtId="170" fontId="36" fillId="0" borderId="0" xfId="0" applyNumberFormat="1" applyFont="1" applyBorder="1" applyAlignment="1" applyProtection="1">
      <alignment vertical="center" wrapText="1"/>
      <protection hidden="1"/>
    </xf>
    <xf numFmtId="3" fontId="36" fillId="0" borderId="0" xfId="0" applyNumberFormat="1" applyFont="1" applyBorder="1" applyAlignment="1">
      <alignment vertical="center" wrapText="1"/>
    </xf>
    <xf numFmtId="43" fontId="38" fillId="0" borderId="0" xfId="0" applyNumberFormat="1" applyFont="1" applyBorder="1" applyAlignment="1">
      <alignment horizontal="center" vertical="center" wrapText="1"/>
    </xf>
    <xf numFmtId="170" fontId="38" fillId="0" borderId="0" xfId="0" applyNumberFormat="1" applyFont="1" applyBorder="1" applyAlignment="1">
      <alignment horizontal="center" vertical="center" wrapText="1"/>
    </xf>
    <xf numFmtId="170" fontId="38" fillId="0" borderId="43" xfId="0" applyNumberFormat="1" applyFont="1" applyBorder="1" applyAlignment="1">
      <alignment horizontal="center" vertical="center" wrapText="1"/>
    </xf>
    <xf numFmtId="170" fontId="36" fillId="0" borderId="0" xfId="1" applyNumberFormat="1" applyFont="1" applyBorder="1" applyAlignment="1">
      <alignment vertical="center" wrapText="1"/>
    </xf>
    <xf numFmtId="170" fontId="52" fillId="0" borderId="0" xfId="0" applyNumberFormat="1" applyFont="1" applyBorder="1" applyAlignment="1">
      <alignment horizontal="center" vertical="center" wrapText="1"/>
    </xf>
    <xf numFmtId="9" fontId="36" fillId="0" borderId="0" xfId="7" applyFont="1" applyBorder="1" applyAlignment="1">
      <alignment vertical="center" wrapText="1"/>
    </xf>
    <xf numFmtId="166" fontId="10" fillId="0" borderId="0" xfId="1" applyNumberFormat="1" applyFont="1"/>
    <xf numFmtId="0" fontId="15" fillId="0" borderId="43" xfId="0" applyFont="1" applyBorder="1" applyAlignment="1">
      <alignment vertical="center" wrapText="1"/>
    </xf>
    <xf numFmtId="0" fontId="15" fillId="6" borderId="43" xfId="8" applyFont="1" applyFill="1" applyBorder="1" applyAlignment="1" applyProtection="1">
      <alignment horizontal="center" vertical="center" wrapText="1"/>
      <protection locked="0"/>
    </xf>
    <xf numFmtId="0" fontId="15" fillId="6" borderId="43" xfId="8" applyFont="1" applyFill="1" applyBorder="1" applyAlignment="1" applyProtection="1">
      <alignment horizontal="left" vertical="center" wrapText="1"/>
      <protection locked="0"/>
    </xf>
    <xf numFmtId="0" fontId="30" fillId="6" borderId="43" xfId="0" applyFont="1" applyFill="1" applyBorder="1" applyAlignment="1">
      <alignment horizontal="center" vertical="center" wrapText="1"/>
    </xf>
    <xf numFmtId="0" fontId="38" fillId="6" borderId="43" xfId="0" applyFont="1" applyFill="1" applyBorder="1" applyAlignment="1">
      <alignment horizontal="center" vertical="center" wrapText="1"/>
    </xf>
    <xf numFmtId="0" fontId="71" fillId="6" borderId="0" xfId="0" applyFont="1" applyFill="1" applyBorder="1"/>
    <xf numFmtId="0" fontId="71" fillId="6" borderId="0" xfId="0" applyFont="1" applyFill="1"/>
    <xf numFmtId="170" fontId="38" fillId="6" borderId="43" xfId="0" applyNumberFormat="1" applyFont="1" applyFill="1" applyBorder="1" applyAlignment="1">
      <alignment horizontal="center" vertical="center" wrapText="1"/>
    </xf>
    <xf numFmtId="170" fontId="38" fillId="6" borderId="0" xfId="0" applyNumberFormat="1" applyFont="1" applyFill="1" applyBorder="1" applyAlignment="1">
      <alignment horizontal="center" vertical="center" wrapText="1"/>
    </xf>
    <xf numFmtId="0" fontId="0" fillId="6" borderId="0" xfId="0" applyFont="1" applyFill="1"/>
    <xf numFmtId="0" fontId="77" fillId="0" borderId="0" xfId="0" applyFont="1" applyAlignment="1">
      <alignment vertical="center"/>
    </xf>
    <xf numFmtId="166" fontId="51" fillId="0" borderId="43" xfId="1" applyNumberFormat="1" applyFont="1" applyBorder="1"/>
    <xf numFmtId="0" fontId="18" fillId="0" borderId="0" xfId="3" quotePrefix="1" applyNumberFormat="1" applyFont="1" applyFill="1" applyBorder="1" applyAlignment="1">
      <alignment horizontal="center" vertical="center" wrapText="1"/>
    </xf>
    <xf numFmtId="170" fontId="18" fillId="0" borderId="0" xfId="3" applyNumberFormat="1" applyFont="1" applyFill="1" applyBorder="1" applyAlignment="1">
      <alignment horizontal="left" vertical="center" wrapText="1"/>
    </xf>
    <xf numFmtId="170" fontId="18" fillId="0" borderId="0" xfId="3" applyNumberFormat="1" applyFont="1" applyFill="1" applyBorder="1" applyAlignment="1">
      <alignment horizontal="center" vertical="center" wrapText="1"/>
    </xf>
    <xf numFmtId="171" fontId="18" fillId="0" borderId="0" xfId="3" applyNumberFormat="1" applyFont="1" applyFill="1" applyBorder="1" applyAlignment="1">
      <alignment horizontal="center" vertical="center" wrapText="1"/>
    </xf>
    <xf numFmtId="170" fontId="23" fillId="0" borderId="1" xfId="3" applyNumberFormat="1" applyFont="1" applyFill="1" applyBorder="1" applyAlignment="1">
      <alignment horizontal="center" vertical="center" wrapText="1"/>
    </xf>
    <xf numFmtId="0" fontId="23" fillId="0" borderId="1" xfId="3" applyNumberFormat="1" applyFont="1" applyFill="1" applyBorder="1" applyAlignment="1">
      <alignment horizontal="center" vertical="center" wrapText="1"/>
    </xf>
    <xf numFmtId="171" fontId="23" fillId="0" borderId="1" xfId="3" applyNumberFormat="1" applyFont="1" applyFill="1" applyBorder="1" applyAlignment="1">
      <alignment horizontal="center" vertical="center" wrapText="1"/>
    </xf>
    <xf numFmtId="170" fontId="13" fillId="0" borderId="1" xfId="3" applyNumberFormat="1" applyFont="1" applyFill="1" applyBorder="1" applyAlignment="1">
      <alignment horizontal="center" vertical="center" wrapText="1"/>
    </xf>
    <xf numFmtId="0" fontId="52" fillId="0" borderId="0" xfId="0" applyFont="1" applyBorder="1" applyAlignment="1"/>
    <xf numFmtId="0" fontId="80" fillId="0" borderId="0" xfId="0" applyFont="1"/>
    <xf numFmtId="0" fontId="52" fillId="0" borderId="0" xfId="0" applyFont="1" applyBorder="1" applyAlignment="1">
      <alignment horizontal="center"/>
    </xf>
    <xf numFmtId="0" fontId="80" fillId="0" borderId="0" xfId="0" applyFont="1" applyAlignment="1"/>
    <xf numFmtId="0" fontId="52" fillId="14" borderId="43" xfId="0" applyFont="1" applyFill="1" applyBorder="1" applyAlignment="1">
      <alignment horizontal="center"/>
    </xf>
    <xf numFmtId="0" fontId="52" fillId="14" borderId="43" xfId="22" applyFont="1" applyFill="1" applyBorder="1" applyAlignment="1">
      <alignment vertical="center" wrapText="1" readingOrder="1"/>
    </xf>
    <xf numFmtId="3" fontId="52" fillId="14" borderId="43" xfId="22" applyNumberFormat="1" applyFont="1" applyFill="1" applyBorder="1" applyAlignment="1">
      <alignment vertical="center" wrapText="1" readingOrder="1"/>
    </xf>
    <xf numFmtId="166" fontId="52" fillId="14" borderId="43" xfId="22" applyNumberFormat="1" applyFont="1" applyFill="1" applyBorder="1" applyAlignment="1">
      <alignment vertical="center" wrapText="1" readingOrder="1"/>
    </xf>
    <xf numFmtId="0" fontId="80" fillId="0" borderId="0" xfId="0" applyFont="1" applyAlignment="1">
      <alignment wrapText="1"/>
    </xf>
    <xf numFmtId="0" fontId="79" fillId="0" borderId="0" xfId="0" applyFont="1"/>
    <xf numFmtId="3" fontId="80" fillId="0" borderId="0" xfId="0" applyNumberFormat="1" applyFont="1" applyAlignment="1">
      <alignment wrapText="1"/>
    </xf>
    <xf numFmtId="0" fontId="15" fillId="0" borderId="43" xfId="0" applyFont="1" applyBorder="1" applyAlignment="1">
      <alignment horizontal="center"/>
    </xf>
    <xf numFmtId="0" fontId="15" fillId="0" borderId="43" xfId="22" applyFont="1" applyFill="1" applyBorder="1" applyAlignment="1">
      <alignment vertical="center" wrapText="1" readingOrder="1"/>
    </xf>
    <xf numFmtId="3" fontId="15" fillId="0" borderId="43" xfId="22" applyNumberFormat="1" applyFont="1" applyFill="1" applyBorder="1" applyAlignment="1">
      <alignment vertical="center" wrapText="1" readingOrder="1"/>
    </xf>
    <xf numFmtId="0" fontId="15" fillId="0" borderId="43" xfId="0" applyFont="1" applyBorder="1"/>
    <xf numFmtId="170" fontId="15" fillId="0" borderId="43" xfId="0" applyNumberFormat="1" applyFont="1" applyBorder="1"/>
    <xf numFmtId="166" fontId="15" fillId="0" borderId="43" xfId="23" applyNumberFormat="1" applyFont="1" applyFill="1" applyBorder="1" applyAlignment="1">
      <alignment horizontal="right" vertical="center" wrapText="1" readingOrder="1"/>
    </xf>
    <xf numFmtId="43" fontId="15" fillId="0" borderId="43" xfId="1" applyNumberFormat="1" applyFont="1" applyFill="1" applyBorder="1" applyAlignment="1">
      <alignment vertical="center" wrapText="1" readingOrder="1"/>
    </xf>
    <xf numFmtId="10" fontId="15" fillId="0" borderId="43" xfId="7" applyNumberFormat="1" applyFont="1" applyFill="1" applyBorder="1" applyAlignment="1">
      <alignment vertical="center" wrapText="1" readingOrder="1"/>
    </xf>
    <xf numFmtId="178" fontId="15" fillId="0" borderId="43" xfId="23" applyNumberFormat="1" applyFont="1" applyFill="1" applyBorder="1" applyAlignment="1">
      <alignment horizontal="right" vertical="center" wrapText="1" readingOrder="1"/>
    </xf>
    <xf numFmtId="9" fontId="15" fillId="0" borderId="43" xfId="7" applyFont="1" applyFill="1" applyBorder="1" applyAlignment="1">
      <alignment vertical="center" wrapText="1" readingOrder="1"/>
    </xf>
    <xf numFmtId="0" fontId="80" fillId="0" borderId="43" xfId="0" applyFont="1" applyBorder="1"/>
    <xf numFmtId="0" fontId="15" fillId="0" borderId="43" xfId="24" applyFont="1" applyFill="1" applyBorder="1" applyAlignment="1">
      <alignment horizontal="left" wrapText="1"/>
    </xf>
    <xf numFmtId="10" fontId="15" fillId="0" borderId="43" xfId="0" applyNumberFormat="1" applyFont="1" applyFill="1" applyBorder="1" applyAlignment="1">
      <alignment vertical="center"/>
    </xf>
    <xf numFmtId="4" fontId="15" fillId="0" borderId="43" xfId="23" applyNumberFormat="1" applyFont="1" applyFill="1" applyBorder="1" applyAlignment="1">
      <alignment horizontal="right" vertical="center" wrapText="1" readingOrder="1"/>
    </xf>
    <xf numFmtId="0" fontId="15" fillId="0" borderId="43" xfId="24" applyFont="1" applyFill="1" applyBorder="1" applyAlignment="1">
      <alignment horizontal="left"/>
    </xf>
    <xf numFmtId="9" fontId="15" fillId="0" borderId="43" xfId="0" applyNumberFormat="1" applyFont="1" applyFill="1" applyBorder="1" applyAlignment="1">
      <alignment vertical="center"/>
    </xf>
    <xf numFmtId="0" fontId="52" fillId="13" borderId="43" xfId="0" applyFont="1" applyFill="1" applyBorder="1" applyAlignment="1">
      <alignment horizontal="center"/>
    </xf>
    <xf numFmtId="0" fontId="52" fillId="13" borderId="43" xfId="22" applyFont="1" applyFill="1" applyBorder="1" applyAlignment="1">
      <alignment vertical="center" wrapText="1" readingOrder="1"/>
    </xf>
    <xf numFmtId="3" fontId="52" fillId="13" borderId="43" xfId="22" applyNumberFormat="1" applyFont="1" applyFill="1" applyBorder="1" applyAlignment="1">
      <alignment vertical="center" wrapText="1" readingOrder="1"/>
    </xf>
    <xf numFmtId="166" fontId="52" fillId="13" borderId="43" xfId="23" applyNumberFormat="1" applyFont="1" applyFill="1" applyBorder="1" applyAlignment="1">
      <alignment horizontal="right" vertical="center" wrapText="1" readingOrder="1"/>
    </xf>
    <xf numFmtId="0" fontId="78" fillId="0" borderId="0" xfId="0" applyFont="1" applyAlignment="1">
      <alignment wrapText="1"/>
    </xf>
    <xf numFmtId="0" fontId="15" fillId="0" borderId="43" xfId="0" applyFont="1" applyFill="1" applyBorder="1" applyAlignment="1">
      <alignment vertical="center"/>
    </xf>
    <xf numFmtId="0" fontId="15" fillId="0" borderId="43" xfId="0" quotePrefix="1" applyFont="1" applyFill="1" applyBorder="1" applyAlignment="1">
      <alignment vertical="center"/>
    </xf>
    <xf numFmtId="179" fontId="15" fillId="0" borderId="43" xfId="0" quotePrefix="1" applyNumberFormat="1" applyFont="1" applyFill="1" applyBorder="1" applyAlignment="1">
      <alignment vertical="center"/>
    </xf>
    <xf numFmtId="0" fontId="15" fillId="0" borderId="43" xfId="0" applyFont="1" applyBorder="1" applyAlignment="1">
      <alignment horizontal="center" wrapText="1"/>
    </xf>
    <xf numFmtId="3" fontId="15" fillId="0" borderId="43" xfId="22" applyNumberFormat="1" applyFont="1" applyFill="1" applyBorder="1" applyAlignment="1">
      <alignment horizontal="right" vertical="center" wrapText="1" readingOrder="1"/>
    </xf>
    <xf numFmtId="0" fontId="82" fillId="0" borderId="0" xfId="0" applyFont="1"/>
    <xf numFmtId="10" fontId="15" fillId="0" borderId="43" xfId="0" applyNumberFormat="1" applyFont="1" applyBorder="1"/>
    <xf numFmtId="2" fontId="80" fillId="0" borderId="43" xfId="0" applyNumberFormat="1" applyFont="1" applyBorder="1"/>
    <xf numFmtId="164" fontId="80" fillId="0" borderId="43" xfId="1" applyFont="1" applyBorder="1"/>
    <xf numFmtId="3" fontId="52" fillId="0" borderId="43" xfId="22" applyNumberFormat="1" applyFont="1" applyFill="1" applyBorder="1" applyAlignment="1">
      <alignment vertical="center" wrapText="1" readingOrder="1"/>
    </xf>
    <xf numFmtId="166" fontId="15" fillId="0" borderId="43" xfId="1" applyNumberFormat="1" applyFont="1" applyFill="1" applyBorder="1" applyAlignment="1">
      <alignment vertical="center" wrapText="1" readingOrder="1"/>
    </xf>
    <xf numFmtId="0" fontId="52" fillId="10" borderId="43" xfId="0" applyFont="1" applyFill="1" applyBorder="1" applyAlignment="1">
      <alignment vertical="center"/>
    </xf>
    <xf numFmtId="0" fontId="52" fillId="10" borderId="43" xfId="0" applyFont="1" applyFill="1" applyBorder="1" applyAlignment="1">
      <alignment horizontal="centerContinuous" vertical="center"/>
    </xf>
    <xf numFmtId="0" fontId="15" fillId="0" borderId="43" xfId="0" applyFont="1" applyFill="1" applyBorder="1" applyAlignment="1">
      <alignment horizontal="center" vertical="center"/>
    </xf>
    <xf numFmtId="0" fontId="15" fillId="0" borderId="43" xfId="0" applyFont="1" applyFill="1" applyBorder="1" applyAlignment="1">
      <alignment horizontal="left" vertical="center"/>
    </xf>
    <xf numFmtId="3" fontId="15" fillId="0" borderId="43" xfId="1" applyNumberFormat="1" applyFont="1" applyFill="1" applyBorder="1" applyAlignment="1">
      <alignment horizontal="right" vertical="center"/>
    </xf>
    <xf numFmtId="3" fontId="15" fillId="0" borderId="43" xfId="0" applyNumberFormat="1" applyFont="1" applyFill="1" applyBorder="1" applyAlignment="1">
      <alignment horizontal="right" vertical="center"/>
    </xf>
    <xf numFmtId="3" fontId="15" fillId="0" borderId="43" xfId="0" applyNumberFormat="1" applyFont="1" applyFill="1" applyBorder="1" applyAlignment="1">
      <alignment horizontal="center" vertical="center"/>
    </xf>
    <xf numFmtId="170" fontId="15" fillId="0" borderId="1" xfId="3" applyNumberFormat="1" applyFont="1" applyFill="1" applyBorder="1" applyAlignment="1">
      <alignment horizontal="center" vertical="center" wrapText="1"/>
    </xf>
    <xf numFmtId="0" fontId="83" fillId="0" borderId="43" xfId="0" applyFont="1" applyBorder="1"/>
    <xf numFmtId="0" fontId="15" fillId="0" borderId="1" xfId="5" applyNumberFormat="1" applyFont="1" applyFill="1" applyBorder="1" applyAlignment="1">
      <alignment horizontal="center" vertical="center" wrapText="1"/>
    </xf>
    <xf numFmtId="0" fontId="15" fillId="0" borderId="1" xfId="3" applyNumberFormat="1" applyFont="1" applyFill="1" applyBorder="1" applyAlignment="1">
      <alignment horizontal="center" vertical="center" wrapText="1"/>
    </xf>
    <xf numFmtId="170" fontId="30" fillId="0" borderId="1" xfId="3" applyNumberFormat="1" applyFont="1" applyBorder="1" applyAlignment="1">
      <alignment horizontal="center" vertical="center"/>
    </xf>
    <xf numFmtId="0" fontId="30" fillId="0" borderId="1" xfId="3" applyNumberFormat="1" applyFont="1" applyBorder="1" applyAlignment="1">
      <alignment horizontal="center" vertical="center"/>
    </xf>
    <xf numFmtId="170" fontId="52" fillId="12" borderId="1" xfId="3" applyNumberFormat="1" applyFont="1" applyFill="1" applyBorder="1" applyAlignment="1">
      <alignment horizontal="center" vertical="center" wrapText="1"/>
    </xf>
    <xf numFmtId="0" fontId="78" fillId="12" borderId="43" xfId="0" applyFont="1" applyFill="1" applyBorder="1"/>
    <xf numFmtId="0" fontId="52" fillId="12" borderId="43" xfId="0" applyFont="1" applyFill="1" applyBorder="1" applyAlignment="1">
      <alignment horizontal="center"/>
    </xf>
    <xf numFmtId="0" fontId="52" fillId="12" borderId="43" xfId="22" applyFont="1" applyFill="1" applyBorder="1" applyAlignment="1">
      <alignment vertical="center" wrapText="1" readingOrder="1"/>
    </xf>
    <xf numFmtId="3" fontId="52" fillId="12" borderId="43" xfId="22" applyNumberFormat="1" applyFont="1" applyFill="1" applyBorder="1" applyAlignment="1">
      <alignment vertical="center" wrapText="1" readingOrder="1"/>
    </xf>
    <xf numFmtId="166" fontId="52" fillId="12" borderId="43" xfId="23" applyNumberFormat="1" applyFont="1" applyFill="1" applyBorder="1" applyAlignment="1">
      <alignment horizontal="right" vertical="center" wrapText="1" readingOrder="1"/>
    </xf>
    <xf numFmtId="0" fontId="9" fillId="3" borderId="21" xfId="0" applyFont="1" applyFill="1" applyBorder="1" applyAlignment="1">
      <alignment horizontal="center"/>
    </xf>
    <xf numFmtId="0" fontId="9" fillId="2" borderId="21" xfId="0" applyFont="1" applyFill="1" applyBorder="1" applyAlignment="1">
      <alignment horizontal="center"/>
    </xf>
    <xf numFmtId="0" fontId="10" fillId="2" borderId="21" xfId="0" applyFont="1" applyFill="1" applyBorder="1" applyAlignment="1">
      <alignment horizontal="center"/>
    </xf>
    <xf numFmtId="0" fontId="52" fillId="2" borderId="43" xfId="22" applyFont="1" applyFill="1" applyBorder="1" applyAlignment="1">
      <alignment horizontal="center" vertical="center" wrapText="1" readingOrder="1"/>
    </xf>
    <xf numFmtId="0" fontId="52" fillId="2" borderId="22" xfId="22" applyFont="1" applyFill="1" applyBorder="1" applyAlignment="1">
      <alignment horizontal="center" vertical="center" wrapText="1" readingOrder="1"/>
    </xf>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3" fontId="15" fillId="0" borderId="0" xfId="0" applyNumberFormat="1" applyFont="1" applyFill="1" applyBorder="1" applyAlignment="1">
      <alignment horizontal="right" vertical="center"/>
    </xf>
    <xf numFmtId="3" fontId="15" fillId="0" borderId="0" xfId="1" applyNumberFormat="1" applyFont="1" applyFill="1" applyBorder="1" applyAlignment="1">
      <alignment horizontal="right" vertical="center"/>
    </xf>
    <xf numFmtId="3" fontId="15" fillId="0" borderId="0" xfId="0" applyNumberFormat="1" applyFont="1" applyFill="1" applyBorder="1" applyAlignment="1">
      <alignment horizontal="center" vertical="center"/>
    </xf>
    <xf numFmtId="10" fontId="10" fillId="0" borderId="0" xfId="0" applyNumberFormat="1" applyFont="1"/>
    <xf numFmtId="0" fontId="0" fillId="0" borderId="0" xfId="0" applyAlignment="1">
      <alignment wrapText="1"/>
    </xf>
    <xf numFmtId="0" fontId="10" fillId="0" borderId="43" xfId="0" applyFont="1" applyBorder="1" applyAlignment="1">
      <alignment wrapText="1"/>
    </xf>
    <xf numFmtId="0" fontId="9" fillId="0" borderId="0" xfId="0" applyFont="1" applyAlignment="1"/>
    <xf numFmtId="0" fontId="35" fillId="0" borderId="43" xfId="0" applyFont="1" applyBorder="1" applyAlignment="1">
      <alignment horizontal="center" vertical="center" wrapText="1"/>
    </xf>
    <xf numFmtId="0" fontId="36" fillId="0" borderId="43" xfId="0" applyFont="1" applyBorder="1" applyAlignment="1">
      <alignment vertical="center" wrapText="1"/>
    </xf>
    <xf numFmtId="0" fontId="36" fillId="0" borderId="43" xfId="0" applyFont="1" applyBorder="1" applyAlignment="1">
      <alignment horizontal="center" vertical="center" wrapText="1"/>
    </xf>
    <xf numFmtId="0" fontId="38" fillId="0" borderId="43" xfId="0" applyFont="1" applyBorder="1" applyAlignment="1">
      <alignment horizontal="center" vertical="center" wrapText="1"/>
    </xf>
    <xf numFmtId="170" fontId="36" fillId="0" borderId="43" xfId="0" applyNumberFormat="1" applyFont="1" applyBorder="1" applyAlignment="1">
      <alignment vertical="center" wrapText="1"/>
    </xf>
    <xf numFmtId="0" fontId="39" fillId="0" borderId="43" xfId="0" applyFont="1" applyBorder="1" applyAlignment="1">
      <alignment vertical="center" wrapText="1"/>
    </xf>
    <xf numFmtId="170" fontId="36" fillId="0" borderId="43" xfId="0" applyNumberFormat="1" applyFont="1" applyBorder="1" applyAlignment="1" applyProtection="1">
      <alignment vertical="center" wrapText="1"/>
      <protection hidden="1"/>
    </xf>
    <xf numFmtId="3" fontId="36" fillId="0" borderId="43" xfId="0" applyNumberFormat="1" applyFont="1" applyBorder="1" applyAlignment="1">
      <alignment vertical="center" wrapText="1"/>
    </xf>
    <xf numFmtId="170" fontId="36" fillId="0" borderId="43" xfId="0" applyNumberFormat="1" applyFont="1" applyBorder="1" applyAlignment="1">
      <alignment horizontal="center" vertical="center" wrapText="1"/>
    </xf>
    <xf numFmtId="0" fontId="30" fillId="0" borderId="43" xfId="0" applyFont="1" applyBorder="1" applyAlignment="1">
      <alignment horizontal="center" vertical="center" wrapText="1"/>
    </xf>
    <xf numFmtId="0" fontId="38" fillId="0" borderId="43" xfId="0" applyFont="1" applyBorder="1" applyAlignment="1">
      <alignment horizontal="left" vertical="center" wrapText="1"/>
    </xf>
    <xf numFmtId="10" fontId="38" fillId="0" borderId="43" xfId="0" applyNumberFormat="1" applyFont="1" applyBorder="1" applyAlignment="1">
      <alignment horizontal="center" vertical="center" wrapText="1"/>
    </xf>
    <xf numFmtId="43" fontId="38" fillId="0" borderId="43" xfId="0" applyNumberFormat="1" applyFont="1" applyBorder="1" applyAlignment="1">
      <alignment horizontal="center" vertical="center" wrapText="1"/>
    </xf>
    <xf numFmtId="0" fontId="38" fillId="0" borderId="43" xfId="0" applyFont="1" applyBorder="1" applyAlignment="1">
      <alignment vertical="center" wrapText="1"/>
    </xf>
    <xf numFmtId="0" fontId="39" fillId="6" borderId="43" xfId="0" applyFont="1" applyFill="1" applyBorder="1" applyAlignment="1">
      <alignment vertical="center" wrapText="1"/>
    </xf>
    <xf numFmtId="9" fontId="35" fillId="0" borderId="43" xfId="0" applyNumberFormat="1" applyFont="1" applyBorder="1" applyAlignment="1">
      <alignment horizontal="center" vertical="center" wrapText="1"/>
    </xf>
    <xf numFmtId="43" fontId="36" fillId="0" borderId="43" xfId="0" applyNumberFormat="1" applyFont="1" applyBorder="1" applyAlignment="1">
      <alignment horizontal="center" vertical="center" wrapText="1"/>
    </xf>
    <xf numFmtId="0" fontId="37" fillId="0" borderId="43" xfId="0" applyFont="1" applyBorder="1" applyAlignment="1">
      <alignment vertical="center" wrapText="1"/>
    </xf>
    <xf numFmtId="170" fontId="36" fillId="0" borderId="43" xfId="1" applyNumberFormat="1" applyFont="1" applyBorder="1" applyAlignment="1">
      <alignment vertical="center" wrapText="1"/>
    </xf>
    <xf numFmtId="0" fontId="37" fillId="0" borderId="43" xfId="0" applyFont="1" applyBorder="1" applyAlignment="1">
      <alignment horizontal="center" vertical="center" wrapText="1"/>
    </xf>
    <xf numFmtId="0" fontId="35" fillId="0" borderId="43" xfId="0" applyFont="1" applyBorder="1" applyAlignment="1">
      <alignment vertical="center" wrapText="1"/>
    </xf>
    <xf numFmtId="0" fontId="30" fillId="0" borderId="43" xfId="0" applyFont="1" applyBorder="1" applyAlignment="1">
      <alignment vertical="center" wrapText="1"/>
    </xf>
    <xf numFmtId="0" fontId="52" fillId="0" borderId="43" xfId="0" applyFont="1" applyBorder="1" applyAlignment="1">
      <alignment horizontal="center" vertical="center" wrapText="1"/>
    </xf>
    <xf numFmtId="0" fontId="52" fillId="0" borderId="43" xfId="0" applyFont="1" applyBorder="1" applyAlignment="1">
      <alignment vertical="center" wrapText="1"/>
    </xf>
    <xf numFmtId="170" fontId="52" fillId="0" borderId="43" xfId="0" applyNumberFormat="1" applyFont="1" applyBorder="1" applyAlignment="1">
      <alignment horizontal="center" vertical="center" wrapText="1"/>
    </xf>
    <xf numFmtId="0" fontId="10" fillId="2" borderId="2" xfId="0" applyFont="1" applyFill="1" applyBorder="1" applyAlignment="1">
      <alignment horizontal="left" vertical="center"/>
    </xf>
    <xf numFmtId="10" fontId="38" fillId="2" borderId="43" xfId="0" applyNumberFormat="1" applyFont="1" applyFill="1" applyBorder="1" applyAlignment="1">
      <alignment horizontal="center" vertical="center" wrapText="1"/>
    </xf>
    <xf numFmtId="177" fontId="38" fillId="15" borderId="43" xfId="7" applyNumberFormat="1" applyFont="1" applyFill="1" applyBorder="1" applyAlignment="1">
      <alignment horizontal="center" vertical="center" wrapText="1"/>
    </xf>
    <xf numFmtId="10" fontId="38" fillId="15" borderId="43" xfId="0" applyNumberFormat="1" applyFont="1" applyFill="1" applyBorder="1" applyAlignment="1">
      <alignment horizontal="center" vertical="center" wrapText="1"/>
    </xf>
    <xf numFmtId="0" fontId="39" fillId="15" borderId="43" xfId="0" applyFont="1" applyFill="1" applyBorder="1" applyAlignment="1">
      <alignment vertical="center" wrapText="1"/>
    </xf>
    <xf numFmtId="3" fontId="23" fillId="2" borderId="43" xfId="15" applyNumberFormat="1" applyFont="1" applyFill="1" applyBorder="1"/>
    <xf numFmtId="166" fontId="10" fillId="3" borderId="43" xfId="1" applyNumberFormat="1" applyFont="1" applyFill="1" applyBorder="1" applyAlignment="1">
      <alignment vertical="center"/>
    </xf>
    <xf numFmtId="0" fontId="9" fillId="0" borderId="43" xfId="0" applyFont="1" applyFill="1" applyBorder="1" applyAlignment="1">
      <alignment horizontal="center" vertical="center" wrapText="1"/>
    </xf>
    <xf numFmtId="0" fontId="29" fillId="0" borderId="43" xfId="0" applyFont="1" applyFill="1" applyBorder="1" applyAlignment="1">
      <alignment horizontal="center" vertical="center" wrapText="1"/>
    </xf>
    <xf numFmtId="166" fontId="29" fillId="0" borderId="43" xfId="1" applyNumberFormat="1" applyFont="1" applyFill="1" applyBorder="1" applyAlignment="1">
      <alignment horizontal="center" vertical="center" wrapText="1"/>
    </xf>
    <xf numFmtId="166" fontId="29" fillId="2" borderId="43" xfId="1" applyNumberFormat="1" applyFont="1" applyFill="1" applyBorder="1" applyAlignment="1">
      <alignment horizontal="center" vertical="center" wrapText="1"/>
    </xf>
    <xf numFmtId="166" fontId="9" fillId="8" borderId="43" xfId="1" applyNumberFormat="1" applyFont="1" applyFill="1" applyBorder="1" applyAlignment="1">
      <alignment horizontal="center" vertical="center" wrapText="1"/>
    </xf>
    <xf numFmtId="0" fontId="14" fillId="0" borderId="43" xfId="0" applyFont="1" applyFill="1" applyBorder="1" applyAlignment="1">
      <alignment horizontal="center" vertical="center" wrapText="1"/>
    </xf>
    <xf numFmtId="0" fontId="84" fillId="0" borderId="43" xfId="0" applyFont="1" applyFill="1" applyBorder="1" applyAlignment="1">
      <alignment horizontal="center" vertical="center" wrapText="1"/>
    </xf>
    <xf numFmtId="0" fontId="9" fillId="0" borderId="0" xfId="0" applyFont="1" applyFill="1" applyAlignment="1">
      <alignment horizontal="center" vertical="center" wrapText="1"/>
    </xf>
    <xf numFmtId="0" fontId="10" fillId="0" borderId="43" xfId="0" applyFont="1" applyFill="1" applyBorder="1" applyAlignment="1">
      <alignment horizontal="center"/>
    </xf>
    <xf numFmtId="0" fontId="18" fillId="0" borderId="43" xfId="0" applyFont="1" applyFill="1" applyBorder="1" applyAlignment="1">
      <alignment horizontal="left"/>
    </xf>
    <xf numFmtId="0" fontId="18" fillId="0" borderId="43" xfId="0" applyFont="1" applyFill="1" applyBorder="1" applyAlignment="1">
      <alignment horizontal="left" wrapText="1"/>
    </xf>
    <xf numFmtId="0" fontId="18" fillId="0" borderId="43" xfId="0" applyFont="1" applyFill="1" applyBorder="1" applyAlignment="1">
      <alignment horizontal="center"/>
    </xf>
    <xf numFmtId="0" fontId="10" fillId="0" borderId="43" xfId="0" applyFont="1" applyFill="1" applyBorder="1" applyAlignment="1">
      <alignment horizontal="center" wrapText="1"/>
    </xf>
    <xf numFmtId="166" fontId="10" fillId="0" borderId="43" xfId="1" applyNumberFormat="1" applyFont="1" applyFill="1" applyBorder="1" applyAlignment="1">
      <alignment horizontal="right"/>
    </xf>
    <xf numFmtId="166" fontId="10" fillId="0" borderId="43" xfId="1" applyNumberFormat="1" applyFont="1" applyFill="1" applyBorder="1"/>
    <xf numFmtId="0" fontId="10" fillId="0" borderId="43" xfId="0" applyFont="1" applyFill="1" applyBorder="1"/>
    <xf numFmtId="16" fontId="10" fillId="0" borderId="43" xfId="0" applyNumberFormat="1" applyFont="1" applyFill="1" applyBorder="1"/>
    <xf numFmtId="180" fontId="10" fillId="0" borderId="43" xfId="0" applyNumberFormat="1" applyFont="1" applyFill="1" applyBorder="1"/>
    <xf numFmtId="9" fontId="10" fillId="0" borderId="43" xfId="7" applyFont="1" applyFill="1" applyBorder="1"/>
    <xf numFmtId="43" fontId="10" fillId="0" borderId="43" xfId="0" applyNumberFormat="1" applyFont="1" applyFill="1" applyBorder="1"/>
    <xf numFmtId="9" fontId="10" fillId="0" borderId="43" xfId="0" applyNumberFormat="1" applyFont="1" applyFill="1" applyBorder="1"/>
    <xf numFmtId="2" fontId="10" fillId="2" borderId="1" xfId="0" applyNumberFormat="1" applyFont="1" applyFill="1" applyBorder="1" applyAlignment="1">
      <alignment vertical="center"/>
    </xf>
    <xf numFmtId="2" fontId="10" fillId="2" borderId="43" xfId="17" applyNumberFormat="1" applyFont="1" applyFill="1" applyBorder="1" applyAlignment="1">
      <alignment horizontal="center" vertical="center"/>
    </xf>
    <xf numFmtId="166" fontId="13" fillId="2" borderId="43" xfId="1" applyNumberFormat="1" applyFont="1" applyFill="1" applyBorder="1" applyAlignment="1">
      <alignment horizontal="center" vertical="center" wrapText="1"/>
    </xf>
    <xf numFmtId="166" fontId="13" fillId="6" borderId="43" xfId="1" applyNumberFormat="1" applyFont="1" applyFill="1" applyBorder="1" applyAlignment="1">
      <alignment horizontal="right" vertical="center"/>
    </xf>
    <xf numFmtId="166" fontId="13" fillId="3" borderId="43" xfId="1" applyNumberFormat="1" applyFont="1" applyFill="1" applyBorder="1"/>
    <xf numFmtId="166" fontId="0" fillId="0" borderId="0" xfId="1" applyNumberFormat="1" applyFont="1"/>
    <xf numFmtId="9" fontId="10" fillId="0" borderId="17" xfId="0" applyNumberFormat="1" applyFont="1" applyBorder="1" applyAlignment="1">
      <alignment horizontal="center"/>
    </xf>
    <xf numFmtId="0" fontId="9" fillId="0" borderId="43" xfId="0" applyFont="1" applyBorder="1"/>
    <xf numFmtId="0" fontId="23" fillId="2" borderId="0" xfId="16" applyFont="1" applyFill="1" applyBorder="1" applyAlignment="1">
      <alignment horizontal="left" vertical="center" wrapText="1"/>
    </xf>
    <xf numFmtId="9" fontId="0" fillId="0" borderId="0" xfId="7" applyFont="1"/>
    <xf numFmtId="176" fontId="10" fillId="0" borderId="1" xfId="7" applyNumberFormat="1" applyFont="1" applyBorder="1"/>
    <xf numFmtId="41" fontId="10" fillId="0" borderId="43" xfId="25" applyFont="1" applyFill="1" applyBorder="1"/>
    <xf numFmtId="0" fontId="10" fillId="2" borderId="1" xfId="0" applyFont="1" applyFill="1" applyBorder="1" applyAlignment="1">
      <alignment vertical="center"/>
    </xf>
    <xf numFmtId="164" fontId="10" fillId="0" borderId="0" xfId="1" applyFont="1"/>
    <xf numFmtId="0" fontId="14" fillId="7" borderId="43" xfId="0" applyFont="1" applyFill="1" applyBorder="1" applyAlignment="1">
      <alignment horizontal="center" vertical="center"/>
    </xf>
    <xf numFmtId="0" fontId="18" fillId="7" borderId="43" xfId="0" applyFont="1" applyFill="1" applyBorder="1" applyAlignment="1">
      <alignment horizontal="left" vertical="center"/>
    </xf>
    <xf numFmtId="0" fontId="10" fillId="2" borderId="43" xfId="0" applyFont="1" applyFill="1" applyBorder="1" applyAlignment="1">
      <alignment horizontal="center" vertical="center"/>
    </xf>
    <xf numFmtId="0" fontId="9" fillId="2" borderId="43" xfId="0" applyFont="1" applyFill="1" applyBorder="1" applyAlignment="1">
      <alignment horizontal="center" vertical="center"/>
    </xf>
    <xf numFmtId="0" fontId="10" fillId="2" borderId="57" xfId="0" applyFont="1" applyFill="1" applyBorder="1"/>
    <xf numFmtId="0" fontId="60" fillId="0" borderId="0" xfId="0" applyFont="1" applyBorder="1"/>
    <xf numFmtId="0" fontId="65" fillId="0" borderId="0" xfId="0" applyFont="1" applyAlignment="1">
      <alignment horizontal="center"/>
    </xf>
    <xf numFmtId="0" fontId="65" fillId="0" borderId="0" xfId="0" applyFont="1" applyAlignment="1">
      <alignment horizontal="center" vertical="center"/>
    </xf>
    <xf numFmtId="0" fontId="14" fillId="2" borderId="0" xfId="0" applyFont="1" applyFill="1" applyAlignment="1">
      <alignment horizontal="center" vertical="center"/>
    </xf>
    <xf numFmtId="0" fontId="9" fillId="0" borderId="0" xfId="0" applyFont="1" applyAlignment="1">
      <alignment horizontal="center"/>
    </xf>
    <xf numFmtId="170" fontId="18" fillId="0" borderId="41" xfId="1" applyNumberFormat="1" applyFont="1" applyFill="1" applyBorder="1" applyAlignment="1">
      <alignment horizontal="left" vertical="center" wrapText="1"/>
    </xf>
    <xf numFmtId="170" fontId="18" fillId="0" borderId="42" xfId="1" applyNumberFormat="1" applyFont="1" applyFill="1" applyBorder="1" applyAlignment="1">
      <alignment horizontal="left" vertical="center" wrapText="1"/>
    </xf>
    <xf numFmtId="170" fontId="14" fillId="0" borderId="41" xfId="1" applyNumberFormat="1" applyFont="1" applyFill="1" applyBorder="1" applyAlignment="1">
      <alignment horizontal="left" vertical="center" wrapText="1"/>
    </xf>
    <xf numFmtId="170" fontId="14" fillId="0" borderId="56" xfId="1" applyNumberFormat="1" applyFont="1" applyFill="1" applyBorder="1" applyAlignment="1">
      <alignment horizontal="left" vertical="center" wrapText="1"/>
    </xf>
    <xf numFmtId="0" fontId="10" fillId="0" borderId="0" xfId="0" applyFont="1" applyAlignment="1">
      <alignment horizontal="center"/>
    </xf>
    <xf numFmtId="0" fontId="9" fillId="6" borderId="0" xfId="0" applyFont="1" applyFill="1" applyAlignment="1">
      <alignment horizontal="center"/>
    </xf>
    <xf numFmtId="0" fontId="10" fillId="0" borderId="0" xfId="0" applyFont="1" applyAlignment="1">
      <alignment horizontal="left" vertical="center" wrapText="1"/>
    </xf>
    <xf numFmtId="0" fontId="13" fillId="6" borderId="41" xfId="8" applyFont="1" applyFill="1" applyBorder="1" applyAlignment="1" applyProtection="1">
      <alignment horizontal="left" vertical="center" wrapText="1"/>
      <protection locked="0"/>
    </xf>
    <xf numFmtId="0" fontId="13" fillId="6" borderId="56" xfId="8" applyFont="1" applyFill="1" applyBorder="1" applyAlignment="1" applyProtection="1">
      <alignment horizontal="left" vertical="center" wrapText="1"/>
      <protection locked="0"/>
    </xf>
    <xf numFmtId="0" fontId="54" fillId="0" borderId="0" xfId="0" applyFont="1" applyAlignment="1" applyProtection="1">
      <alignment horizontal="center" vertical="center"/>
      <protection hidden="1"/>
    </xf>
    <xf numFmtId="0" fontId="56" fillId="0" borderId="0" xfId="0" applyFont="1" applyAlignment="1" applyProtection="1">
      <alignment horizontal="center" vertical="center"/>
      <protection hidden="1"/>
    </xf>
    <xf numFmtId="0" fontId="55" fillId="0" borderId="0" xfId="0" applyFont="1" applyAlignment="1" applyProtection="1">
      <alignment horizontal="right" vertical="center"/>
      <protection hidden="1"/>
    </xf>
    <xf numFmtId="0" fontId="57" fillId="0" borderId="0" xfId="0" applyFont="1" applyAlignment="1" applyProtection="1">
      <alignment horizontal="center" vertical="center"/>
      <protection hidden="1"/>
    </xf>
    <xf numFmtId="0" fontId="36" fillId="0" borderId="43" xfId="0" applyFont="1" applyBorder="1" applyAlignment="1">
      <alignment horizontal="center" vertical="center" wrapText="1"/>
    </xf>
    <xf numFmtId="0" fontId="37" fillId="0" borderId="43" xfId="0" applyFont="1" applyBorder="1" applyAlignment="1">
      <alignment horizontal="center" vertical="center" wrapText="1"/>
    </xf>
    <xf numFmtId="0" fontId="35" fillId="0" borderId="43" xfId="0" applyFont="1" applyBorder="1" applyAlignment="1">
      <alignment horizontal="center" vertical="center" wrapText="1"/>
    </xf>
    <xf numFmtId="0" fontId="60" fillId="0" borderId="0" xfId="0" applyFont="1" applyFill="1" applyBorder="1" applyAlignment="1">
      <alignment horizontal="center"/>
    </xf>
    <xf numFmtId="0" fontId="10" fillId="0" borderId="0" xfId="0" applyFont="1" applyAlignment="1" applyProtection="1">
      <alignment horizontal="center"/>
      <protection hidden="1"/>
    </xf>
    <xf numFmtId="0" fontId="9" fillId="0" borderId="0" xfId="0" applyFont="1" applyAlignment="1" applyProtection="1">
      <alignment horizontal="center"/>
      <protection hidden="1"/>
    </xf>
    <xf numFmtId="0" fontId="12" fillId="0" borderId="0" xfId="0" applyFont="1" applyAlignment="1" applyProtection="1">
      <alignment horizontal="center" vertical="top"/>
      <protection locked="0"/>
    </xf>
    <xf numFmtId="0" fontId="8" fillId="0" borderId="0" xfId="0" applyFont="1" applyAlignment="1" applyProtection="1">
      <alignment vertical="top"/>
      <protection locked="0"/>
    </xf>
    <xf numFmtId="0" fontId="13" fillId="0" borderId="0" xfId="0" applyFont="1" applyAlignment="1" applyProtection="1">
      <alignment horizontal="left" vertical="top" wrapText="1"/>
      <protection locked="0"/>
    </xf>
    <xf numFmtId="0" fontId="8" fillId="0" borderId="0" xfId="0" applyFont="1" applyAlignment="1" applyProtection="1">
      <alignment horizontal="left" vertical="top"/>
      <protection locked="0"/>
    </xf>
    <xf numFmtId="49" fontId="19" fillId="0" borderId="7" xfId="0" applyNumberFormat="1" applyFont="1" applyBorder="1" applyAlignment="1" applyProtection="1">
      <alignment horizontal="center" vertical="center" wrapText="1"/>
      <protection locked="0"/>
    </xf>
    <xf numFmtId="0" fontId="8" fillId="0" borderId="8" xfId="0" applyFont="1" applyBorder="1" applyAlignment="1" applyProtection="1">
      <alignment vertical="center" wrapText="1"/>
      <protection locked="0"/>
    </xf>
    <xf numFmtId="0" fontId="8" fillId="0" borderId="8" xfId="0" applyFont="1" applyBorder="1" applyAlignment="1" applyProtection="1">
      <alignment horizontal="center" vertical="center" wrapText="1"/>
      <protection locked="0"/>
    </xf>
    <xf numFmtId="0" fontId="16" fillId="0" borderId="8" xfId="0" applyFont="1" applyBorder="1" applyAlignment="1" applyProtection="1">
      <alignment horizontal="center" vertical="center" wrapText="1"/>
      <protection locked="0"/>
    </xf>
    <xf numFmtId="0" fontId="8" fillId="0" borderId="8" xfId="0" applyFont="1" applyBorder="1" applyAlignment="1" applyProtection="1">
      <alignment vertical="center"/>
      <protection locked="0"/>
    </xf>
    <xf numFmtId="0" fontId="8" fillId="0" borderId="8" xfId="0" applyFont="1" applyBorder="1" applyAlignment="1" applyProtection="1">
      <alignment horizontal="center" vertical="center"/>
      <protection locked="0"/>
    </xf>
    <xf numFmtId="3" fontId="8" fillId="0" borderId="9" xfId="0" applyNumberFormat="1" applyFont="1" applyBorder="1" applyAlignment="1" applyProtection="1">
      <alignment vertical="center" wrapText="1"/>
      <protection locked="0"/>
    </xf>
    <xf numFmtId="0" fontId="9" fillId="0" borderId="0" xfId="17" applyFont="1" applyAlignment="1">
      <alignment horizontal="center"/>
    </xf>
    <xf numFmtId="0" fontId="10" fillId="0" borderId="0" xfId="17" applyFont="1" applyAlignment="1">
      <alignment horizontal="center"/>
    </xf>
    <xf numFmtId="0" fontId="9" fillId="6" borderId="0" xfId="17" applyFont="1" applyFill="1" applyAlignment="1">
      <alignment horizontal="center"/>
    </xf>
    <xf numFmtId="0" fontId="10" fillId="0" borderId="0" xfId="17" applyFont="1" applyAlignment="1">
      <alignment horizontal="left" vertical="center" wrapText="1"/>
    </xf>
    <xf numFmtId="0" fontId="9" fillId="0" borderId="0" xfId="17" applyFont="1" applyBorder="1" applyAlignment="1">
      <alignment horizontal="right"/>
    </xf>
    <xf numFmtId="0" fontId="9" fillId="0" borderId="0" xfId="17" applyFont="1" applyAlignment="1">
      <alignment horizontal="right"/>
    </xf>
    <xf numFmtId="0" fontId="9" fillId="8" borderId="43" xfId="17" applyFont="1" applyFill="1" applyBorder="1" applyAlignment="1">
      <alignment horizontal="center" vertical="center"/>
    </xf>
    <xf numFmtId="0" fontId="9" fillId="8" borderId="41" xfId="17" applyFont="1" applyFill="1" applyBorder="1" applyAlignment="1">
      <alignment horizontal="center" vertical="center"/>
    </xf>
    <xf numFmtId="0" fontId="9" fillId="8" borderId="42" xfId="17" applyFont="1" applyFill="1" applyBorder="1" applyAlignment="1">
      <alignment horizontal="center" vertical="center"/>
    </xf>
    <xf numFmtId="0" fontId="10" fillId="6" borderId="41" xfId="17" applyFont="1" applyFill="1" applyBorder="1" applyAlignment="1">
      <alignment horizontal="left" vertical="center"/>
    </xf>
    <xf numFmtId="0" fontId="10" fillId="6" borderId="56" xfId="17" applyFont="1" applyFill="1" applyBorder="1" applyAlignment="1">
      <alignment horizontal="left" vertical="center"/>
    </xf>
    <xf numFmtId="0" fontId="10" fillId="6" borderId="42" xfId="17" applyFont="1" applyFill="1" applyBorder="1" applyAlignment="1">
      <alignment horizontal="left" vertical="center"/>
    </xf>
    <xf numFmtId="0" fontId="9" fillId="8" borderId="41" xfId="17" applyFont="1" applyFill="1" applyBorder="1" applyAlignment="1">
      <alignment horizontal="left" vertical="center"/>
    </xf>
    <xf numFmtId="0" fontId="9" fillId="8" borderId="56" xfId="17" applyFont="1" applyFill="1" applyBorder="1" applyAlignment="1">
      <alignment horizontal="left" vertical="center"/>
    </xf>
    <xf numFmtId="0" fontId="9" fillId="8" borderId="42" xfId="17" applyFont="1" applyFill="1" applyBorder="1" applyAlignment="1">
      <alignment horizontal="left" vertical="center"/>
    </xf>
    <xf numFmtId="0" fontId="9" fillId="0" borderId="41" xfId="17" applyFont="1" applyFill="1" applyBorder="1" applyAlignment="1">
      <alignment horizontal="left"/>
    </xf>
    <xf numFmtId="0" fontId="9" fillId="0" borderId="56" xfId="17" applyFont="1" applyFill="1" applyBorder="1" applyAlignment="1">
      <alignment horizontal="left"/>
    </xf>
    <xf numFmtId="0" fontId="9" fillId="0" borderId="42" xfId="17" applyFont="1" applyFill="1" applyBorder="1" applyAlignment="1">
      <alignment horizontal="left"/>
    </xf>
    <xf numFmtId="0" fontId="9" fillId="0" borderId="41" xfId="17" applyFont="1" applyBorder="1" applyAlignment="1">
      <alignment horizontal="center"/>
    </xf>
    <xf numFmtId="0" fontId="9" fillId="0" borderId="42" xfId="17" applyFont="1" applyBorder="1" applyAlignment="1">
      <alignment horizontal="center"/>
    </xf>
    <xf numFmtId="0" fontId="9" fillId="8" borderId="43" xfId="17" applyFont="1" applyFill="1" applyBorder="1" applyAlignment="1">
      <alignment horizontal="left"/>
    </xf>
    <xf numFmtId="170" fontId="18" fillId="0" borderId="43" xfId="20" applyNumberFormat="1" applyFont="1" applyFill="1" applyBorder="1" applyAlignment="1">
      <alignment horizontal="left" vertical="center" wrapText="1"/>
    </xf>
    <xf numFmtId="166" fontId="10" fillId="2" borderId="41" xfId="20" applyNumberFormat="1" applyFont="1" applyFill="1" applyBorder="1" applyAlignment="1">
      <alignment horizontal="center"/>
    </xf>
    <xf numFmtId="166" fontId="10" fillId="2" borderId="42" xfId="20" applyNumberFormat="1" applyFont="1" applyFill="1" applyBorder="1" applyAlignment="1">
      <alignment horizontal="center"/>
    </xf>
    <xf numFmtId="166" fontId="10" fillId="0" borderId="41" xfId="20" applyNumberFormat="1" applyFont="1" applyBorder="1" applyAlignment="1">
      <alignment horizontal="center"/>
    </xf>
    <xf numFmtId="166" fontId="10" fillId="0" borderId="42" xfId="20" applyNumberFormat="1" applyFont="1" applyBorder="1" applyAlignment="1">
      <alignment horizontal="center"/>
    </xf>
    <xf numFmtId="166" fontId="10" fillId="0" borderId="41" xfId="20" applyNumberFormat="1" applyFont="1" applyFill="1" applyBorder="1" applyAlignment="1">
      <alignment horizontal="center"/>
    </xf>
    <xf numFmtId="166" fontId="10" fillId="0" borderId="42" xfId="20" applyNumberFormat="1" applyFont="1" applyFill="1" applyBorder="1" applyAlignment="1">
      <alignment horizontal="center"/>
    </xf>
    <xf numFmtId="0" fontId="10" fillId="0" borderId="17" xfId="17" applyFont="1" applyBorder="1" applyAlignment="1">
      <alignment horizontal="center"/>
    </xf>
    <xf numFmtId="170" fontId="15" fillId="0" borderId="41" xfId="3" applyNumberFormat="1" applyFont="1" applyFill="1" applyBorder="1" applyAlignment="1">
      <alignment horizontal="left" vertical="center" wrapText="1"/>
    </xf>
    <xf numFmtId="170" fontId="15" fillId="0" borderId="42" xfId="3" applyNumberFormat="1" applyFont="1" applyFill="1" applyBorder="1" applyAlignment="1">
      <alignment horizontal="left" vertical="center" wrapText="1"/>
    </xf>
    <xf numFmtId="170" fontId="52" fillId="12" borderId="41" xfId="3" applyNumberFormat="1" applyFont="1" applyFill="1" applyBorder="1" applyAlignment="1">
      <alignment horizontal="center" vertical="center" wrapText="1"/>
    </xf>
    <xf numFmtId="170" fontId="52" fillId="12" borderId="42" xfId="3" applyNumberFormat="1" applyFont="1" applyFill="1" applyBorder="1" applyAlignment="1">
      <alignment horizontal="center" vertical="center" wrapText="1"/>
    </xf>
    <xf numFmtId="0" fontId="80" fillId="0" borderId="0" xfId="0" applyFont="1" applyBorder="1" applyAlignment="1">
      <alignment horizontal="center"/>
    </xf>
    <xf numFmtId="0" fontId="52" fillId="2" borderId="43" xfId="22" applyFont="1" applyFill="1" applyBorder="1" applyAlignment="1">
      <alignment horizontal="center" vertical="center" wrapText="1" readingOrder="1"/>
    </xf>
    <xf numFmtId="0" fontId="52" fillId="2" borderId="57" xfId="22" applyFont="1" applyFill="1" applyBorder="1" applyAlignment="1">
      <alignment horizontal="center" vertical="center" wrapText="1" readingOrder="1"/>
    </xf>
    <xf numFmtId="0" fontId="52" fillId="2" borderId="22" xfId="22" applyFont="1" applyFill="1" applyBorder="1" applyAlignment="1">
      <alignment horizontal="center" vertical="center" wrapText="1" readingOrder="1"/>
    </xf>
    <xf numFmtId="0" fontId="52" fillId="2" borderId="41" xfId="22" applyFont="1" applyFill="1" applyBorder="1" applyAlignment="1">
      <alignment horizontal="center" vertical="center" wrapText="1" readingOrder="1"/>
    </xf>
    <xf numFmtId="0" fontId="52" fillId="2" borderId="56" xfId="22" applyFont="1" applyFill="1" applyBorder="1" applyAlignment="1">
      <alignment horizontal="center" vertical="center" wrapText="1" readingOrder="1"/>
    </xf>
    <xf numFmtId="0" fontId="52" fillId="2" borderId="42" xfId="22" applyFont="1" applyFill="1" applyBorder="1" applyAlignment="1">
      <alignment horizontal="center" vertical="center" wrapText="1" readingOrder="1"/>
    </xf>
    <xf numFmtId="0" fontId="52" fillId="10" borderId="43" xfId="0" applyFont="1" applyFill="1" applyBorder="1" applyAlignment="1">
      <alignment horizontal="center" vertical="center"/>
    </xf>
    <xf numFmtId="0" fontId="52" fillId="10" borderId="41" xfId="0" applyFont="1" applyFill="1" applyBorder="1" applyAlignment="1">
      <alignment horizontal="center" vertical="center"/>
    </xf>
    <xf numFmtId="0" fontId="52" fillId="10" borderId="56" xfId="0" applyFont="1" applyFill="1" applyBorder="1" applyAlignment="1">
      <alignment horizontal="center" vertical="center"/>
    </xf>
    <xf numFmtId="0" fontId="52" fillId="10" borderId="42" xfId="0" applyFont="1" applyFill="1" applyBorder="1" applyAlignment="1">
      <alignment horizontal="center" vertical="center"/>
    </xf>
    <xf numFmtId="0" fontId="52" fillId="0" borderId="0" xfId="0" applyFont="1" applyBorder="1" applyAlignment="1">
      <alignment horizontal="center"/>
    </xf>
    <xf numFmtId="0" fontId="80" fillId="0" borderId="18" xfId="0" applyFont="1" applyBorder="1" applyAlignment="1">
      <alignment horizontal="center"/>
    </xf>
    <xf numFmtId="0" fontId="2" fillId="0" borderId="0" xfId="14" applyAlignment="1">
      <alignment horizontal="center"/>
    </xf>
    <xf numFmtId="0" fontId="10" fillId="2" borderId="21" xfId="0" applyFont="1" applyFill="1" applyBorder="1" applyAlignment="1">
      <alignment horizontal="center"/>
    </xf>
    <xf numFmtId="0" fontId="10" fillId="3" borderId="21" xfId="0" applyFont="1" applyFill="1" applyBorder="1" applyAlignment="1">
      <alignment horizontal="center"/>
    </xf>
    <xf numFmtId="0" fontId="9" fillId="3" borderId="21" xfId="0" applyFont="1" applyFill="1" applyBorder="1" applyAlignment="1">
      <alignment horizontal="center"/>
    </xf>
    <xf numFmtId="0" fontId="9" fillId="2" borderId="21" xfId="0" applyFont="1" applyFill="1" applyBorder="1" applyAlignment="1">
      <alignment horizontal="center"/>
    </xf>
    <xf numFmtId="0" fontId="9" fillId="0" borderId="1" xfId="0" applyFont="1" applyBorder="1" applyAlignment="1" applyProtection="1">
      <alignment horizontal="center"/>
    </xf>
    <xf numFmtId="0" fontId="9" fillId="0" borderId="1" xfId="0" applyFont="1" applyBorder="1" applyAlignment="1" applyProtection="1">
      <alignment horizontal="center" vertical="center"/>
    </xf>
    <xf numFmtId="0" fontId="49" fillId="0" borderId="28" xfId="0" applyFont="1" applyBorder="1" applyAlignment="1">
      <alignment horizontal="center" vertical="center"/>
    </xf>
    <xf numFmtId="0" fontId="49" fillId="0" borderId="30" xfId="0" applyFont="1" applyBorder="1" applyAlignment="1">
      <alignment horizontal="center" vertical="center"/>
    </xf>
    <xf numFmtId="0" fontId="49" fillId="0" borderId="28" xfId="0" applyFont="1" applyBorder="1" applyAlignment="1">
      <alignment horizontal="center" vertical="center" wrapText="1"/>
    </xf>
    <xf numFmtId="0" fontId="49" fillId="0" borderId="30" xfId="0" applyFont="1" applyBorder="1" applyAlignment="1">
      <alignment horizontal="center" vertical="center" wrapText="1"/>
    </xf>
    <xf numFmtId="0" fontId="36" fillId="0" borderId="28" xfId="0" applyFont="1" applyBorder="1" applyAlignment="1">
      <alignment horizontal="center" vertical="center" wrapText="1"/>
    </xf>
    <xf numFmtId="0" fontId="36" fillId="0" borderId="30" xfId="0" applyFont="1" applyBorder="1" applyAlignment="1">
      <alignment horizontal="center" vertical="center" wrapText="1"/>
    </xf>
    <xf numFmtId="0" fontId="36" fillId="0" borderId="35" xfId="0" applyFont="1" applyBorder="1" applyAlignment="1">
      <alignment horizontal="center" vertical="center" wrapText="1"/>
    </xf>
    <xf numFmtId="0" fontId="36" fillId="0" borderId="34" xfId="0" applyFont="1" applyBorder="1" applyAlignment="1">
      <alignment horizontal="center" vertical="center" wrapText="1"/>
    </xf>
    <xf numFmtId="0" fontId="36" fillId="0" borderId="33" xfId="0" applyFont="1" applyBorder="1" applyAlignment="1">
      <alignment horizontal="center" vertical="center" wrapText="1"/>
    </xf>
    <xf numFmtId="0" fontId="36" fillId="0" borderId="36" xfId="0" applyFont="1" applyBorder="1" applyAlignment="1">
      <alignment horizontal="center" vertical="center" wrapText="1"/>
    </xf>
    <xf numFmtId="0" fontId="69" fillId="0" borderId="28" xfId="0" applyFont="1" applyBorder="1" applyAlignment="1">
      <alignment horizontal="center" vertical="center" wrapText="1"/>
    </xf>
    <xf numFmtId="0" fontId="69" fillId="0" borderId="54" xfId="0" applyFont="1" applyBorder="1" applyAlignment="1">
      <alignment horizontal="center" vertical="center" wrapText="1"/>
    </xf>
    <xf numFmtId="0" fontId="69" fillId="0" borderId="35" xfId="0" applyFont="1" applyBorder="1" applyAlignment="1">
      <alignment horizontal="center" vertical="center" wrapText="1"/>
    </xf>
    <xf numFmtId="0" fontId="69" fillId="0" borderId="34" xfId="0" applyFont="1" applyBorder="1" applyAlignment="1">
      <alignment horizontal="center" vertical="center" wrapText="1"/>
    </xf>
    <xf numFmtId="0" fontId="69" fillId="0" borderId="55" xfId="0" applyFont="1" applyBorder="1" applyAlignment="1">
      <alignment horizontal="center" vertical="center" wrapText="1"/>
    </xf>
    <xf numFmtId="0" fontId="43" fillId="0" borderId="0" xfId="0" applyFont="1" applyAlignment="1">
      <alignment horizontal="center" vertical="center" wrapText="1"/>
    </xf>
    <xf numFmtId="0" fontId="44" fillId="0" borderId="0" xfId="0" applyFont="1" applyAlignment="1">
      <alignment horizontal="center" vertical="top" wrapText="1"/>
    </xf>
    <xf numFmtId="0" fontId="43" fillId="0" borderId="18" xfId="0" applyFont="1" applyBorder="1" applyAlignment="1">
      <alignment horizontal="right" vertical="center" wrapText="1"/>
    </xf>
    <xf numFmtId="0" fontId="45" fillId="0" borderId="21" xfId="0" applyFont="1" applyBorder="1" applyAlignment="1">
      <alignment horizontal="center" vertical="center" wrapText="1"/>
    </xf>
    <xf numFmtId="0" fontId="45" fillId="2" borderId="21" xfId="0" applyFont="1" applyFill="1" applyBorder="1" applyAlignment="1">
      <alignment horizontal="center" vertical="center" wrapText="1"/>
    </xf>
    <xf numFmtId="0" fontId="45" fillId="0" borderId="15" xfId="0" applyFont="1" applyBorder="1" applyAlignment="1">
      <alignment horizontal="center" vertical="center" wrapText="1"/>
    </xf>
    <xf numFmtId="0" fontId="45" fillId="0" borderId="22" xfId="0" applyFont="1" applyBorder="1" applyAlignment="1">
      <alignment horizontal="center" vertical="center" wrapText="1"/>
    </xf>
    <xf numFmtId="0" fontId="46" fillId="0" borderId="21" xfId="0" applyFont="1" applyBorder="1" applyAlignment="1">
      <alignment horizontal="left" vertical="center" wrapText="1"/>
    </xf>
    <xf numFmtId="0" fontId="46" fillId="0" borderId="17" xfId="0" applyFont="1" applyBorder="1" applyAlignment="1">
      <alignment horizontal="center" vertical="center" wrapText="1"/>
    </xf>
    <xf numFmtId="0" fontId="46" fillId="0" borderId="24" xfId="0" applyFont="1" applyBorder="1" applyAlignment="1">
      <alignment horizontal="center" vertical="center" wrapText="1"/>
    </xf>
  </cellXfs>
  <cellStyles count="26">
    <cellStyle name="40% - Accent5" xfId="8" builtinId="47"/>
    <cellStyle name="Comma" xfId="1" builtinId="3"/>
    <cellStyle name="Comma [0]" xfId="25" builtinId="6"/>
    <cellStyle name="Comma 14" xfId="23"/>
    <cellStyle name="Comma 15" xfId="15"/>
    <cellStyle name="Comma 2" xfId="3"/>
    <cellStyle name="Comma 2 2" xfId="11"/>
    <cellStyle name="Comma 3" xfId="6"/>
    <cellStyle name="Comma 4" xfId="20"/>
    <cellStyle name="Hyperlink" xfId="9" builtinId="8"/>
    <cellStyle name="Normal" xfId="0" builtinId="0"/>
    <cellStyle name="Normal 130 2" xfId="21"/>
    <cellStyle name="Normal 16" xfId="22"/>
    <cellStyle name="Normal 17" xfId="14"/>
    <cellStyle name="Normal 2" xfId="4"/>
    <cellStyle name="Normal 2 10 2" xfId="24"/>
    <cellStyle name="Normal 2 2" xfId="2"/>
    <cellStyle name="Normal 2 3" xfId="12"/>
    <cellStyle name="Normal 2 4" xfId="18"/>
    <cellStyle name="Normal 3" xfId="17"/>
    <cellStyle name="Normal 3 2" xfId="10"/>
    <cellStyle name="Normal 7 3" xfId="16"/>
    <cellStyle name="Percent" xfId="7" builtinId="5"/>
    <cellStyle name="Percent 2" xfId="5"/>
    <cellStyle name="Percent 2 2" xfId="13"/>
    <cellStyle name="Percent 3" xfId="19"/>
  </cellStyles>
  <dxfs count="4">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nhnm\Downloads\VTN%20T&#237;nh%20to&#225;n%20gi&#225;%20thu&#234;%20tram%20XHH_ban%20full%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HUYEN\13.%20%20DA%20cap%20ngam-%20duong%20Nguyen%20Thai%20Binh%20-%20HCM\01.%20Chu%20truong%20dau%20tu\2.%20TMDT%20+%20HQDA.chinh2612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ngatang"/>
      <sheetName val="Đầu vào"/>
      <sheetName val="Chào giá"/>
      <sheetName val="Suất đầu tư"/>
      <sheetName val="Nhóm đơn giá thuê"/>
      <sheetName val="Đơn giá thuê trạm"/>
      <sheetName val="TH Giá thuê"/>
      <sheetName val="Capex cột"/>
      <sheetName val="Tính Giá cột"/>
      <sheetName val="Capex tiếp địa "/>
      <sheetName val="Tính giá tiếp địa"/>
      <sheetName val="Capex AC"/>
      <sheetName val="Tính giá AC"/>
      <sheetName val="Capex phòng máy"/>
      <sheetName val="Tính giá phòng máy"/>
      <sheetName val="Capex tủ nguồn DC Mini"/>
      <sheetName val="Tính giá tủ nguồn DC Mini"/>
      <sheetName val="Capex nguồn DC cho trạm Macro"/>
      <sheetName val="Giá nguồn DC cho trạm Macro"/>
      <sheetName val="Capex nguồn DC koo MN"/>
      <sheetName val="Giá nguồn DC  Macro Ko MN"/>
      <sheetName val="Capex truyen dan"/>
      <sheetName val="Gia cap treo"/>
    </sheetNames>
    <sheetDataSet>
      <sheetData sheetId="0"/>
      <sheetData sheetId="1"/>
      <sheetData sheetId="2"/>
      <sheetData sheetId="3">
        <row r="3">
          <cell r="B3" t="str">
            <v>Cột 3m cóc (3 cột/trạm)</v>
          </cell>
          <cell r="C3" t="str">
            <v>Trạm</v>
          </cell>
          <cell r="D3">
            <v>1</v>
          </cell>
          <cell r="E3">
            <v>0</v>
          </cell>
          <cell r="F3" t="e">
            <v>#REF!</v>
          </cell>
          <cell r="G3">
            <v>45354088.700000003</v>
          </cell>
          <cell r="H3">
            <v>41306137</v>
          </cell>
          <cell r="I3" t="str">
            <v>Dự toán</v>
          </cell>
          <cell r="J3">
            <v>1.097998796159515</v>
          </cell>
          <cell r="K3">
            <v>0</v>
          </cell>
        </row>
        <row r="4">
          <cell r="B4" t="str">
            <v>Cột 5m cóc (3 cột/trạm)</v>
          </cell>
          <cell r="C4" t="str">
            <v>Trạm</v>
          </cell>
          <cell r="D4">
            <v>1</v>
          </cell>
          <cell r="E4">
            <v>0</v>
          </cell>
          <cell r="F4" t="e">
            <v>#REF!</v>
          </cell>
          <cell r="G4">
            <v>58629504.700000003</v>
          </cell>
          <cell r="H4">
            <v>51897672.649999999</v>
          </cell>
          <cell r="I4" t="str">
            <v>Dự toán</v>
          </cell>
          <cell r="J4">
            <v>1.1297135633692044</v>
          </cell>
          <cell r="K4">
            <v>0</v>
          </cell>
        </row>
        <row r="5">
          <cell r="B5" t="str">
            <v>Cột ngụy trang bồn nước</v>
          </cell>
          <cell r="C5" t="str">
            <v>Trạm</v>
          </cell>
          <cell r="D5">
            <v>1</v>
          </cell>
          <cell r="E5">
            <v>0</v>
          </cell>
          <cell r="F5" t="e">
            <v>#REF!</v>
          </cell>
          <cell r="G5">
            <v>78459196.200000003</v>
          </cell>
          <cell r="H5">
            <v>63436294.25</v>
          </cell>
          <cell r="I5" t="str">
            <v>Dự toán</v>
          </cell>
          <cell r="J5">
            <v>1.2368187191199302</v>
          </cell>
          <cell r="K5">
            <v>0</v>
          </cell>
        </row>
        <row r="6">
          <cell r="B6" t="str">
            <v>Cột 9m tự đứng trên mái (monopole)</v>
          </cell>
          <cell r="C6" t="str">
            <v>Trạm</v>
          </cell>
          <cell r="D6">
            <v>1</v>
          </cell>
          <cell r="E6">
            <v>606039307</v>
          </cell>
          <cell r="F6" t="e">
            <v>#REF!</v>
          </cell>
          <cell r="G6">
            <v>71072662.25</v>
          </cell>
          <cell r="H6">
            <v>59174032</v>
          </cell>
          <cell r="I6" t="str">
            <v>Lấy theo Giá trị trạm BDG863</v>
          </cell>
          <cell r="J6">
            <v>1.2010785786914098</v>
          </cell>
          <cell r="K6">
            <v>0</v>
          </cell>
        </row>
        <row r="7">
          <cell r="B7" t="str">
            <v xml:space="preserve">Cột 15m dây co trên mái </v>
          </cell>
          <cell r="C7" t="str">
            <v>Trạm</v>
          </cell>
          <cell r="D7">
            <v>1</v>
          </cell>
          <cell r="E7">
            <v>628275854</v>
          </cell>
          <cell r="F7" t="e">
            <v>#REF!</v>
          </cell>
          <cell r="G7">
            <v>92195822</v>
          </cell>
          <cell r="H7">
            <v>80179256.950000003</v>
          </cell>
          <cell r="I7" t="str">
            <v>Giá trị lấy theo GT HĐ CTO453</v>
          </cell>
          <cell r="J7">
            <v>1.1498712448469504</v>
          </cell>
          <cell r="K7">
            <v>0</v>
          </cell>
        </row>
        <row r="8">
          <cell r="B8" t="str">
            <v xml:space="preserve">Cột 15m tự đứng thanh giằng trên mái </v>
          </cell>
          <cell r="C8" t="str">
            <v>Trạm</v>
          </cell>
          <cell r="D8">
            <v>1</v>
          </cell>
          <cell r="E8">
            <v>731485183</v>
          </cell>
          <cell r="F8" t="e">
            <v>#REF!</v>
          </cell>
          <cell r="G8">
            <v>112485408.84999999</v>
          </cell>
          <cell r="H8">
            <v>108241012.425</v>
          </cell>
          <cell r="I8" t="str">
            <v>Dự toán</v>
          </cell>
          <cell r="J8">
            <v>1.0392124605074342</v>
          </cell>
          <cell r="K8">
            <v>0</v>
          </cell>
        </row>
        <row r="9">
          <cell r="B9" t="str">
            <v>Cột 22m Monopole</v>
          </cell>
          <cell r="C9" t="str">
            <v>Trạm</v>
          </cell>
          <cell r="D9">
            <v>1</v>
          </cell>
          <cell r="E9">
            <v>0</v>
          </cell>
          <cell r="F9" t="e">
            <v>#REF!</v>
          </cell>
          <cell r="G9">
            <v>259353376.08639455</v>
          </cell>
          <cell r="H9">
            <v>227608054.05000001</v>
          </cell>
          <cell r="I9" t="str">
            <v>Dự toán</v>
          </cell>
          <cell r="J9">
            <v>1.1394736322881651</v>
          </cell>
          <cell r="K9">
            <v>0</v>
          </cell>
        </row>
        <row r="10">
          <cell r="B10" t="str">
            <v>Cột 25m thân thiện (Cây thông)</v>
          </cell>
          <cell r="C10" t="str">
            <v>Trạm</v>
          </cell>
          <cell r="D10">
            <v>1</v>
          </cell>
          <cell r="E10">
            <v>0</v>
          </cell>
          <cell r="F10" t="e">
            <v>#REF!</v>
          </cell>
          <cell r="G10">
            <v>531954877.68639457</v>
          </cell>
          <cell r="H10">
            <v>352397810.85000002</v>
          </cell>
          <cell r="I10" t="str">
            <v>Dự toán</v>
          </cell>
          <cell r="J10">
            <v>1.5095294616141186</v>
          </cell>
          <cell r="K10">
            <v>0</v>
          </cell>
        </row>
        <row r="11">
          <cell r="B11" t="str">
            <v>Cột 30m Monopole</v>
          </cell>
          <cell r="C11" t="str">
            <v>Trạm</v>
          </cell>
          <cell r="D11">
            <v>1</v>
          </cell>
          <cell r="E11">
            <v>0</v>
          </cell>
          <cell r="F11" t="e">
            <v>#REF!</v>
          </cell>
          <cell r="G11">
            <v>517829662.64788175</v>
          </cell>
          <cell r="H11">
            <v>494570083.14999998</v>
          </cell>
          <cell r="I11" t="str">
            <v>Quyết toán theo trạm LSN487</v>
          </cell>
          <cell r="J11">
            <v>1.0470298958435529</v>
          </cell>
          <cell r="K11">
            <v>0</v>
          </cell>
        </row>
        <row r="12">
          <cell r="B12" t="str">
            <v>Cột 36m Monopole</v>
          </cell>
          <cell r="C12" t="str">
            <v>Trạm</v>
          </cell>
          <cell r="D12">
            <v>1</v>
          </cell>
          <cell r="E12">
            <v>0</v>
          </cell>
          <cell r="F12" t="e">
            <v>#REF!</v>
          </cell>
          <cell r="G12">
            <v>613409225.66960478</v>
          </cell>
          <cell r="H12">
            <v>567652073.85000002</v>
          </cell>
          <cell r="I12">
            <v>0</v>
          </cell>
          <cell r="J12">
            <v>1.0806077418325366</v>
          </cell>
          <cell r="K12">
            <v>0</v>
          </cell>
        </row>
        <row r="13">
          <cell r="B13" t="str">
            <v>Cột 30m tự đứng thanh giằng</v>
          </cell>
          <cell r="C13" t="str">
            <v>Trạm</v>
          </cell>
          <cell r="D13">
            <v>1</v>
          </cell>
          <cell r="E13">
            <v>0</v>
          </cell>
          <cell r="F13" t="e">
            <v>#REF!</v>
          </cell>
          <cell r="G13">
            <v>441763037.41960484</v>
          </cell>
          <cell r="H13">
            <v>372162815.54000002</v>
          </cell>
          <cell r="I13">
            <v>0</v>
          </cell>
          <cell r="J13">
            <v>1.1870155184058795</v>
          </cell>
          <cell r="K13">
            <v>0</v>
          </cell>
        </row>
        <row r="14">
          <cell r="B14" t="str">
            <v>Cột 42m tự đứng thanh giằng</v>
          </cell>
          <cell r="C14" t="str">
            <v>Trạm</v>
          </cell>
          <cell r="D14">
            <v>1</v>
          </cell>
          <cell r="E14">
            <v>816042082</v>
          </cell>
          <cell r="F14" t="e">
            <v>#REF!</v>
          </cell>
          <cell r="G14">
            <v>808827606.71960485</v>
          </cell>
          <cell r="H14">
            <v>767255390</v>
          </cell>
          <cell r="I14">
            <v>0</v>
          </cell>
          <cell r="J14">
            <v>1.0541830233601941</v>
          </cell>
          <cell r="K14">
            <v>0</v>
          </cell>
        </row>
        <row r="15">
          <cell r="B15" t="str">
            <v>Cột 21 dây co (đốt 300x300)</v>
          </cell>
          <cell r="C15" t="str">
            <v>Trạm</v>
          </cell>
          <cell r="D15">
            <v>1</v>
          </cell>
          <cell r="E15">
            <v>0</v>
          </cell>
          <cell r="F15" t="e">
            <v>#REF!</v>
          </cell>
          <cell r="G15">
            <v>94755862.13639456</v>
          </cell>
          <cell r="H15">
            <v>96241130.310000002</v>
          </cell>
          <cell r="I15">
            <v>0</v>
          </cell>
          <cell r="J15">
            <v>0.98456722018100495</v>
          </cell>
          <cell r="K15">
            <v>0</v>
          </cell>
        </row>
        <row r="16">
          <cell r="B16" t="str">
            <v>Cột 24m dây co</v>
          </cell>
          <cell r="C16" t="str">
            <v>Trạm</v>
          </cell>
          <cell r="D16">
            <v>1</v>
          </cell>
          <cell r="E16">
            <v>0</v>
          </cell>
          <cell r="F16" t="e">
            <v>#REF!</v>
          </cell>
          <cell r="G16">
            <v>149733238.23639455</v>
          </cell>
          <cell r="H16">
            <v>103758686.10096434</v>
          </cell>
          <cell r="I16">
            <v>0</v>
          </cell>
          <cell r="J16">
            <v>1.4430911171204868</v>
          </cell>
          <cell r="K16">
            <v>0</v>
          </cell>
        </row>
        <row r="17">
          <cell r="B17" t="str">
            <v>Cột 30m dây co</v>
          </cell>
          <cell r="C17" t="str">
            <v>Trạm</v>
          </cell>
          <cell r="D17">
            <v>1</v>
          </cell>
          <cell r="E17">
            <v>0</v>
          </cell>
          <cell r="F17" t="e">
            <v>#REF!</v>
          </cell>
          <cell r="G17">
            <v>173717993.58639455</v>
          </cell>
          <cell r="H17">
            <v>167776040.02142859</v>
          </cell>
          <cell r="I17">
            <v>0</v>
          </cell>
          <cell r="J17">
            <v>1.0354159840952679</v>
          </cell>
          <cell r="K17">
            <v>0</v>
          </cell>
        </row>
        <row r="18">
          <cell r="B18" t="str">
            <v>Cột 36m dây co</v>
          </cell>
          <cell r="C18" t="str">
            <v>Trạm</v>
          </cell>
          <cell r="D18">
            <v>1</v>
          </cell>
          <cell r="E18">
            <v>0</v>
          </cell>
          <cell r="F18" t="e">
            <v>#REF!</v>
          </cell>
          <cell r="G18">
            <v>217645338.23639452</v>
          </cell>
          <cell r="H18">
            <v>185475746.69999999</v>
          </cell>
          <cell r="I18">
            <v>0</v>
          </cell>
          <cell r="J18">
            <v>1.1734436556194467</v>
          </cell>
          <cell r="K18">
            <v>0</v>
          </cell>
        </row>
        <row r="19">
          <cell r="B19" t="str">
            <v>Cột 42m dây co</v>
          </cell>
          <cell r="C19" t="str">
            <v>Trạm</v>
          </cell>
          <cell r="D19">
            <v>1</v>
          </cell>
          <cell r="E19">
            <v>0</v>
          </cell>
          <cell r="F19" t="e">
            <v>#REF!</v>
          </cell>
          <cell r="G19">
            <v>242863516.88639453</v>
          </cell>
          <cell r="H19">
            <v>210377797.25</v>
          </cell>
          <cell r="I19">
            <v>0</v>
          </cell>
          <cell r="J19">
            <v>1.1544161031298874</v>
          </cell>
          <cell r="K19">
            <v>0</v>
          </cell>
        </row>
        <row r="20">
          <cell r="B20" t="str">
            <v>Cột 28m thân thiện (Lồng đèn)</v>
          </cell>
          <cell r="C20" t="str">
            <v>Trạm</v>
          </cell>
          <cell r="D20">
            <v>1</v>
          </cell>
          <cell r="E20">
            <v>0</v>
          </cell>
          <cell r="F20" t="e">
            <v>#REF!</v>
          </cell>
          <cell r="G20">
            <v>438083206.68639451</v>
          </cell>
          <cell r="H20">
            <v>354833537.30000001</v>
          </cell>
          <cell r="I20">
            <v>0</v>
          </cell>
          <cell r="J20">
            <v>1.2346161245632474</v>
          </cell>
          <cell r="K20">
            <v>0</v>
          </cell>
        </row>
        <row r="21">
          <cell r="B21" t="str">
            <v>Cột 18m dây co (6 đốt 300x300)_móng co</v>
          </cell>
          <cell r="C21" t="str">
            <v>Trạm</v>
          </cell>
          <cell r="D21">
            <v>1</v>
          </cell>
          <cell r="E21">
            <v>0</v>
          </cell>
          <cell r="F21" t="e">
            <v>#REF!</v>
          </cell>
          <cell r="G21">
            <v>91175660.286394551</v>
          </cell>
          <cell r="H21">
            <v>92393446.895964324</v>
          </cell>
          <cell r="I21">
            <v>0</v>
          </cell>
          <cell r="J21">
            <v>0.98681955646766795</v>
          </cell>
          <cell r="K21">
            <v>0</v>
          </cell>
        </row>
        <row r="22">
          <cell r="B22" t="str">
            <v>Cột 18m tự đứng (3 đốt 600x600)</v>
          </cell>
          <cell r="C22" t="str">
            <v>Trạm</v>
          </cell>
          <cell r="D22">
            <v>1</v>
          </cell>
          <cell r="E22">
            <v>0</v>
          </cell>
          <cell r="F22" t="e">
            <v>#REF!</v>
          </cell>
          <cell r="G22">
            <v>111647903.93639456</v>
          </cell>
          <cell r="H22">
            <v>76855250.875964329</v>
          </cell>
          <cell r="I22">
            <v>0</v>
          </cell>
          <cell r="J22">
            <v>1.4527036560791615</v>
          </cell>
          <cell r="K22">
            <v>0</v>
          </cell>
        </row>
        <row r="23">
          <cell r="B23" t="str">
            <v>Cột 20m tự đứng (Bê tông ly tâm)</v>
          </cell>
          <cell r="C23" t="str">
            <v>Trạm</v>
          </cell>
          <cell r="D23">
            <v>1</v>
          </cell>
          <cell r="E23">
            <v>0</v>
          </cell>
          <cell r="F23" t="e">
            <v>#REF!</v>
          </cell>
          <cell r="G23">
            <v>111647903.93639456</v>
          </cell>
          <cell r="H23">
            <v>70868822.375964329</v>
          </cell>
          <cell r="I23">
            <v>0</v>
          </cell>
          <cell r="J23">
            <v>1.5754163847127893</v>
          </cell>
          <cell r="K23">
            <v>0</v>
          </cell>
        </row>
      </sheetData>
      <sheetData sheetId="4">
        <row r="4">
          <cell r="G4" t="str">
            <v>SLA</v>
          </cell>
          <cell r="H4" t="str">
            <v>Nhóm 2</v>
          </cell>
        </row>
        <row r="5">
          <cell r="G5" t="str">
            <v>HBH</v>
          </cell>
          <cell r="H5" t="str">
            <v>Nhóm 2</v>
          </cell>
        </row>
        <row r="6">
          <cell r="G6" t="str">
            <v>YBI</v>
          </cell>
          <cell r="H6" t="str">
            <v>Nhóm 2</v>
          </cell>
        </row>
        <row r="7">
          <cell r="G7" t="str">
            <v>DBN</v>
          </cell>
          <cell r="H7" t="str">
            <v>Nhóm 2</v>
          </cell>
        </row>
        <row r="8">
          <cell r="G8" t="str">
            <v>LCU</v>
          </cell>
          <cell r="H8" t="str">
            <v>Nhóm 2</v>
          </cell>
        </row>
        <row r="9">
          <cell r="G9" t="str">
            <v>PTO</v>
          </cell>
          <cell r="H9" t="str">
            <v>Nhóm 3</v>
          </cell>
        </row>
        <row r="10">
          <cell r="G10" t="str">
            <v>NBH</v>
          </cell>
          <cell r="H10" t="str">
            <v>Nhóm 4</v>
          </cell>
        </row>
        <row r="11">
          <cell r="G11" t="str">
            <v>BNH</v>
          </cell>
          <cell r="H11" t="str">
            <v>Nhóm 4</v>
          </cell>
        </row>
        <row r="12">
          <cell r="G12" t="str">
            <v>NDH</v>
          </cell>
          <cell r="H12" t="str">
            <v>Nhóm 4</v>
          </cell>
        </row>
        <row r="13">
          <cell r="G13" t="str">
            <v>QNH</v>
          </cell>
          <cell r="H13" t="str">
            <v>Nhóm 3</v>
          </cell>
        </row>
        <row r="14">
          <cell r="G14" t="str">
            <v>TNN</v>
          </cell>
          <cell r="H14" t="str">
            <v>Nhóm 3</v>
          </cell>
        </row>
        <row r="15">
          <cell r="G15" t="str">
            <v>TQG</v>
          </cell>
          <cell r="H15" t="str">
            <v>Nhóm 2</v>
          </cell>
        </row>
        <row r="16">
          <cell r="G16" t="str">
            <v>QBH</v>
          </cell>
          <cell r="H16" t="str">
            <v>Nhóm 5</v>
          </cell>
        </row>
        <row r="17">
          <cell r="G17" t="str">
            <v>THA</v>
          </cell>
          <cell r="H17" t="str">
            <v>Nhóm 5</v>
          </cell>
        </row>
        <row r="18">
          <cell r="G18" t="str">
            <v>HTH</v>
          </cell>
          <cell r="H18" t="str">
            <v>Nhóm 5</v>
          </cell>
        </row>
        <row r="19">
          <cell r="G19" t="str">
            <v>HNM</v>
          </cell>
          <cell r="H19" t="str">
            <v>Nhóm 3</v>
          </cell>
        </row>
        <row r="20">
          <cell r="G20" t="str">
            <v>HGG</v>
          </cell>
          <cell r="H20" t="str">
            <v>Nhóm 2</v>
          </cell>
        </row>
        <row r="21">
          <cell r="G21" t="str">
            <v>VPC</v>
          </cell>
          <cell r="H21" t="str">
            <v>Nhóm 3</v>
          </cell>
        </row>
        <row r="22">
          <cell r="G22" t="str">
            <v>NAN</v>
          </cell>
          <cell r="H22" t="str">
            <v>Nhóm 5</v>
          </cell>
        </row>
        <row r="23">
          <cell r="G23" t="str">
            <v>TBH</v>
          </cell>
          <cell r="H23" t="str">
            <v>Nhóm 4</v>
          </cell>
        </row>
        <row r="24">
          <cell r="G24" t="str">
            <v>HYN</v>
          </cell>
          <cell r="H24" t="str">
            <v>Nhóm 4</v>
          </cell>
        </row>
        <row r="25">
          <cell r="G25" t="str">
            <v>HPG</v>
          </cell>
          <cell r="H25" t="str">
            <v>Nhóm 9</v>
          </cell>
        </row>
        <row r="26">
          <cell r="G26" t="str">
            <v>HDG</v>
          </cell>
          <cell r="H26" t="str">
            <v>Nhóm 4</v>
          </cell>
        </row>
        <row r="27">
          <cell r="G27" t="str">
            <v>LCI</v>
          </cell>
          <cell r="H27" t="str">
            <v>Nhóm 2</v>
          </cell>
        </row>
        <row r="28">
          <cell r="G28" t="str">
            <v>BGG</v>
          </cell>
          <cell r="H28" t="str">
            <v>Nhóm 2</v>
          </cell>
        </row>
        <row r="29">
          <cell r="G29" t="str">
            <v>CBG</v>
          </cell>
          <cell r="H29" t="str">
            <v>Nhóm 2</v>
          </cell>
        </row>
        <row r="30">
          <cell r="G30" t="str">
            <v>LSN</v>
          </cell>
          <cell r="H30" t="str">
            <v>Nhóm 2</v>
          </cell>
        </row>
        <row r="31">
          <cell r="G31" t="str">
            <v>BKN</v>
          </cell>
          <cell r="H31" t="str">
            <v>Nhóm 2</v>
          </cell>
        </row>
        <row r="32">
          <cell r="G32" t="str">
            <v>HNI</v>
          </cell>
          <cell r="H32" t="str">
            <v>Nhóm 1</v>
          </cell>
        </row>
        <row r="33">
          <cell r="G33" t="str">
            <v>BDH</v>
          </cell>
          <cell r="H33" t="str">
            <v>Nhóm 6</v>
          </cell>
        </row>
        <row r="34">
          <cell r="G34" t="str">
            <v>BTN</v>
          </cell>
          <cell r="H34" t="str">
            <v>Nhóm 7</v>
          </cell>
        </row>
        <row r="35">
          <cell r="G35" t="str">
            <v>DCN</v>
          </cell>
          <cell r="H35" t="str">
            <v>Nhóm 6</v>
          </cell>
        </row>
        <row r="36">
          <cell r="G36" t="str">
            <v>DLK</v>
          </cell>
          <cell r="H36" t="str">
            <v>Nhóm 6</v>
          </cell>
        </row>
        <row r="37">
          <cell r="G37" t="str">
            <v>DNG</v>
          </cell>
          <cell r="H37" t="str">
            <v>Nhóm 9</v>
          </cell>
        </row>
        <row r="38">
          <cell r="G38" t="str">
            <v>GLI</v>
          </cell>
          <cell r="H38" t="str">
            <v>Nhóm 6</v>
          </cell>
        </row>
        <row r="39">
          <cell r="G39" t="str">
            <v>KHA</v>
          </cell>
          <cell r="H39" t="str">
            <v>Nhóm 7</v>
          </cell>
        </row>
        <row r="40">
          <cell r="G40" t="str">
            <v>KTM</v>
          </cell>
          <cell r="H40" t="str">
            <v>Nhóm 6</v>
          </cell>
        </row>
        <row r="41">
          <cell r="G41" t="str">
            <v>LDG</v>
          </cell>
          <cell r="H41" t="str">
            <v>Nhóm 7</v>
          </cell>
        </row>
        <row r="42">
          <cell r="G42" t="str">
            <v>NTN</v>
          </cell>
          <cell r="H42" t="str">
            <v>Nhóm 7</v>
          </cell>
        </row>
        <row r="43">
          <cell r="G43" t="str">
            <v>PYN</v>
          </cell>
          <cell r="H43" t="str">
            <v>Nhóm 7</v>
          </cell>
        </row>
        <row r="44">
          <cell r="G44" t="str">
            <v>QNI</v>
          </cell>
          <cell r="H44" t="str">
            <v>Nhóm 6</v>
          </cell>
        </row>
        <row r="45">
          <cell r="G45" t="str">
            <v>QNM</v>
          </cell>
          <cell r="H45" t="str">
            <v>Nhóm 6</v>
          </cell>
        </row>
        <row r="46">
          <cell r="G46" t="str">
            <v>QTI</v>
          </cell>
          <cell r="H46" t="str">
            <v>Nhóm 5</v>
          </cell>
        </row>
        <row r="47">
          <cell r="G47" t="str">
            <v>TTH</v>
          </cell>
          <cell r="H47" t="str">
            <v>Nhóm 5</v>
          </cell>
        </row>
        <row r="48">
          <cell r="G48" t="str">
            <v>BDG</v>
          </cell>
          <cell r="H48" t="str">
            <v>Nhóm 9</v>
          </cell>
        </row>
        <row r="49">
          <cell r="G49" t="str">
            <v>BPC</v>
          </cell>
          <cell r="H49" t="str">
            <v>Nhóm 7</v>
          </cell>
        </row>
        <row r="50">
          <cell r="G50" t="str">
            <v>DNI</v>
          </cell>
          <cell r="H50" t="str">
            <v>Nhóm 9</v>
          </cell>
        </row>
        <row r="51">
          <cell r="G51" t="str">
            <v>TNH</v>
          </cell>
          <cell r="H51" t="str">
            <v>Nhóm 6</v>
          </cell>
        </row>
        <row r="52">
          <cell r="G52" t="str">
            <v>VTU</v>
          </cell>
          <cell r="H52" t="str">
            <v>Nhóm 9</v>
          </cell>
        </row>
        <row r="53">
          <cell r="G53" t="str">
            <v>AGG</v>
          </cell>
          <cell r="H53" t="str">
            <v>Nhóm 8</v>
          </cell>
        </row>
        <row r="54">
          <cell r="G54" t="str">
            <v>BLU</v>
          </cell>
          <cell r="H54" t="str">
            <v>Nhóm 8</v>
          </cell>
        </row>
        <row r="55">
          <cell r="G55" t="str">
            <v>CMU</v>
          </cell>
          <cell r="H55" t="str">
            <v>Nhóm 8</v>
          </cell>
        </row>
        <row r="56">
          <cell r="G56" t="str">
            <v>CTO</v>
          </cell>
          <cell r="H56" t="str">
            <v>Nhóm 8</v>
          </cell>
        </row>
        <row r="57">
          <cell r="G57" t="str">
            <v>HUG</v>
          </cell>
          <cell r="H57" t="str">
            <v>Nhóm 8</v>
          </cell>
        </row>
        <row r="58">
          <cell r="G58" t="str">
            <v>KGG</v>
          </cell>
          <cell r="H58" t="str">
            <v>Nhóm 8</v>
          </cell>
        </row>
        <row r="59">
          <cell r="G59" t="str">
            <v>STG</v>
          </cell>
          <cell r="H59" t="str">
            <v>Nhóm 8</v>
          </cell>
        </row>
        <row r="60">
          <cell r="G60" t="str">
            <v>BTE</v>
          </cell>
          <cell r="H60" t="str">
            <v>Nhóm 8</v>
          </cell>
        </row>
        <row r="61">
          <cell r="G61" t="str">
            <v>DTP</v>
          </cell>
          <cell r="H61" t="str">
            <v>Nhóm 8</v>
          </cell>
        </row>
        <row r="62">
          <cell r="G62" t="str">
            <v>LAN</v>
          </cell>
          <cell r="H62" t="str">
            <v>Nhóm 9</v>
          </cell>
        </row>
        <row r="63">
          <cell r="G63" t="str">
            <v>TGG</v>
          </cell>
          <cell r="H63" t="str">
            <v>Nhóm 8</v>
          </cell>
        </row>
        <row r="64">
          <cell r="G64" t="str">
            <v>TVH</v>
          </cell>
          <cell r="H64" t="str">
            <v>Nhóm 8</v>
          </cell>
        </row>
        <row r="65">
          <cell r="G65" t="str">
            <v>VLG</v>
          </cell>
          <cell r="H65" t="str">
            <v>Nhóm 8</v>
          </cell>
        </row>
        <row r="66">
          <cell r="G66" t="str">
            <v>HCM</v>
          </cell>
          <cell r="H66" t="str">
            <v>Nhóm 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Tra he so"/>
      <sheetName val="GPMB"/>
      <sheetName val="Truot gia"/>
      <sheetName val="Giả định"/>
      <sheetName val="KH trả nợ"/>
      <sheetName val="THKP PA2"/>
      <sheetName val="B2. Doanh Thu"/>
      <sheetName val="Bảng tiến độ giải ngân"/>
      <sheetName val="TIPV"/>
      <sheetName val="EPV"/>
      <sheetName val="Sheet1"/>
      <sheetName val="WACC"/>
      <sheetName val="Sheet2"/>
      <sheetName val="BANG 3. DOANH THU"/>
      <sheetName val="Bảng 5 PT HQDA VCSH "/>
    </sheetNames>
    <sheetDataSet>
      <sheetData sheetId="0"/>
      <sheetData sheetId="1"/>
      <sheetData sheetId="2"/>
      <sheetData sheetId="3"/>
      <sheetData sheetId="4">
        <row r="10">
          <cell r="E10">
            <v>0.12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hnx.vn/vi-vn/trai-phieu.html" TargetMode="External"/><Relationship Id="rId2" Type="http://schemas.openxmlformats.org/officeDocument/2006/relationships/hyperlink" Target="http://pages.stern.nyu.edu/~adamodar/New_Home_Page/datafile/ctryprem.html" TargetMode="External"/><Relationship Id="rId1" Type="http://schemas.openxmlformats.org/officeDocument/2006/relationships/hyperlink" Target="http://pages.stern.nyu.edu/~adamodar/New_Home_Page/datafile/Beta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pageSetUpPr fitToPage="1"/>
  </sheetPr>
  <dimension ref="A1:AV102"/>
  <sheetViews>
    <sheetView tabSelected="1" zoomScale="85" zoomScaleNormal="85" zoomScaleSheetLayoutView="85" workbookViewId="0">
      <selection activeCell="B6" sqref="B6:N6"/>
    </sheetView>
  </sheetViews>
  <sheetFormatPr defaultColWidth="9.140625" defaultRowHeight="15"/>
  <cols>
    <col min="1" max="1" width="4.85546875" style="2" customWidth="1"/>
    <col min="2" max="2" width="10" style="2" customWidth="1"/>
    <col min="3" max="3" width="16.42578125" style="2" customWidth="1"/>
    <col min="4" max="4" width="57.85546875" style="2" customWidth="1"/>
    <col min="5" max="5" width="15" style="2" customWidth="1"/>
    <col min="6" max="6" width="12.140625" style="2" customWidth="1"/>
    <col min="7" max="7" width="22.140625" style="2" customWidth="1"/>
    <col min="8" max="8" width="13.7109375" style="2" customWidth="1"/>
    <col min="9" max="9" width="19.140625" style="2" customWidth="1"/>
    <col min="10" max="10" width="10" style="2" customWidth="1"/>
    <col min="11" max="11" width="13" style="2" customWidth="1"/>
    <col min="12" max="12" width="19.7109375" style="2" customWidth="1"/>
    <col min="13" max="13" width="24.85546875" style="2" customWidth="1"/>
    <col min="14" max="14" width="14" style="2" customWidth="1"/>
    <col min="15" max="15" width="9.140625" style="2"/>
    <col min="16" max="16" width="16.42578125" style="2" customWidth="1"/>
    <col min="17" max="17" width="28.7109375" style="2" customWidth="1"/>
    <col min="18" max="18" width="29.140625" style="218" customWidth="1"/>
    <col min="19" max="19" width="15.42578125" style="272" customWidth="1"/>
    <col min="20" max="16384" width="9.140625" style="2"/>
  </cols>
  <sheetData>
    <row r="1" spans="1:20">
      <c r="A1" s="635"/>
      <c r="B1" s="712" t="s">
        <v>439</v>
      </c>
      <c r="C1" s="712"/>
      <c r="D1" s="712"/>
      <c r="E1" s="712"/>
      <c r="F1" s="712"/>
      <c r="G1" s="712"/>
      <c r="H1" s="712"/>
      <c r="I1" s="712"/>
      <c r="J1" s="712"/>
      <c r="K1" s="712"/>
      <c r="L1" s="712"/>
      <c r="M1" s="712"/>
      <c r="N1" s="712"/>
    </row>
    <row r="3" spans="1:20">
      <c r="B3" s="717" t="s">
        <v>435</v>
      </c>
      <c r="C3" s="717"/>
      <c r="D3" s="717"/>
      <c r="E3" s="345"/>
      <c r="F3" s="345"/>
      <c r="J3" s="344" t="s">
        <v>436</v>
      </c>
      <c r="K3" s="344"/>
      <c r="L3" s="344"/>
      <c r="M3" s="344"/>
      <c r="N3" s="344"/>
    </row>
    <row r="4" spans="1:20">
      <c r="B4" s="718"/>
      <c r="C4" s="718"/>
      <c r="D4" s="718"/>
      <c r="E4" s="395"/>
      <c r="F4" s="395"/>
      <c r="J4" s="344" t="s">
        <v>437</v>
      </c>
      <c r="K4" s="344"/>
      <c r="L4" s="344"/>
      <c r="M4" s="344"/>
      <c r="N4" s="344"/>
    </row>
    <row r="6" spans="1:20">
      <c r="B6" s="712" t="s">
        <v>337</v>
      </c>
      <c r="C6" s="712"/>
      <c r="D6" s="712"/>
      <c r="E6" s="712"/>
      <c r="F6" s="712"/>
      <c r="G6" s="712"/>
      <c r="H6" s="712"/>
      <c r="I6" s="712"/>
      <c r="J6" s="712"/>
      <c r="K6" s="712"/>
      <c r="L6" s="712"/>
      <c r="M6" s="712"/>
      <c r="N6" s="712"/>
      <c r="P6" s="2" t="s">
        <v>614</v>
      </c>
      <c r="Q6" s="2" t="s">
        <v>610</v>
      </c>
      <c r="S6" s="340" t="s">
        <v>610</v>
      </c>
    </row>
    <row r="7" spans="1:20">
      <c r="S7" s="340" t="s">
        <v>611</v>
      </c>
    </row>
    <row r="8" spans="1:20">
      <c r="B8" s="2" t="s">
        <v>338</v>
      </c>
      <c r="C8" s="88" t="s">
        <v>1470</v>
      </c>
      <c r="S8" s="340" t="s">
        <v>535</v>
      </c>
    </row>
    <row r="9" spans="1:20">
      <c r="C9" s="88" t="s">
        <v>1469</v>
      </c>
    </row>
    <row r="11" spans="1:20" ht="23.25" customHeight="1">
      <c r="B11" s="719" t="s">
        <v>1468</v>
      </c>
      <c r="C11" s="719"/>
      <c r="D11" s="719"/>
      <c r="E11" s="719"/>
      <c r="F11" s="719"/>
      <c r="G11" s="719"/>
      <c r="H11" s="719"/>
      <c r="I11" s="719"/>
      <c r="J11" s="719"/>
      <c r="K11" s="719"/>
      <c r="L11" s="719"/>
      <c r="M11" s="719"/>
      <c r="N11" s="719"/>
    </row>
    <row r="13" spans="1:20">
      <c r="B13" s="4" t="s">
        <v>358</v>
      </c>
      <c r="C13" s="99" t="s">
        <v>89</v>
      </c>
      <c r="D13" s="703" t="s">
        <v>1814</v>
      </c>
      <c r="E13" s="254" t="s">
        <v>1464</v>
      </c>
      <c r="F13" s="275">
        <v>109.229451</v>
      </c>
      <c r="G13" s="4" t="s">
        <v>352</v>
      </c>
      <c r="H13" s="705">
        <v>42</v>
      </c>
      <c r="I13" s="4" t="s">
        <v>1815</v>
      </c>
      <c r="J13" s="99">
        <v>4</v>
      </c>
    </row>
    <row r="14" spans="1:20">
      <c r="C14" s="2" t="str">
        <f>HLOOKUP(C13,Capex_VCC!D3:BO4,2,0)</f>
        <v>Nhóm 7</v>
      </c>
      <c r="E14" s="254" t="s">
        <v>1465</v>
      </c>
      <c r="F14" s="275">
        <v>13.428889</v>
      </c>
      <c r="G14" s="4" t="s">
        <v>1817</v>
      </c>
      <c r="H14" s="706">
        <v>100</v>
      </c>
      <c r="I14" s="4" t="s">
        <v>1819</v>
      </c>
      <c r="J14" s="99" t="s">
        <v>1818</v>
      </c>
      <c r="K14" s="4" t="s">
        <v>1816</v>
      </c>
      <c r="L14" s="711">
        <v>4</v>
      </c>
      <c r="M14" s="4" t="s">
        <v>1820</v>
      </c>
      <c r="N14" s="99">
        <v>50</v>
      </c>
      <c r="O14" s="2" t="s">
        <v>455</v>
      </c>
      <c r="P14" s="2" t="s">
        <v>614</v>
      </c>
      <c r="Q14" s="99" t="s">
        <v>611</v>
      </c>
    </row>
    <row r="15" spans="1:20">
      <c r="B15" s="4" t="s">
        <v>1821</v>
      </c>
      <c r="G15" s="709" t="s">
        <v>339</v>
      </c>
      <c r="H15" s="709" t="s">
        <v>340</v>
      </c>
      <c r="I15" s="709" t="s">
        <v>1811</v>
      </c>
      <c r="J15" s="709" t="s">
        <v>341</v>
      </c>
      <c r="K15" s="709" t="s">
        <v>342</v>
      </c>
      <c r="L15" s="344"/>
      <c r="M15" s="710" t="s">
        <v>343</v>
      </c>
      <c r="N15" s="710" t="s">
        <v>344</v>
      </c>
    </row>
    <row r="16" spans="1:20">
      <c r="D16" s="3">
        <v>1</v>
      </c>
      <c r="E16" s="91">
        <f>COUNTA(H16,K16,N16)</f>
        <v>1</v>
      </c>
      <c r="G16" s="99" t="s">
        <v>454</v>
      </c>
      <c r="H16" s="9" t="s">
        <v>1806</v>
      </c>
      <c r="I16" s="9" t="s">
        <v>1812</v>
      </c>
      <c r="J16" s="99" t="s">
        <v>1635</v>
      </c>
      <c r="K16" s="9"/>
      <c r="M16" s="99" t="s">
        <v>485</v>
      </c>
      <c r="N16" s="9"/>
      <c r="P16" s="145" t="s">
        <v>559</v>
      </c>
      <c r="Q16" s="99" t="s">
        <v>536</v>
      </c>
      <c r="R16" s="280"/>
      <c r="S16" s="341" t="s">
        <v>535</v>
      </c>
      <c r="T16" s="57"/>
    </row>
    <row r="17" spans="2:48">
      <c r="G17" s="99" t="s">
        <v>1754</v>
      </c>
      <c r="H17" s="707" t="s">
        <v>1813</v>
      </c>
      <c r="J17" s="2" t="s">
        <v>1645</v>
      </c>
      <c r="K17" s="101">
        <f>8300000/1.1</f>
        <v>7545454.5454545449</v>
      </c>
      <c r="M17" s="2" t="s">
        <v>1645</v>
      </c>
      <c r="N17" s="101"/>
      <c r="R17" s="280"/>
      <c r="S17" s="341" t="s">
        <v>536</v>
      </c>
      <c r="T17" s="57"/>
    </row>
    <row r="18" spans="2:48">
      <c r="B18" s="708" t="s">
        <v>360</v>
      </c>
      <c r="C18" s="280"/>
      <c r="D18" s="280"/>
      <c r="E18" s="280"/>
      <c r="F18" s="280"/>
      <c r="G18" s="280"/>
      <c r="H18" s="280"/>
      <c r="I18" s="280" t="s">
        <v>348</v>
      </c>
      <c r="J18" s="280"/>
      <c r="K18" s="280"/>
      <c r="L18" s="280"/>
      <c r="P18" s="2" t="s">
        <v>560</v>
      </c>
      <c r="Q18" s="99" t="s">
        <v>539</v>
      </c>
      <c r="R18" s="280"/>
      <c r="S18" s="342" t="s">
        <v>538</v>
      </c>
      <c r="T18" s="57"/>
    </row>
    <row r="19" spans="2:48">
      <c r="B19" s="280"/>
      <c r="C19" s="280"/>
      <c r="D19" s="280" t="s">
        <v>475</v>
      </c>
      <c r="E19" s="280" t="s">
        <v>345</v>
      </c>
      <c r="F19" s="280"/>
      <c r="G19" s="280"/>
      <c r="H19" s="280"/>
      <c r="I19" s="280"/>
      <c r="J19" s="280" t="s">
        <v>349</v>
      </c>
      <c r="K19" s="280"/>
      <c r="L19" s="280"/>
      <c r="R19" s="280"/>
      <c r="S19" s="342" t="s">
        <v>541</v>
      </c>
      <c r="T19" s="57"/>
    </row>
    <row r="20" spans="2:48">
      <c r="B20" s="280"/>
      <c r="C20" s="280"/>
      <c r="D20" s="280"/>
      <c r="E20" s="280" t="s">
        <v>346</v>
      </c>
      <c r="F20" s="280"/>
      <c r="G20" s="280"/>
      <c r="H20" s="280"/>
      <c r="I20" s="280"/>
      <c r="J20" s="280" t="s">
        <v>350</v>
      </c>
      <c r="K20" s="280"/>
      <c r="L20" s="280"/>
      <c r="P20" s="2" t="s">
        <v>403</v>
      </c>
      <c r="Q20" s="99" t="s">
        <v>613</v>
      </c>
      <c r="R20" s="280"/>
      <c r="S20" s="342" t="s">
        <v>542</v>
      </c>
      <c r="T20" s="57"/>
    </row>
    <row r="21" spans="2:48">
      <c r="B21" s="280"/>
      <c r="C21" s="280"/>
      <c r="D21" s="280"/>
      <c r="E21" s="280" t="s">
        <v>347</v>
      </c>
      <c r="F21" s="280"/>
      <c r="G21" s="280"/>
      <c r="H21" s="280"/>
      <c r="I21" s="280"/>
      <c r="J21" s="280" t="s">
        <v>351</v>
      </c>
      <c r="K21" s="280"/>
      <c r="L21" s="280"/>
      <c r="R21" s="280"/>
      <c r="S21" s="342" t="s">
        <v>539</v>
      </c>
      <c r="T21" s="57"/>
    </row>
    <row r="22" spans="2:48" ht="15" customHeight="1">
      <c r="B22" s="4" t="s">
        <v>1822</v>
      </c>
      <c r="E22" s="99" t="s">
        <v>385</v>
      </c>
      <c r="F22" s="107" t="s">
        <v>1246</v>
      </c>
      <c r="G22" s="345"/>
      <c r="H22" s="197">
        <f>+VLOOKUP(Q22,'Tỷ lệ giao khoán'!M:N,2,0)</f>
        <v>0</v>
      </c>
      <c r="M22" s="2">
        <v>10</v>
      </c>
      <c r="Q22" s="2" t="str">
        <f>+CONCATENATE(C13,Q14,Q20)</f>
        <v>BTNMiền núitrạm BTS</v>
      </c>
      <c r="R22" s="280"/>
      <c r="S22" s="342" t="s">
        <v>540</v>
      </c>
      <c r="T22" s="57"/>
    </row>
    <row r="23" spans="2:48">
      <c r="B23" s="4" t="s">
        <v>1823</v>
      </c>
      <c r="F23" s="2" t="s">
        <v>1247</v>
      </c>
      <c r="H23" s="702">
        <v>1.0835792354430791</v>
      </c>
      <c r="J23" s="65"/>
      <c r="R23" s="280"/>
      <c r="S23" s="341" t="s">
        <v>613</v>
      </c>
      <c r="T23" s="57"/>
    </row>
    <row r="24" spans="2:48">
      <c r="B24" s="4" t="s">
        <v>1824</v>
      </c>
      <c r="E24" s="99">
        <v>10</v>
      </c>
      <c r="G24" s="2" t="s">
        <v>1644</v>
      </c>
      <c r="H24" s="2" t="s">
        <v>1446</v>
      </c>
      <c r="J24" s="65"/>
      <c r="P24" s="90"/>
      <c r="Q24" s="2" t="s">
        <v>438</v>
      </c>
      <c r="R24" s="218">
        <v>10</v>
      </c>
      <c r="S24" s="272" t="s">
        <v>612</v>
      </c>
    </row>
    <row r="25" spans="2:48">
      <c r="B25" s="217" t="s">
        <v>1825</v>
      </c>
      <c r="E25" s="99" t="s">
        <v>1810</v>
      </c>
      <c r="G25" s="101">
        <f>+H25*H23</f>
        <v>4687997.0495094918</v>
      </c>
      <c r="H25" s="539">
        <f>+'Chào giá'!J31</f>
        <v>4326399.8572218437</v>
      </c>
      <c r="J25" s="279"/>
      <c r="P25" s="89"/>
      <c r="Q25" s="2" t="s">
        <v>432</v>
      </c>
      <c r="R25" s="218">
        <v>15</v>
      </c>
      <c r="S25" s="272" t="s">
        <v>747</v>
      </c>
    </row>
    <row r="26" spans="2:48">
      <c r="P26" s="218"/>
      <c r="Q26" s="218"/>
      <c r="T26" s="218"/>
      <c r="U26" s="218"/>
    </row>
    <row r="27" spans="2:48">
      <c r="B27" s="397" t="s">
        <v>238</v>
      </c>
      <c r="C27" s="100" t="s">
        <v>353</v>
      </c>
      <c r="D27" s="397" t="s">
        <v>361</v>
      </c>
      <c r="E27" s="397"/>
      <c r="F27" s="397"/>
      <c r="G27" s="397"/>
      <c r="H27" s="397" t="s">
        <v>354</v>
      </c>
      <c r="I27" s="389" t="s">
        <v>356</v>
      </c>
      <c r="J27" s="390"/>
      <c r="K27" s="397" t="s">
        <v>357</v>
      </c>
      <c r="L27" s="453" t="s">
        <v>242</v>
      </c>
      <c r="M27" s="454"/>
      <c r="N27" s="397" t="s">
        <v>355</v>
      </c>
      <c r="P27" s="218"/>
      <c r="Q27" s="218"/>
      <c r="T27" s="218"/>
      <c r="U27" s="218"/>
      <c r="V27" s="272"/>
      <c r="W27" s="272"/>
      <c r="X27" s="272"/>
      <c r="Y27" s="272"/>
      <c r="Z27" s="272"/>
      <c r="AA27" s="272"/>
      <c r="AB27" s="272"/>
      <c r="AC27" s="272"/>
      <c r="AD27" s="272"/>
      <c r="AE27" s="272"/>
      <c r="AF27" s="272"/>
      <c r="AG27" s="272"/>
      <c r="AH27" s="272"/>
      <c r="AI27" s="272"/>
      <c r="AJ27" s="272"/>
      <c r="AK27" s="272"/>
      <c r="AL27" s="272"/>
      <c r="AM27" s="272"/>
      <c r="AN27" s="272"/>
      <c r="AO27" s="272"/>
      <c r="AP27" s="272"/>
      <c r="AQ27" s="272"/>
      <c r="AR27" s="272"/>
      <c r="AS27" s="272"/>
      <c r="AT27" s="272"/>
      <c r="AU27" s="272"/>
      <c r="AV27" s="272"/>
    </row>
    <row r="28" spans="2:48">
      <c r="B28" s="397" t="s">
        <v>0</v>
      </c>
      <c r="C28" s="385" t="s">
        <v>426</v>
      </c>
      <c r="D28" s="386"/>
      <c r="E28" s="386"/>
      <c r="F28" s="386"/>
      <c r="G28" s="386"/>
      <c r="H28" s="386"/>
      <c r="I28" s="386"/>
      <c r="J28" s="386"/>
      <c r="K28" s="386"/>
      <c r="L28" s="386"/>
      <c r="M28" s="386"/>
      <c r="N28" s="387"/>
      <c r="P28" s="218"/>
      <c r="Q28" s="145"/>
      <c r="S28" s="272" t="s">
        <v>423</v>
      </c>
      <c r="T28" s="218"/>
      <c r="U28" s="218"/>
      <c r="V28" s="272"/>
      <c r="W28" s="272"/>
      <c r="X28" s="272"/>
      <c r="Y28" s="272"/>
      <c r="Z28" s="272"/>
      <c r="AA28" s="272"/>
      <c r="AB28" s="272"/>
      <c r="AC28" s="272"/>
      <c r="AD28" s="272"/>
      <c r="AE28" s="272"/>
      <c r="AF28" s="272"/>
      <c r="AG28" s="272"/>
      <c r="AH28" s="272"/>
      <c r="AI28" s="272"/>
      <c r="AJ28" s="272"/>
      <c r="AK28" s="272"/>
      <c r="AL28" s="272"/>
      <c r="AM28" s="272"/>
      <c r="AN28" s="272"/>
      <c r="AO28" s="272"/>
      <c r="AP28" s="272"/>
      <c r="AQ28" s="272"/>
      <c r="AR28" s="272"/>
      <c r="AS28" s="272"/>
      <c r="AT28" s="272"/>
      <c r="AU28" s="272"/>
      <c r="AV28" s="272"/>
    </row>
    <row r="29" spans="2:48" ht="15.6" customHeight="1">
      <c r="B29" s="7">
        <v>1</v>
      </c>
      <c r="C29" s="113" t="s">
        <v>362</v>
      </c>
      <c r="D29" s="381" t="str">
        <f>Capex_VCC!B215</f>
        <v>Chi phí xin phép thi công trạm</v>
      </c>
      <c r="E29" s="382"/>
      <c r="F29" s="382"/>
      <c r="G29" s="383"/>
      <c r="H29" s="113" t="s">
        <v>422</v>
      </c>
      <c r="I29" s="391">
        <f>HLOOKUP(C13,Capex_VCC!D3:BO215,'Template tram'!S30,0)</f>
        <v>10140000</v>
      </c>
      <c r="J29" s="392"/>
      <c r="K29" s="689">
        <v>0</v>
      </c>
      <c r="L29" s="455">
        <f>+I29*K29</f>
        <v>0</v>
      </c>
      <c r="M29" s="456"/>
      <c r="N29" s="113"/>
      <c r="P29" s="218"/>
      <c r="Q29" s="145" t="s">
        <v>1810</v>
      </c>
      <c r="T29" s="218"/>
      <c r="U29" s="218"/>
      <c r="V29" s="272"/>
      <c r="W29" s="272"/>
      <c r="X29" s="272"/>
      <c r="Y29" s="272"/>
      <c r="Z29" s="272"/>
      <c r="AA29" s="272"/>
      <c r="AB29" s="272"/>
      <c r="AC29" s="272"/>
      <c r="AD29" s="272"/>
      <c r="AE29" s="272"/>
      <c r="AF29" s="272"/>
      <c r="AG29" s="272"/>
      <c r="AH29" s="272"/>
      <c r="AI29" s="272"/>
      <c r="AJ29" s="272"/>
      <c r="AK29" s="272"/>
      <c r="AL29" s="272"/>
      <c r="AM29" s="272"/>
      <c r="AN29" s="272"/>
      <c r="AO29" s="272"/>
      <c r="AP29" s="272"/>
      <c r="AQ29" s="272"/>
      <c r="AR29" s="272"/>
      <c r="AS29" s="272"/>
      <c r="AT29" s="272"/>
      <c r="AU29" s="272"/>
      <c r="AV29" s="272"/>
    </row>
    <row r="30" spans="2:48" ht="15.6" customHeight="1">
      <c r="B30" s="7">
        <v>2</v>
      </c>
      <c r="C30" s="701" t="s">
        <v>363</v>
      </c>
      <c r="D30" s="704" t="s">
        <v>1454</v>
      </c>
      <c r="E30" s="384"/>
      <c r="F30" s="384"/>
      <c r="G30" s="384"/>
      <c r="H30" s="113" t="s">
        <v>422</v>
      </c>
      <c r="I30" s="393">
        <f>HLOOKUP($C$13,Capex_VCC!$B$3:$BW$218,'Template tram'!S31,0)</f>
        <v>19354690</v>
      </c>
      <c r="J30" s="394"/>
      <c r="K30" s="689">
        <v>1</v>
      </c>
      <c r="L30" s="455">
        <f>+I30*K30</f>
        <v>19354690</v>
      </c>
      <c r="M30" s="456"/>
      <c r="N30" s="222"/>
      <c r="P30" s="218"/>
      <c r="Q30" s="145" t="s">
        <v>1809</v>
      </c>
      <c r="S30" s="272">
        <f>VLOOKUP(D29,Capex_VCC!B:D,2,0)</f>
        <v>213</v>
      </c>
      <c r="T30" s="218"/>
      <c r="U30" s="218"/>
      <c r="V30" s="272"/>
      <c r="W30" s="272"/>
      <c r="X30" s="272"/>
      <c r="Y30" s="272"/>
      <c r="Z30" s="272"/>
      <c r="AA30" s="272"/>
      <c r="AB30" s="272"/>
      <c r="AC30" s="272"/>
      <c r="AD30" s="272"/>
      <c r="AE30" s="272"/>
      <c r="AF30" s="272"/>
      <c r="AG30" s="272"/>
      <c r="AH30" s="272"/>
      <c r="AI30" s="272"/>
      <c r="AJ30" s="272"/>
      <c r="AK30" s="272"/>
      <c r="AL30" s="272"/>
      <c r="AM30" s="272"/>
      <c r="AN30" s="272"/>
      <c r="AO30" s="272"/>
      <c r="AP30" s="272"/>
      <c r="AQ30" s="272"/>
      <c r="AR30" s="272"/>
      <c r="AS30" s="272"/>
      <c r="AT30" s="272"/>
      <c r="AU30" s="272"/>
      <c r="AV30" s="272"/>
    </row>
    <row r="31" spans="2:48" ht="15.6" customHeight="1">
      <c r="B31" s="7">
        <v>3</v>
      </c>
      <c r="C31" s="112" t="s">
        <v>45</v>
      </c>
      <c r="D31" s="704" t="s">
        <v>160</v>
      </c>
      <c r="E31" s="384"/>
      <c r="F31" s="384"/>
      <c r="G31" s="384"/>
      <c r="H31" s="113" t="s">
        <v>422</v>
      </c>
      <c r="I31" s="393">
        <f>HLOOKUP($C$13,Capex_VCC!$B$3:$BW$218,'Template tram'!S32,0)</f>
        <v>40039766.573443606</v>
      </c>
      <c r="J31" s="394"/>
      <c r="K31" s="689">
        <v>1</v>
      </c>
      <c r="L31" s="455">
        <f>+I31*K31</f>
        <v>40039766.573443606</v>
      </c>
      <c r="M31" s="456"/>
      <c r="N31" s="113"/>
      <c r="P31" s="218"/>
      <c r="Q31" s="218"/>
      <c r="S31" s="272">
        <f>VLOOKUP(D30,Capex_VCC!B:D,2,0)</f>
        <v>17</v>
      </c>
      <c r="T31" s="218"/>
      <c r="U31" s="218"/>
      <c r="V31" s="272"/>
      <c r="W31" s="272"/>
      <c r="X31" s="272"/>
      <c r="Y31" s="272"/>
      <c r="Z31" s="272"/>
      <c r="AA31" s="272"/>
      <c r="AB31" s="272"/>
      <c r="AC31" s="272"/>
      <c r="AD31" s="272"/>
      <c r="AE31" s="272"/>
      <c r="AF31" s="272"/>
      <c r="AG31" s="272"/>
      <c r="AH31" s="272"/>
      <c r="AI31" s="272"/>
      <c r="AJ31" s="272"/>
      <c r="AK31" s="272"/>
      <c r="AL31" s="272"/>
      <c r="AM31" s="272"/>
      <c r="AN31" s="272"/>
      <c r="AO31" s="272"/>
      <c r="AP31" s="272"/>
      <c r="AQ31" s="272"/>
      <c r="AR31" s="272"/>
      <c r="AS31" s="272"/>
      <c r="AT31" s="272"/>
      <c r="AU31" s="272"/>
      <c r="AV31" s="272"/>
    </row>
    <row r="32" spans="2:48" ht="15.6" customHeight="1">
      <c r="B32" s="7">
        <v>4</v>
      </c>
      <c r="C32" s="112" t="s">
        <v>364</v>
      </c>
      <c r="D32" s="704" t="s">
        <v>1453</v>
      </c>
      <c r="E32" s="388"/>
      <c r="F32" s="388"/>
      <c r="G32" s="388"/>
      <c r="H32" s="113" t="s">
        <v>422</v>
      </c>
      <c r="I32" s="393">
        <f>HLOOKUP($C$13,Capex_VCC!$B$3:$BW$218,'Template tram'!S33,0)</f>
        <v>31674977</v>
      </c>
      <c r="J32" s="394"/>
      <c r="K32" s="689">
        <v>1</v>
      </c>
      <c r="L32" s="455">
        <f>+I32*K32</f>
        <v>31674977</v>
      </c>
      <c r="M32" s="456"/>
      <c r="N32" s="222"/>
      <c r="P32" s="218"/>
      <c r="Q32" s="218"/>
      <c r="S32" s="272">
        <f>VLOOKUP(D31,Capex_VCC!B:D,2,0)</f>
        <v>81</v>
      </c>
      <c r="T32" s="218"/>
      <c r="U32" s="218"/>
      <c r="V32" s="272"/>
      <c r="W32" s="272"/>
      <c r="X32" s="272"/>
      <c r="Y32" s="272"/>
      <c r="Z32" s="272"/>
      <c r="AA32" s="272"/>
      <c r="AB32" s="272"/>
      <c r="AC32" s="272"/>
      <c r="AD32" s="272"/>
      <c r="AE32" s="272"/>
      <c r="AF32" s="272"/>
      <c r="AG32" s="272"/>
      <c r="AH32" s="272"/>
      <c r="AI32" s="272"/>
      <c r="AJ32" s="272"/>
      <c r="AK32" s="272"/>
      <c r="AL32" s="272"/>
      <c r="AM32" s="272"/>
      <c r="AN32" s="272"/>
      <c r="AO32" s="272"/>
      <c r="AP32" s="272"/>
      <c r="AQ32" s="272"/>
      <c r="AR32" s="272"/>
      <c r="AS32" s="272"/>
      <c r="AT32" s="272"/>
      <c r="AU32" s="272"/>
      <c r="AV32" s="272"/>
    </row>
    <row r="33" spans="2:48" ht="15.6" customHeight="1">
      <c r="B33" s="7">
        <v>5</v>
      </c>
      <c r="C33" s="701" t="s">
        <v>365</v>
      </c>
      <c r="D33" s="704" t="s">
        <v>479</v>
      </c>
      <c r="E33" s="388"/>
      <c r="F33" s="388"/>
      <c r="G33" s="388"/>
      <c r="H33" s="113" t="s">
        <v>422</v>
      </c>
      <c r="I33" s="393">
        <f>HLOOKUP($C$13,Capex_VCC!$B$3:$BW$218,'Template tram'!S34,0)</f>
        <v>25223472</v>
      </c>
      <c r="J33" s="394"/>
      <c r="K33" s="689">
        <v>1</v>
      </c>
      <c r="L33" s="455">
        <f>+I33*K33</f>
        <v>25223472</v>
      </c>
      <c r="M33" s="456"/>
      <c r="N33" s="113"/>
      <c r="P33" s="218"/>
      <c r="Q33" s="218"/>
      <c r="S33" s="272">
        <f>VLOOKUP(D32,Capex_VCC!B:D,2,0)</f>
        <v>73</v>
      </c>
      <c r="T33" s="218"/>
      <c r="U33" s="218"/>
      <c r="V33" s="272"/>
      <c r="W33" s="272"/>
      <c r="X33" s="272"/>
      <c r="Y33" s="272"/>
      <c r="Z33" s="272"/>
      <c r="AA33" s="272"/>
      <c r="AB33" s="272"/>
      <c r="AC33" s="272"/>
      <c r="AD33" s="272"/>
      <c r="AE33" s="272"/>
      <c r="AF33" s="272"/>
      <c r="AG33" s="272"/>
      <c r="AH33" s="272"/>
      <c r="AI33" s="272"/>
      <c r="AJ33" s="272"/>
      <c r="AK33" s="272"/>
      <c r="AL33" s="272"/>
      <c r="AM33" s="272"/>
      <c r="AN33" s="272"/>
      <c r="AO33" s="272"/>
      <c r="AP33" s="272"/>
      <c r="AQ33" s="272"/>
      <c r="AR33" s="272"/>
      <c r="AS33" s="272"/>
      <c r="AT33" s="272"/>
      <c r="AU33" s="272"/>
      <c r="AV33" s="272"/>
    </row>
    <row r="34" spans="2:48" ht="15.6" customHeight="1">
      <c r="B34" s="7">
        <v>6</v>
      </c>
      <c r="C34" s="701" t="s">
        <v>113</v>
      </c>
      <c r="D34" s="704" t="s">
        <v>115</v>
      </c>
      <c r="E34" s="384"/>
      <c r="F34" s="384"/>
      <c r="G34" s="384"/>
      <c r="H34" s="113" t="s">
        <v>422</v>
      </c>
      <c r="I34" s="393">
        <f>HLOOKUP($C$13,Capex_VCC!$B$3:$BW$218,'Template tram'!S35,0)</f>
        <v>22449399.567492813</v>
      </c>
      <c r="J34" s="394"/>
      <c r="K34" s="689">
        <v>1</v>
      </c>
      <c r="L34" s="455">
        <f t="shared" ref="L34:L41" si="0">+I34*K34</f>
        <v>22449399.567492813</v>
      </c>
      <c r="M34" s="456"/>
      <c r="N34" s="113"/>
      <c r="P34" s="218"/>
      <c r="Q34" s="218"/>
      <c r="S34" s="272">
        <f>VLOOKUP(D33,Capex_VCC!B:D,2,0)</f>
        <v>124</v>
      </c>
      <c r="T34" s="218"/>
      <c r="U34" s="218"/>
      <c r="V34" s="272"/>
      <c r="W34" s="272"/>
      <c r="X34" s="272"/>
      <c r="Y34" s="272"/>
      <c r="Z34" s="272"/>
      <c r="AA34" s="272"/>
      <c r="AB34" s="272"/>
      <c r="AC34" s="272"/>
      <c r="AD34" s="272"/>
      <c r="AE34" s="272"/>
      <c r="AF34" s="272"/>
      <c r="AG34" s="272"/>
      <c r="AH34" s="272"/>
      <c r="AI34" s="272"/>
      <c r="AJ34" s="272"/>
      <c r="AK34" s="272"/>
      <c r="AL34" s="272"/>
      <c r="AM34" s="272"/>
      <c r="AN34" s="272"/>
      <c r="AO34" s="272"/>
      <c r="AP34" s="272"/>
      <c r="AQ34" s="272"/>
      <c r="AR34" s="272"/>
      <c r="AS34" s="272"/>
      <c r="AT34" s="272"/>
      <c r="AU34" s="272"/>
      <c r="AV34" s="272"/>
    </row>
    <row r="35" spans="2:48" ht="15.6" customHeight="1">
      <c r="B35" s="7">
        <v>7</v>
      </c>
      <c r="C35" s="701" t="s">
        <v>366</v>
      </c>
      <c r="D35" s="704" t="s">
        <v>453</v>
      </c>
      <c r="E35" s="384"/>
      <c r="F35" s="384"/>
      <c r="G35" s="384"/>
      <c r="H35" s="113" t="s">
        <v>422</v>
      </c>
      <c r="I35" s="393">
        <f>HLOOKUP($C$13,Capex_VCC!$B$3:$BW$218,'Template tram'!S36,0)</f>
        <v>15954717.119200006</v>
      </c>
      <c r="J35" s="394"/>
      <c r="K35" s="689">
        <v>1</v>
      </c>
      <c r="L35" s="455">
        <f t="shared" si="0"/>
        <v>15954717.119200006</v>
      </c>
      <c r="M35" s="456"/>
      <c r="N35" s="113"/>
      <c r="P35" s="218"/>
      <c r="Q35" s="218"/>
      <c r="S35" s="272">
        <f>VLOOKUP(D34,Capex_VCC!B:D,2,0)</f>
        <v>133</v>
      </c>
      <c r="T35" s="218"/>
      <c r="U35" s="218"/>
      <c r="V35" s="272"/>
      <c r="W35" s="272"/>
      <c r="X35" s="272"/>
      <c r="Y35" s="272"/>
      <c r="Z35" s="272"/>
      <c r="AA35" s="272"/>
      <c r="AB35" s="272"/>
      <c r="AC35" s="272"/>
      <c r="AD35" s="272"/>
      <c r="AE35" s="272"/>
      <c r="AF35" s="272"/>
      <c r="AG35" s="272"/>
      <c r="AH35" s="272"/>
      <c r="AI35" s="272"/>
      <c r="AJ35" s="272"/>
      <c r="AK35" s="272"/>
      <c r="AL35" s="272"/>
      <c r="AM35" s="272"/>
      <c r="AN35" s="272"/>
      <c r="AO35" s="272"/>
      <c r="AP35" s="272"/>
      <c r="AQ35" s="272"/>
      <c r="AR35" s="272"/>
      <c r="AS35" s="272"/>
      <c r="AT35" s="272"/>
      <c r="AU35" s="272"/>
      <c r="AV35" s="272"/>
    </row>
    <row r="36" spans="2:48" ht="15.6" customHeight="1">
      <c r="B36" s="7">
        <v>8</v>
      </c>
      <c r="C36" s="112" t="s">
        <v>367</v>
      </c>
      <c r="D36" s="704" t="s">
        <v>1796</v>
      </c>
      <c r="E36" s="388"/>
      <c r="F36" s="388"/>
      <c r="G36" s="388"/>
      <c r="H36" s="113" t="s">
        <v>422</v>
      </c>
      <c r="I36" s="393">
        <f>HLOOKUP($C$13,Capex_VCC!$B$3:$BW$218,'Template tram'!S37,0)</f>
        <v>11872233</v>
      </c>
      <c r="J36" s="394"/>
      <c r="K36" s="689">
        <v>1</v>
      </c>
      <c r="L36" s="455">
        <f t="shared" si="0"/>
        <v>11872233</v>
      </c>
      <c r="M36" s="456"/>
      <c r="N36" s="113"/>
      <c r="P36" s="218"/>
      <c r="Q36" s="218"/>
      <c r="S36" s="272">
        <f>VLOOKUP(D35,Capex_VCC!B:D,2,0)</f>
        <v>151</v>
      </c>
      <c r="T36" s="218"/>
      <c r="U36" s="218"/>
      <c r="V36" s="272"/>
      <c r="W36" s="272"/>
      <c r="X36" s="272"/>
      <c r="Y36" s="272"/>
      <c r="Z36" s="272"/>
      <c r="AA36" s="272"/>
      <c r="AB36" s="272"/>
      <c r="AC36" s="272"/>
      <c r="AD36" s="272"/>
      <c r="AE36" s="272"/>
      <c r="AF36" s="272"/>
      <c r="AG36" s="272"/>
      <c r="AH36" s="272"/>
      <c r="AI36" s="272"/>
      <c r="AJ36" s="272"/>
      <c r="AK36" s="272"/>
      <c r="AL36" s="272"/>
      <c r="AM36" s="272"/>
      <c r="AN36" s="272"/>
      <c r="AO36" s="272"/>
      <c r="AP36" s="272"/>
      <c r="AQ36" s="272"/>
      <c r="AR36" s="272"/>
      <c r="AS36" s="272"/>
      <c r="AT36" s="272"/>
      <c r="AU36" s="272"/>
      <c r="AV36" s="272"/>
    </row>
    <row r="37" spans="2:48" ht="15.6" customHeight="1">
      <c r="B37" s="7">
        <v>9</v>
      </c>
      <c r="C37" s="112" t="s">
        <v>368</v>
      </c>
      <c r="D37" s="704" t="s">
        <v>277</v>
      </c>
      <c r="E37" s="388"/>
      <c r="F37" s="388"/>
      <c r="G37" s="388"/>
      <c r="H37" s="115" t="s">
        <v>422</v>
      </c>
      <c r="I37" s="393">
        <f>HLOOKUP($C$13,Capex_VCC!$B$3:$BW$218,'Template tram'!S38,0)</f>
        <v>0</v>
      </c>
      <c r="J37" s="394"/>
      <c r="K37" s="689">
        <v>1</v>
      </c>
      <c r="L37" s="457">
        <f>+I37*K37</f>
        <v>0</v>
      </c>
      <c r="M37" s="458"/>
      <c r="N37" s="113"/>
      <c r="P37" s="218"/>
      <c r="Q37" s="218"/>
      <c r="S37" s="272">
        <f>VLOOKUP(D36,Capex_VCC!B:D,2,0)</f>
        <v>167</v>
      </c>
      <c r="T37" s="218"/>
      <c r="U37" s="218"/>
      <c r="V37" s="272"/>
      <c r="W37" s="272"/>
      <c r="X37" s="272"/>
      <c r="Y37" s="272"/>
      <c r="Z37" s="272"/>
      <c r="AA37" s="272"/>
      <c r="AB37" s="272"/>
      <c r="AC37" s="272"/>
      <c r="AD37" s="272"/>
      <c r="AE37" s="272"/>
      <c r="AF37" s="272"/>
      <c r="AG37" s="272"/>
      <c r="AH37" s="272"/>
      <c r="AI37" s="272"/>
      <c r="AJ37" s="272"/>
      <c r="AK37" s="272"/>
      <c r="AL37" s="272"/>
      <c r="AM37" s="272"/>
      <c r="AN37" s="272"/>
      <c r="AO37" s="272"/>
      <c r="AP37" s="272"/>
      <c r="AQ37" s="272"/>
      <c r="AR37" s="272"/>
      <c r="AS37" s="272"/>
      <c r="AT37" s="272"/>
      <c r="AU37" s="272"/>
      <c r="AV37" s="272"/>
    </row>
    <row r="38" spans="2:48" ht="15.6" customHeight="1">
      <c r="B38" s="7">
        <v>10</v>
      </c>
      <c r="C38" s="112" t="s">
        <v>369</v>
      </c>
      <c r="D38" s="384" t="str">
        <f>+Capex_VCC!B216</f>
        <v>Chi phí đấu điện</v>
      </c>
      <c r="E38" s="384"/>
      <c r="F38" s="384"/>
      <c r="G38" s="384"/>
      <c r="H38" s="113" t="s">
        <v>422</v>
      </c>
      <c r="I38" s="393">
        <f>HLOOKUP($C$13,Capex_VCC!$B$3:$BW$218,'Template tram'!S39,0)</f>
        <v>2900000</v>
      </c>
      <c r="J38" s="357"/>
      <c r="K38" s="689">
        <v>1</v>
      </c>
      <c r="L38" s="455">
        <f t="shared" si="0"/>
        <v>2900000</v>
      </c>
      <c r="M38" s="456"/>
      <c r="N38" s="113"/>
      <c r="P38" s="218"/>
      <c r="Q38" s="218"/>
      <c r="S38" s="272">
        <f>VLOOKUP(D37,Capex_VCC!B:D,2,0)</f>
        <v>201</v>
      </c>
      <c r="T38" s="218"/>
      <c r="U38" s="218"/>
      <c r="V38" s="272"/>
      <c r="W38" s="272"/>
      <c r="X38" s="272"/>
      <c r="Y38" s="272"/>
      <c r="Z38" s="272"/>
      <c r="AA38" s="272"/>
      <c r="AB38" s="272"/>
      <c r="AC38" s="272"/>
      <c r="AD38" s="272"/>
      <c r="AE38" s="272"/>
      <c r="AF38" s="272"/>
      <c r="AG38" s="272"/>
      <c r="AH38" s="272"/>
      <c r="AI38" s="272"/>
      <c r="AJ38" s="272"/>
      <c r="AK38" s="272"/>
      <c r="AL38" s="272"/>
      <c r="AM38" s="272"/>
      <c r="AN38" s="272"/>
      <c r="AO38" s="272"/>
      <c r="AP38" s="272"/>
      <c r="AQ38" s="272"/>
      <c r="AR38" s="272"/>
      <c r="AS38" s="272"/>
      <c r="AT38" s="272"/>
      <c r="AU38" s="272"/>
      <c r="AV38" s="272"/>
    </row>
    <row r="39" spans="2:48" s="114" customFormat="1" ht="42" customHeight="1">
      <c r="B39" s="7">
        <v>11</v>
      </c>
      <c r="C39" s="92" t="s">
        <v>420</v>
      </c>
      <c r="D39" s="388" t="s">
        <v>215</v>
      </c>
      <c r="E39" s="388"/>
      <c r="F39" s="388"/>
      <c r="G39" s="388"/>
      <c r="H39" s="113" t="s">
        <v>422</v>
      </c>
      <c r="I39" s="393">
        <f>HLOOKUP($C$13,Capex_VCC!$B$3:$BW$218,'Template tram'!S40,0)</f>
        <v>2129342.2034322266</v>
      </c>
      <c r="J39" s="357"/>
      <c r="K39" s="689">
        <v>1</v>
      </c>
      <c r="L39" s="455">
        <f>+I39*K39</f>
        <v>2129342.2034322266</v>
      </c>
      <c r="M39" s="456"/>
      <c r="N39" s="113"/>
      <c r="P39" s="219"/>
      <c r="Q39" s="219"/>
      <c r="R39" s="219"/>
      <c r="S39" s="272">
        <f>VLOOKUP(D38,Capex_VCC!B:D,2,0)</f>
        <v>214</v>
      </c>
      <c r="T39" s="219"/>
      <c r="U39" s="219"/>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row>
    <row r="40" spans="2:48" s="114" customFormat="1" ht="52.5" customHeight="1">
      <c r="B40" s="7">
        <v>12</v>
      </c>
      <c r="C40" s="92" t="s">
        <v>421</v>
      </c>
      <c r="D40" s="388" t="s">
        <v>211</v>
      </c>
      <c r="E40" s="388"/>
      <c r="F40" s="388"/>
      <c r="G40" s="388"/>
      <c r="H40" s="113" t="s">
        <v>422</v>
      </c>
      <c r="I40" s="393">
        <f>HLOOKUP($C$13,Capex_VCC!$B$3:$BW$218,'Template tram'!S41,0)</f>
        <v>4423162.6695955256</v>
      </c>
      <c r="J40" s="357"/>
      <c r="K40" s="689">
        <v>1</v>
      </c>
      <c r="L40" s="455">
        <f>+I40*K40</f>
        <v>4423162.6695955256</v>
      </c>
      <c r="M40" s="456"/>
      <c r="N40" s="113"/>
      <c r="P40" s="219"/>
      <c r="Q40" s="219"/>
      <c r="R40" s="219"/>
      <c r="S40" s="273">
        <f>VLOOKUP(D39,Capex_VCC!B:D,2,0)</f>
        <v>206</v>
      </c>
      <c r="T40" s="219"/>
      <c r="U40" s="219"/>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row>
    <row r="41" spans="2:48" s="114" customFormat="1" ht="63" customHeight="1">
      <c r="B41" s="7">
        <v>14</v>
      </c>
      <c r="C41" s="112" t="s">
        <v>482</v>
      </c>
      <c r="D41" s="388" t="s">
        <v>216</v>
      </c>
      <c r="E41" s="388"/>
      <c r="F41" s="388"/>
      <c r="G41" s="388"/>
      <c r="H41" s="113" t="s">
        <v>422</v>
      </c>
      <c r="I41" s="393">
        <f>HLOOKUP($C$13,Capex_VCC!$B$3:$BW$218,'Template tram'!S42,0)</f>
        <v>9917487.2625932507</v>
      </c>
      <c r="J41" s="357"/>
      <c r="K41" s="689">
        <v>1</v>
      </c>
      <c r="L41" s="455">
        <f t="shared" si="0"/>
        <v>9917487.2625932507</v>
      </c>
      <c r="M41" s="456"/>
      <c r="N41" s="113"/>
      <c r="P41" s="219"/>
      <c r="Q41" s="219"/>
      <c r="R41" s="219"/>
      <c r="S41" s="273">
        <f>VLOOKUP(D40,Capex_VCC!B:D,2,0)</f>
        <v>208</v>
      </c>
      <c r="T41" s="219"/>
      <c r="U41" s="219"/>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row>
    <row r="42" spans="2:48" s="114" customFormat="1" ht="15" customHeight="1">
      <c r="B42" s="7">
        <v>15</v>
      </c>
      <c r="C42" s="112" t="s">
        <v>370</v>
      </c>
      <c r="D42" s="661" t="s">
        <v>1458</v>
      </c>
      <c r="E42" s="398"/>
      <c r="F42" s="398"/>
      <c r="G42" s="399"/>
      <c r="H42" s="113" t="s">
        <v>422</v>
      </c>
      <c r="I42" s="393">
        <f>HLOOKUP($C$13,Capex_VCC!$B$3:$BW$218,'Template tram'!S43,0)</f>
        <v>13000000</v>
      </c>
      <c r="J42" s="357"/>
      <c r="K42" s="689">
        <v>1</v>
      </c>
      <c r="L42" s="455">
        <f>+I42*K42</f>
        <v>13000000</v>
      </c>
      <c r="M42" s="456"/>
      <c r="N42" s="113"/>
      <c r="P42" s="219"/>
      <c r="Q42" s="219"/>
      <c r="R42" s="219"/>
      <c r="S42" s="273">
        <f>VLOOKUP(D41,Capex_VCC!B:D,2,0)</f>
        <v>210</v>
      </c>
      <c r="T42" s="219"/>
      <c r="U42" s="219"/>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row>
    <row r="43" spans="2:48" s="4" customFormat="1">
      <c r="B43" s="75">
        <v>16</v>
      </c>
      <c r="C43" s="402" t="s">
        <v>457</v>
      </c>
      <c r="D43" s="403"/>
      <c r="E43" s="403"/>
      <c r="F43" s="403"/>
      <c r="G43" s="404"/>
      <c r="H43" s="1"/>
      <c r="I43" s="400"/>
      <c r="J43" s="401"/>
      <c r="K43" s="1"/>
      <c r="L43" s="459">
        <f>SUM(L29:L42)</f>
        <v>198939247.39575744</v>
      </c>
      <c r="M43" s="460"/>
      <c r="N43" s="1"/>
      <c r="P43" s="278"/>
      <c r="Q43" s="278"/>
      <c r="R43" s="278"/>
      <c r="S43" s="273">
        <f>VLOOKUP(D42,Capex_VCC!B:D,2,0)</f>
        <v>216</v>
      </c>
      <c r="T43" s="278"/>
      <c r="U43" s="278"/>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row>
    <row r="44" spans="2:48">
      <c r="B44" s="143" t="s">
        <v>25</v>
      </c>
      <c r="C44" s="378" t="s">
        <v>390</v>
      </c>
      <c r="D44" s="379"/>
      <c r="E44" s="379"/>
      <c r="F44" s="379"/>
      <c r="G44" s="379"/>
      <c r="H44" s="379"/>
      <c r="I44" s="379"/>
      <c r="J44" s="379"/>
      <c r="K44" s="379"/>
      <c r="L44" s="379"/>
      <c r="M44" s="379"/>
      <c r="N44" s="380"/>
      <c r="P44" s="218"/>
      <c r="Q44" s="218"/>
      <c r="S44" s="274"/>
      <c r="T44" s="218"/>
      <c r="U44" s="218"/>
      <c r="V44" s="272"/>
      <c r="W44" s="272"/>
      <c r="X44" s="272"/>
      <c r="Y44" s="272"/>
      <c r="Z44" s="272"/>
      <c r="AA44" s="272"/>
      <c r="AB44" s="272"/>
      <c r="AC44" s="272"/>
      <c r="AD44" s="272"/>
      <c r="AE44" s="272"/>
      <c r="AF44" s="272"/>
      <c r="AG44" s="272"/>
      <c r="AH44" s="272"/>
      <c r="AI44" s="272"/>
      <c r="AJ44" s="272"/>
      <c r="AK44" s="272"/>
      <c r="AL44" s="272"/>
      <c r="AM44" s="272"/>
      <c r="AN44" s="272"/>
      <c r="AO44" s="272"/>
      <c r="AP44" s="272"/>
      <c r="AQ44" s="272"/>
      <c r="AR44" s="272"/>
      <c r="AS44" s="272"/>
      <c r="AT44" s="272"/>
      <c r="AU44" s="272"/>
      <c r="AV44" s="272"/>
    </row>
    <row r="45" spans="2:48" ht="15" customHeight="1">
      <c r="B45" s="109">
        <v>1</v>
      </c>
      <c r="C45" s="365" t="s">
        <v>391</v>
      </c>
      <c r="D45" s="365"/>
      <c r="E45" s="365"/>
      <c r="F45" s="365"/>
      <c r="G45" s="365"/>
      <c r="H45" s="3"/>
      <c r="I45" s="346">
        <f>IF($E$22="Không nguồn",0,VLOOKUP(C45,'Capex nguon'!$B$4:$D$14,3,0))</f>
        <v>0</v>
      </c>
      <c r="J45" s="347"/>
      <c r="K45" s="9">
        <v>1</v>
      </c>
      <c r="L45" s="461">
        <f t="shared" ref="L45:L51" si="1">+I45*K45</f>
        <v>0</v>
      </c>
      <c r="M45" s="462"/>
      <c r="N45" s="3"/>
      <c r="P45" s="218"/>
      <c r="Q45" s="218"/>
      <c r="T45" s="218"/>
      <c r="U45" s="218"/>
      <c r="V45" s="272"/>
      <c r="W45" s="272"/>
      <c r="X45" s="272"/>
      <c r="Y45" s="272"/>
      <c r="Z45" s="272"/>
      <c r="AA45" s="272"/>
      <c r="AB45" s="272"/>
      <c r="AC45" s="272"/>
      <c r="AD45" s="272"/>
      <c r="AE45" s="272"/>
      <c r="AF45" s="272"/>
      <c r="AG45" s="272"/>
      <c r="AH45" s="272"/>
      <c r="AI45" s="272"/>
      <c r="AJ45" s="272"/>
      <c r="AK45" s="272"/>
      <c r="AL45" s="272"/>
      <c r="AM45" s="272"/>
      <c r="AN45" s="272"/>
      <c r="AO45" s="272"/>
      <c r="AP45" s="272"/>
      <c r="AQ45" s="272"/>
      <c r="AR45" s="272"/>
      <c r="AS45" s="272"/>
      <c r="AT45" s="272"/>
      <c r="AU45" s="272"/>
      <c r="AV45" s="272"/>
    </row>
    <row r="46" spans="2:48">
      <c r="B46" s="109">
        <v>2</v>
      </c>
      <c r="C46" s="365" t="s">
        <v>392</v>
      </c>
      <c r="D46" s="365"/>
      <c r="E46" s="365"/>
      <c r="F46" s="365"/>
      <c r="G46" s="365"/>
      <c r="H46" s="3"/>
      <c r="I46" s="346">
        <f>IF($E$22="Không nguồn",0,VLOOKUP(C46,'Capex nguon'!$B$4:$D$14,3,0))</f>
        <v>0</v>
      </c>
      <c r="J46" s="347"/>
      <c r="K46" s="9">
        <v>1</v>
      </c>
      <c r="L46" s="461">
        <f t="shared" si="1"/>
        <v>0</v>
      </c>
      <c r="M46" s="462"/>
      <c r="N46" s="3"/>
      <c r="P46" s="218"/>
      <c r="Q46" s="218"/>
      <c r="T46" s="218"/>
      <c r="U46" s="218"/>
      <c r="V46" s="272"/>
      <c r="W46" s="272"/>
      <c r="X46" s="272"/>
      <c r="Y46" s="272"/>
      <c r="Z46" s="272"/>
      <c r="AA46" s="272"/>
      <c r="AB46" s="272"/>
      <c r="AC46" s="272"/>
      <c r="AD46" s="272"/>
      <c r="AE46" s="272"/>
      <c r="AF46" s="272"/>
      <c r="AG46" s="272"/>
      <c r="AH46" s="272"/>
      <c r="AI46" s="272"/>
      <c r="AJ46" s="272"/>
      <c r="AK46" s="272"/>
      <c r="AL46" s="272"/>
      <c r="AM46" s="272"/>
      <c r="AN46" s="272"/>
      <c r="AO46" s="272"/>
      <c r="AP46" s="272"/>
      <c r="AQ46" s="272"/>
      <c r="AR46" s="272"/>
      <c r="AS46" s="272"/>
      <c r="AT46" s="272"/>
      <c r="AU46" s="272"/>
      <c r="AV46" s="272"/>
    </row>
    <row r="47" spans="2:48">
      <c r="B47" s="109">
        <v>3</v>
      </c>
      <c r="C47" s="365" t="s">
        <v>393</v>
      </c>
      <c r="D47" s="365"/>
      <c r="E47" s="365"/>
      <c r="F47" s="365"/>
      <c r="G47" s="365"/>
      <c r="H47" s="3"/>
      <c r="I47" s="346">
        <f>IF($E$22="Không nguồn",0,VLOOKUP(C47,'Capex nguon'!$B$4:$D$14,3,0))</f>
        <v>0</v>
      </c>
      <c r="J47" s="347"/>
      <c r="K47" s="9">
        <v>1</v>
      </c>
      <c r="L47" s="461">
        <f t="shared" si="1"/>
        <v>0</v>
      </c>
      <c r="M47" s="462"/>
      <c r="N47" s="3"/>
      <c r="P47" s="218"/>
      <c r="Q47" s="218"/>
      <c r="T47" s="218"/>
      <c r="U47" s="218"/>
      <c r="V47" s="272"/>
      <c r="W47" s="272"/>
      <c r="X47" s="272"/>
      <c r="Y47" s="272"/>
      <c r="Z47" s="272"/>
      <c r="AA47" s="272"/>
      <c r="AB47" s="272"/>
      <c r="AC47" s="272"/>
      <c r="AD47" s="272"/>
      <c r="AE47" s="272"/>
      <c r="AF47" s="272"/>
      <c r="AG47" s="272"/>
      <c r="AH47" s="272"/>
      <c r="AI47" s="272"/>
      <c r="AJ47" s="272"/>
      <c r="AK47" s="272"/>
      <c r="AL47" s="272"/>
      <c r="AM47" s="272"/>
      <c r="AN47" s="272"/>
      <c r="AO47" s="272"/>
      <c r="AP47" s="272"/>
      <c r="AQ47" s="272"/>
      <c r="AR47" s="272"/>
      <c r="AS47" s="272"/>
      <c r="AT47" s="272"/>
      <c r="AU47" s="272"/>
      <c r="AV47" s="272"/>
    </row>
    <row r="48" spans="2:48" ht="15" customHeight="1">
      <c r="B48" s="109">
        <v>4</v>
      </c>
      <c r="C48" s="365" t="s">
        <v>394</v>
      </c>
      <c r="D48" s="365"/>
      <c r="E48" s="365"/>
      <c r="F48" s="365"/>
      <c r="G48" s="365"/>
      <c r="H48" s="3"/>
      <c r="I48" s="346">
        <f>IF($E$22="Không nguồn",0,VLOOKUP(C48,'Capex nguon'!$B$4:$D$14,3,0))</f>
        <v>0</v>
      </c>
      <c r="J48" s="347"/>
      <c r="K48" s="9">
        <v>0</v>
      </c>
      <c r="L48" s="461">
        <f t="shared" si="1"/>
        <v>0</v>
      </c>
      <c r="M48" s="462"/>
      <c r="N48" s="3"/>
      <c r="P48" s="272"/>
      <c r="Q48" s="272"/>
      <c r="T48" s="272"/>
      <c r="U48" s="272"/>
      <c r="V48" s="272"/>
      <c r="W48" s="272"/>
      <c r="X48" s="272"/>
      <c r="Y48" s="272"/>
      <c r="Z48" s="272"/>
      <c r="AA48" s="272"/>
      <c r="AB48" s="272"/>
      <c r="AC48" s="272"/>
      <c r="AD48" s="272"/>
      <c r="AE48" s="272"/>
      <c r="AF48" s="272"/>
      <c r="AG48" s="272"/>
      <c r="AH48" s="272"/>
      <c r="AI48" s="272"/>
      <c r="AJ48" s="272"/>
      <c r="AK48" s="272"/>
      <c r="AL48" s="272"/>
      <c r="AM48" s="272"/>
      <c r="AN48" s="272"/>
      <c r="AO48" s="272"/>
      <c r="AP48" s="272"/>
      <c r="AQ48" s="272"/>
      <c r="AR48" s="272"/>
      <c r="AS48" s="272"/>
      <c r="AT48" s="272"/>
      <c r="AU48" s="272"/>
      <c r="AV48" s="272"/>
    </row>
    <row r="49" spans="2:48">
      <c r="B49" s="109">
        <v>5</v>
      </c>
      <c r="C49" s="365" t="s">
        <v>395</v>
      </c>
      <c r="D49" s="365"/>
      <c r="E49" s="365"/>
      <c r="F49" s="365"/>
      <c r="G49" s="365"/>
      <c r="H49" s="3"/>
      <c r="I49" s="346">
        <f>IF($E$22="Không nguồn",0,VLOOKUP(C49,'Capex nguon'!$B$4:$D$14,3,0))</f>
        <v>0</v>
      </c>
      <c r="J49" s="347"/>
      <c r="K49" s="9">
        <v>0</v>
      </c>
      <c r="L49" s="461">
        <f t="shared" si="1"/>
        <v>0</v>
      </c>
      <c r="M49" s="462"/>
      <c r="N49" s="3"/>
      <c r="P49" s="272"/>
      <c r="Q49" s="272"/>
      <c r="T49" s="272"/>
      <c r="U49" s="272"/>
      <c r="V49" s="272"/>
      <c r="W49" s="272"/>
      <c r="X49" s="272"/>
      <c r="Y49" s="272"/>
      <c r="Z49" s="272"/>
      <c r="AA49" s="272"/>
      <c r="AB49" s="272"/>
      <c r="AC49" s="272"/>
      <c r="AD49" s="272"/>
      <c r="AE49" s="272"/>
      <c r="AF49" s="272"/>
      <c r="AG49" s="272"/>
      <c r="AH49" s="272"/>
      <c r="AI49" s="272"/>
      <c r="AJ49" s="272"/>
      <c r="AK49" s="272"/>
      <c r="AL49" s="272"/>
      <c r="AM49" s="272"/>
      <c r="AN49" s="272"/>
      <c r="AO49" s="272"/>
      <c r="AP49" s="272"/>
      <c r="AQ49" s="272"/>
      <c r="AR49" s="272"/>
      <c r="AS49" s="272"/>
      <c r="AT49" s="272"/>
      <c r="AU49" s="272"/>
      <c r="AV49" s="272"/>
    </row>
    <row r="50" spans="2:48" ht="30">
      <c r="B50" s="109">
        <v>6</v>
      </c>
      <c r="C50" s="365" t="s">
        <v>396</v>
      </c>
      <c r="D50" s="365"/>
      <c r="E50" s="365"/>
      <c r="F50" s="365"/>
      <c r="G50" s="365"/>
      <c r="H50" s="3"/>
      <c r="I50" s="346">
        <f>IF($E$22="Không nguồn",0,VLOOKUP(C50,'Capex nguon'!$B$4:$D$14,3,0))</f>
        <v>0</v>
      </c>
      <c r="J50" s="347"/>
      <c r="K50" s="9">
        <v>1</v>
      </c>
      <c r="L50" s="461">
        <f t="shared" si="1"/>
        <v>0</v>
      </c>
      <c r="M50" s="462"/>
      <c r="N50" s="3"/>
      <c r="P50" s="272"/>
      <c r="Q50" s="272"/>
      <c r="T50" s="272"/>
      <c r="U50" s="272"/>
      <c r="V50" s="272"/>
      <c r="W50" s="272"/>
      <c r="X50" s="272"/>
      <c r="Y50" s="272"/>
      <c r="Z50" s="272"/>
      <c r="AA50" s="272"/>
      <c r="AB50" s="272"/>
      <c r="AC50" s="272"/>
      <c r="AD50" s="272"/>
      <c r="AE50" s="272"/>
      <c r="AF50" s="272"/>
      <c r="AG50" s="272"/>
      <c r="AH50" s="272"/>
      <c r="AI50" s="272"/>
      <c r="AJ50" s="272"/>
      <c r="AK50" s="272"/>
      <c r="AL50" s="272"/>
      <c r="AM50" s="272"/>
      <c r="AN50" s="272"/>
      <c r="AO50" s="272"/>
      <c r="AP50" s="272"/>
      <c r="AQ50" s="272"/>
      <c r="AR50" s="272"/>
      <c r="AS50" s="272"/>
      <c r="AT50" s="272"/>
      <c r="AU50" s="272"/>
      <c r="AV50" s="272"/>
    </row>
    <row r="51" spans="2:48" ht="15" customHeight="1">
      <c r="B51" s="109">
        <v>7</v>
      </c>
      <c r="C51" s="365" t="s">
        <v>398</v>
      </c>
      <c r="D51" s="365"/>
      <c r="E51" s="365"/>
      <c r="F51" s="365"/>
      <c r="G51" s="365"/>
      <c r="H51" s="3"/>
      <c r="I51" s="346">
        <f>IF($E$22="Không nguồn",0,VLOOKUP(C51,'Capex nguon'!$B$4:$D$14,3,0))</f>
        <v>0</v>
      </c>
      <c r="J51" s="347"/>
      <c r="K51" s="9">
        <v>1</v>
      </c>
      <c r="L51" s="461">
        <f t="shared" si="1"/>
        <v>0</v>
      </c>
      <c r="M51" s="462"/>
      <c r="N51" s="3"/>
      <c r="P51" s="272"/>
      <c r="Q51" s="272"/>
      <c r="T51" s="272"/>
      <c r="U51" s="272"/>
      <c r="V51" s="272"/>
      <c r="W51" s="272"/>
      <c r="X51" s="272"/>
      <c r="Y51" s="272"/>
      <c r="Z51" s="272"/>
      <c r="AA51" s="272"/>
      <c r="AB51" s="272"/>
      <c r="AC51" s="272"/>
      <c r="AD51" s="272"/>
      <c r="AE51" s="272"/>
      <c r="AF51" s="272"/>
      <c r="AG51" s="272"/>
      <c r="AH51" s="272"/>
      <c r="AI51" s="272"/>
      <c r="AJ51" s="272"/>
      <c r="AK51" s="272"/>
      <c r="AL51" s="272"/>
      <c r="AM51" s="272"/>
      <c r="AN51" s="272"/>
      <c r="AO51" s="272"/>
      <c r="AP51" s="272"/>
      <c r="AQ51" s="272"/>
      <c r="AR51" s="272"/>
      <c r="AS51" s="272"/>
      <c r="AT51" s="272"/>
      <c r="AU51" s="272"/>
      <c r="AV51" s="272"/>
    </row>
    <row r="52" spans="2:48" ht="33" customHeight="1">
      <c r="B52" s="109">
        <v>8</v>
      </c>
      <c r="C52" s="365" t="s">
        <v>399</v>
      </c>
      <c r="D52" s="365"/>
      <c r="E52" s="365"/>
      <c r="F52" s="365"/>
      <c r="G52" s="365"/>
      <c r="H52" s="3"/>
      <c r="I52" s="346">
        <f>IF($E$22="Không nguồn",0,VLOOKUP(C52,'Capex nguon'!$B$4:$D$14,3,0))</f>
        <v>0</v>
      </c>
      <c r="J52" s="347"/>
      <c r="K52" s="9">
        <v>1</v>
      </c>
      <c r="L52" s="461">
        <f>+I52*K52*0.5</f>
        <v>0</v>
      </c>
      <c r="M52" s="462"/>
      <c r="N52" s="3"/>
      <c r="P52" s="272"/>
      <c r="Q52" s="272"/>
      <c r="T52" s="272"/>
    </row>
    <row r="53" spans="2:48" ht="30" customHeight="1">
      <c r="B53" s="109"/>
      <c r="C53" s="396" t="s">
        <v>1394</v>
      </c>
      <c r="D53" s="396"/>
      <c r="E53" s="396"/>
      <c r="F53" s="396"/>
      <c r="G53" s="396"/>
      <c r="H53" s="3"/>
      <c r="I53" s="351"/>
      <c r="J53" s="352"/>
      <c r="K53" s="3"/>
      <c r="L53" s="459">
        <f>SUM(L45:M52)</f>
        <v>0</v>
      </c>
      <c r="M53" s="460"/>
      <c r="N53" s="3"/>
      <c r="P53" s="272"/>
      <c r="Q53" s="276">
        <f>+L53-L48</f>
        <v>0</v>
      </c>
      <c r="T53" s="272"/>
    </row>
    <row r="54" spans="2:48" ht="15.75" customHeight="1">
      <c r="B54" s="139" t="s">
        <v>26</v>
      </c>
      <c r="C54" s="348" t="s">
        <v>1393</v>
      </c>
      <c r="D54" s="349"/>
      <c r="E54" s="349"/>
      <c r="F54" s="349"/>
      <c r="G54" s="350"/>
      <c r="H54" s="3"/>
      <c r="I54" s="351"/>
      <c r="J54" s="352"/>
      <c r="K54" s="3"/>
      <c r="L54" s="459">
        <f>L53+L43</f>
        <v>198939247.39575744</v>
      </c>
      <c r="M54" s="460"/>
      <c r="N54" s="3"/>
      <c r="P54" s="272"/>
      <c r="Q54" s="272"/>
      <c r="T54" s="272"/>
    </row>
    <row r="55" spans="2:48" ht="15.6" customHeight="1">
      <c r="B55" s="141" t="s">
        <v>110</v>
      </c>
      <c r="C55" s="348" t="s">
        <v>458</v>
      </c>
      <c r="D55" s="349"/>
      <c r="E55" s="349"/>
      <c r="F55" s="349"/>
      <c r="G55" s="350"/>
      <c r="H55" s="185" t="s">
        <v>601</v>
      </c>
      <c r="I55" s="351"/>
      <c r="J55" s="352"/>
      <c r="K55" s="3"/>
      <c r="L55" s="459">
        <f>+(L54+L53)*1.335%*0.8*1.1</f>
        <v>2337138.2784053585</v>
      </c>
      <c r="M55" s="460"/>
      <c r="N55" s="3"/>
      <c r="P55" s="272"/>
      <c r="Q55" s="272"/>
      <c r="T55" s="272"/>
    </row>
    <row r="56" spans="2:48" ht="15.75" customHeight="1">
      <c r="B56" s="141" t="s">
        <v>112</v>
      </c>
      <c r="C56" s="720" t="s">
        <v>459</v>
      </c>
      <c r="D56" s="721"/>
      <c r="E56" s="349"/>
      <c r="F56" s="349"/>
      <c r="G56" s="350"/>
      <c r="H56" s="109" t="s">
        <v>471</v>
      </c>
      <c r="I56" s="351"/>
      <c r="J56" s="352"/>
      <c r="K56" s="3"/>
      <c r="L56" s="459">
        <f>SUM(L57:M69)</f>
        <v>7519250.5139454296</v>
      </c>
      <c r="M56" s="460"/>
      <c r="N56" s="3"/>
      <c r="P56" s="272"/>
      <c r="Q56" s="272"/>
      <c r="T56" s="272"/>
    </row>
    <row r="57" spans="2:48" ht="15.75" hidden="1" customHeight="1">
      <c r="B57" s="142">
        <v>1</v>
      </c>
      <c r="C57" s="353" t="s">
        <v>493</v>
      </c>
      <c r="D57" s="354"/>
      <c r="E57" s="354"/>
      <c r="F57" s="354"/>
      <c r="G57" s="355"/>
      <c r="H57" s="7" t="s">
        <v>422</v>
      </c>
      <c r="I57" s="356">
        <f>+IF(C58=Q16,I58,I59)</f>
        <v>4411720</v>
      </c>
      <c r="J57" s="357"/>
      <c r="K57" s="3">
        <v>1</v>
      </c>
      <c r="L57" s="463">
        <f>K57*I57</f>
        <v>4411720</v>
      </c>
      <c r="M57" s="464"/>
      <c r="N57" s="3"/>
      <c r="P57" s="272"/>
      <c r="Q57" s="272">
        <v>6235865</v>
      </c>
      <c r="T57" s="272"/>
    </row>
    <row r="58" spans="2:48" ht="15.75" hidden="1" customHeight="1">
      <c r="B58" s="150"/>
      <c r="C58" s="358" t="s">
        <v>535</v>
      </c>
      <c r="D58" s="359"/>
      <c r="E58" s="359"/>
      <c r="F58" s="359"/>
      <c r="G58" s="360"/>
      <c r="H58" s="7" t="s">
        <v>422</v>
      </c>
      <c r="I58" s="361">
        <v>6235865</v>
      </c>
      <c r="J58" s="362"/>
      <c r="K58" s="151"/>
      <c r="L58" s="461"/>
      <c r="M58" s="462"/>
      <c r="N58" s="151"/>
      <c r="P58" s="272"/>
      <c r="Q58" s="272">
        <v>4411720</v>
      </c>
      <c r="T58" s="272"/>
    </row>
    <row r="59" spans="2:48" ht="15.75" hidden="1" customHeight="1">
      <c r="B59" s="150"/>
      <c r="C59" s="358" t="s">
        <v>536</v>
      </c>
      <c r="D59" s="359"/>
      <c r="E59" s="359"/>
      <c r="F59" s="359"/>
      <c r="G59" s="360"/>
      <c r="H59" s="7" t="s">
        <v>422</v>
      </c>
      <c r="I59" s="361">
        <v>4411720</v>
      </c>
      <c r="J59" s="362"/>
      <c r="K59" s="151"/>
      <c r="L59" s="461"/>
      <c r="M59" s="462"/>
      <c r="N59" s="151"/>
      <c r="P59" s="272"/>
      <c r="Q59" s="272"/>
      <c r="T59" s="272"/>
    </row>
    <row r="60" spans="2:48" ht="15.75" hidden="1" customHeight="1">
      <c r="B60" s="142">
        <v>2</v>
      </c>
      <c r="C60" s="353" t="s">
        <v>494</v>
      </c>
      <c r="D60" s="354"/>
      <c r="E60" s="354"/>
      <c r="F60" s="354"/>
      <c r="G60" s="355"/>
      <c r="H60" s="7" t="s">
        <v>422</v>
      </c>
      <c r="I60" s="351"/>
      <c r="J60" s="352"/>
      <c r="K60" s="3"/>
      <c r="L60" s="461"/>
      <c r="M60" s="462"/>
      <c r="N60" s="3"/>
      <c r="P60" s="272"/>
      <c r="Q60" s="272"/>
      <c r="T60" s="272"/>
    </row>
    <row r="61" spans="2:48" ht="15.75" hidden="1" customHeight="1">
      <c r="B61" s="142">
        <v>3</v>
      </c>
      <c r="C61" s="353" t="s">
        <v>495</v>
      </c>
      <c r="D61" s="354"/>
      <c r="E61" s="354"/>
      <c r="F61" s="354"/>
      <c r="G61" s="355"/>
      <c r="H61" s="7" t="s">
        <v>561</v>
      </c>
      <c r="I61" s="363"/>
      <c r="J61" s="364"/>
      <c r="K61" s="3"/>
      <c r="L61" s="461">
        <f>+$L$43*0.245%*0.65</f>
        <v>316810.75147774373</v>
      </c>
      <c r="M61" s="462"/>
      <c r="N61" s="3"/>
      <c r="P61" s="272"/>
      <c r="Q61" s="272"/>
      <c r="T61" s="272"/>
    </row>
    <row r="62" spans="2:48" ht="15.75" hidden="1" customHeight="1">
      <c r="B62" s="142">
        <v>4</v>
      </c>
      <c r="C62" s="353" t="s">
        <v>496</v>
      </c>
      <c r="D62" s="354"/>
      <c r="E62" s="354"/>
      <c r="F62" s="354"/>
      <c r="G62" s="355"/>
      <c r="H62" s="7" t="s">
        <v>569</v>
      </c>
      <c r="I62" s="351"/>
      <c r="J62" s="352"/>
      <c r="K62" s="3"/>
      <c r="L62" s="461">
        <f>+$L$43*0.048%*0.5</f>
        <v>47745.419374981786</v>
      </c>
      <c r="M62" s="462"/>
      <c r="N62" s="3"/>
      <c r="P62" s="272"/>
      <c r="Q62" s="272"/>
      <c r="T62" s="272"/>
    </row>
    <row r="63" spans="2:48" ht="15.75" hidden="1" customHeight="1">
      <c r="B63" s="142">
        <v>2</v>
      </c>
      <c r="C63" s="353" t="s">
        <v>497</v>
      </c>
      <c r="D63" s="354"/>
      <c r="E63" s="354"/>
      <c r="F63" s="354"/>
      <c r="G63" s="355"/>
      <c r="H63" s="111" t="s">
        <v>562</v>
      </c>
      <c r="I63" s="351"/>
      <c r="J63" s="352"/>
      <c r="K63" s="3"/>
      <c r="L63" s="461">
        <f>+$L$43*1.121%</f>
        <v>2230108.963306441</v>
      </c>
      <c r="M63" s="462"/>
      <c r="N63" s="3"/>
      <c r="P63" s="272"/>
      <c r="Q63" s="272"/>
      <c r="T63" s="272"/>
    </row>
    <row r="64" spans="2:48" ht="18" hidden="1" customHeight="1">
      <c r="B64" s="142">
        <v>3</v>
      </c>
      <c r="C64" s="353" t="s">
        <v>498</v>
      </c>
      <c r="D64" s="354"/>
      <c r="E64" s="354"/>
      <c r="F64" s="354"/>
      <c r="G64" s="355"/>
      <c r="H64" s="110" t="s">
        <v>563</v>
      </c>
      <c r="I64" s="351"/>
      <c r="J64" s="352"/>
      <c r="K64" s="3"/>
      <c r="L64" s="461">
        <f>0.073%*($L$43)</f>
        <v>145225.65059890292</v>
      </c>
      <c r="M64" s="462"/>
      <c r="N64" s="3"/>
      <c r="P64" s="272"/>
      <c r="Q64" s="272"/>
      <c r="T64" s="272"/>
    </row>
    <row r="65" spans="2:20" ht="15.75" hidden="1" customHeight="1">
      <c r="B65" s="142">
        <v>4</v>
      </c>
      <c r="C65" s="353" t="s">
        <v>460</v>
      </c>
      <c r="D65" s="354"/>
      <c r="E65" s="354"/>
      <c r="F65" s="354"/>
      <c r="G65" s="355"/>
      <c r="H65" s="110" t="s">
        <v>564</v>
      </c>
      <c r="I65" s="351"/>
      <c r="J65" s="352"/>
      <c r="K65" s="3"/>
      <c r="L65" s="461">
        <f>1.2*0.069%*$L$43</f>
        <v>164721.69684368718</v>
      </c>
      <c r="M65" s="462"/>
      <c r="N65" s="3"/>
      <c r="P65" s="272"/>
      <c r="Q65" s="272"/>
      <c r="T65" s="272"/>
    </row>
    <row r="66" spans="2:20" ht="15.75" hidden="1" customHeight="1">
      <c r="B66" s="142">
        <v>5</v>
      </c>
      <c r="C66" s="353" t="s">
        <v>461</v>
      </c>
      <c r="D66" s="354"/>
      <c r="E66" s="354"/>
      <c r="F66" s="354"/>
      <c r="G66" s="355"/>
      <c r="H66" s="111" t="s">
        <v>566</v>
      </c>
      <c r="I66" s="351"/>
      <c r="J66" s="352"/>
      <c r="K66" s="3"/>
      <c r="L66" s="461"/>
      <c r="M66" s="462"/>
      <c r="N66" s="3"/>
      <c r="P66" s="272"/>
      <c r="Q66" s="272"/>
      <c r="T66" s="272"/>
    </row>
    <row r="67" spans="2:20" ht="15.75" hidden="1" customHeight="1">
      <c r="B67" s="142">
        <v>6</v>
      </c>
      <c r="C67" s="353" t="s">
        <v>462</v>
      </c>
      <c r="D67" s="354"/>
      <c r="E67" s="354"/>
      <c r="F67" s="354"/>
      <c r="G67" s="355"/>
      <c r="H67" s="109" t="s">
        <v>567</v>
      </c>
      <c r="I67" s="351"/>
      <c r="J67" s="352"/>
      <c r="K67" s="3"/>
      <c r="L67" s="461"/>
      <c r="M67" s="462"/>
      <c r="N67" s="3"/>
      <c r="P67" s="272"/>
      <c r="Q67" s="272"/>
      <c r="T67" s="272"/>
    </row>
    <row r="68" spans="2:20" ht="15.75" hidden="1" customHeight="1">
      <c r="B68" s="142">
        <v>7</v>
      </c>
      <c r="C68" s="353" t="s">
        <v>463</v>
      </c>
      <c r="D68" s="354"/>
      <c r="E68" s="354"/>
      <c r="F68" s="354"/>
      <c r="G68" s="355"/>
      <c r="H68" s="109" t="s">
        <v>570</v>
      </c>
      <c r="I68" s="351"/>
      <c r="J68" s="352"/>
      <c r="K68" s="3"/>
      <c r="L68" s="461">
        <f>+$L$43*0.102%</f>
        <v>202918.03234367256</v>
      </c>
      <c r="M68" s="462"/>
      <c r="N68" s="3"/>
      <c r="P68" s="272"/>
      <c r="Q68" s="272"/>
      <c r="T68" s="272"/>
    </row>
    <row r="69" spans="2:20" ht="15.75" hidden="1" customHeight="1">
      <c r="B69" s="150">
        <v>8</v>
      </c>
      <c r="C69" s="353" t="s">
        <v>565</v>
      </c>
      <c r="D69" s="354"/>
      <c r="E69" s="354"/>
      <c r="F69" s="354"/>
      <c r="G69" s="355"/>
      <c r="H69" s="152" t="s">
        <v>568</v>
      </c>
      <c r="I69" s="153"/>
      <c r="J69" s="154"/>
      <c r="K69" s="151"/>
      <c r="L69" s="461">
        <f>$L$53*0.381%</f>
        <v>0</v>
      </c>
      <c r="M69" s="462"/>
      <c r="N69" s="151"/>
      <c r="P69" s="272"/>
      <c r="Q69" s="272"/>
      <c r="T69" s="272"/>
    </row>
    <row r="70" spans="2:20" ht="15.75" customHeight="1">
      <c r="B70" s="141" t="s">
        <v>465</v>
      </c>
      <c r="C70" s="720" t="s">
        <v>464</v>
      </c>
      <c r="D70" s="721"/>
      <c r="E70" s="349"/>
      <c r="F70" s="349"/>
      <c r="G70" s="350"/>
      <c r="H70" s="3"/>
      <c r="I70" s="351"/>
      <c r="J70" s="352"/>
      <c r="K70" s="3"/>
      <c r="L70" s="459">
        <f>SUM(L71:M79)</f>
        <v>1001756.0168391304</v>
      </c>
      <c r="M70" s="460"/>
      <c r="N70" s="3"/>
      <c r="P70" s="272"/>
      <c r="Q70" s="272"/>
      <c r="T70" s="272"/>
    </row>
    <row r="71" spans="2:20" ht="15.75" hidden="1" customHeight="1">
      <c r="B71" s="142">
        <v>1</v>
      </c>
      <c r="C71" s="370" t="s">
        <v>571</v>
      </c>
      <c r="D71" s="371"/>
      <c r="E71" s="371"/>
      <c r="F71" s="371"/>
      <c r="G71" s="372"/>
      <c r="H71" s="109" t="s">
        <v>580</v>
      </c>
      <c r="I71" s="351"/>
      <c r="J71" s="352"/>
      <c r="K71" s="3"/>
      <c r="L71" s="461">
        <f>0%*$L$43</f>
        <v>0</v>
      </c>
      <c r="M71" s="462"/>
      <c r="N71" s="3"/>
      <c r="P71" s="272"/>
      <c r="Q71" s="277"/>
      <c r="T71" s="272"/>
    </row>
    <row r="72" spans="2:20" ht="15.75" hidden="1" customHeight="1">
      <c r="B72" s="142">
        <v>2</v>
      </c>
      <c r="C72" s="370" t="s">
        <v>572</v>
      </c>
      <c r="D72" s="371" t="s">
        <v>572</v>
      </c>
      <c r="E72" s="371" t="s">
        <v>572</v>
      </c>
      <c r="F72" s="371" t="s">
        <v>572</v>
      </c>
      <c r="G72" s="372" t="s">
        <v>572</v>
      </c>
      <c r="H72" s="109" t="s">
        <v>581</v>
      </c>
      <c r="I72" s="351"/>
      <c r="J72" s="352"/>
      <c r="K72" s="3"/>
      <c r="L72" s="461">
        <f>0.0076%*($L$54+$L$55+$L$56)</f>
        <v>15868.468350296227</v>
      </c>
      <c r="M72" s="462"/>
      <c r="N72" s="3"/>
      <c r="P72" s="272"/>
      <c r="Q72" s="272"/>
      <c r="T72" s="272"/>
    </row>
    <row r="73" spans="2:20" ht="15.75" hidden="1" customHeight="1">
      <c r="B73" s="142">
        <v>3</v>
      </c>
      <c r="C73" s="370" t="s">
        <v>573</v>
      </c>
      <c r="D73" s="371" t="s">
        <v>573</v>
      </c>
      <c r="E73" s="371" t="s">
        <v>573</v>
      </c>
      <c r="F73" s="371" t="s">
        <v>573</v>
      </c>
      <c r="G73" s="372" t="s">
        <v>573</v>
      </c>
      <c r="H73" s="109" t="s">
        <v>582</v>
      </c>
      <c r="I73" s="351"/>
      <c r="J73" s="352"/>
      <c r="K73" s="3"/>
      <c r="L73" s="461">
        <f>0.0144%*($L$43)</f>
        <v>28647.251624989072</v>
      </c>
      <c r="M73" s="462"/>
      <c r="N73" s="3"/>
      <c r="P73" s="272"/>
      <c r="Q73" s="272"/>
      <c r="T73" s="272"/>
    </row>
    <row r="74" spans="2:20" ht="15.75" hidden="1" customHeight="1">
      <c r="B74" s="150"/>
      <c r="C74" s="370" t="s">
        <v>574</v>
      </c>
      <c r="D74" s="371" t="s">
        <v>574</v>
      </c>
      <c r="E74" s="371" t="s">
        <v>574</v>
      </c>
      <c r="F74" s="371" t="s">
        <v>574</v>
      </c>
      <c r="G74" s="372" t="s">
        <v>574</v>
      </c>
      <c r="H74" s="152" t="s">
        <v>583</v>
      </c>
      <c r="I74" s="153"/>
      <c r="J74" s="154"/>
      <c r="K74" s="151"/>
      <c r="L74" s="461">
        <f>0.0136%*($L$43)</f>
        <v>27055.73764582301</v>
      </c>
      <c r="M74" s="462"/>
      <c r="N74" s="151"/>
      <c r="P74" s="272"/>
      <c r="Q74" s="272"/>
      <c r="T74" s="272"/>
    </row>
    <row r="75" spans="2:20" ht="15.75" hidden="1" customHeight="1">
      <c r="B75" s="150"/>
      <c r="C75" s="370" t="s">
        <v>575</v>
      </c>
      <c r="D75" s="371" t="s">
        <v>575</v>
      </c>
      <c r="E75" s="371" t="s">
        <v>575</v>
      </c>
      <c r="F75" s="371" t="s">
        <v>575</v>
      </c>
      <c r="G75" s="372" t="s">
        <v>575</v>
      </c>
      <c r="H75" s="152" t="s">
        <v>584</v>
      </c>
      <c r="I75" s="153"/>
      <c r="J75" s="154"/>
      <c r="K75" s="151"/>
      <c r="L75" s="461">
        <f>0.331%*($L$54+$L$55+$L$56)</f>
        <v>691113.55578263826</v>
      </c>
      <c r="M75" s="462"/>
      <c r="N75" s="151"/>
      <c r="P75" s="272"/>
      <c r="Q75" s="272"/>
      <c r="T75" s="272"/>
    </row>
    <row r="76" spans="2:20" ht="15.75" hidden="1" customHeight="1">
      <c r="B76" s="150"/>
      <c r="C76" s="370" t="s">
        <v>576</v>
      </c>
      <c r="D76" s="371" t="s">
        <v>576</v>
      </c>
      <c r="E76" s="371" t="s">
        <v>576</v>
      </c>
      <c r="F76" s="371" t="s">
        <v>576</v>
      </c>
      <c r="G76" s="372" t="s">
        <v>576</v>
      </c>
      <c r="H76" s="152" t="s">
        <v>585</v>
      </c>
      <c r="I76" s="153"/>
      <c r="J76" s="154"/>
      <c r="K76" s="151"/>
      <c r="L76" s="461">
        <f>0.229%*($L$54+$L$55+$L$56)*0.5</f>
        <v>239071.00343538393</v>
      </c>
      <c r="M76" s="462"/>
      <c r="N76" s="151"/>
      <c r="P76" s="272"/>
      <c r="Q76" s="272"/>
      <c r="T76" s="272"/>
    </row>
    <row r="77" spans="2:20" ht="15.75" hidden="1" customHeight="1">
      <c r="B77" s="150"/>
      <c r="C77" s="370" t="s">
        <v>577</v>
      </c>
      <c r="D77" s="371" t="s">
        <v>577</v>
      </c>
      <c r="E77" s="371" t="s">
        <v>577</v>
      </c>
      <c r="F77" s="371" t="s">
        <v>577</v>
      </c>
      <c r="G77" s="372" t="s">
        <v>577</v>
      </c>
      <c r="H77" s="152" t="s">
        <v>586</v>
      </c>
      <c r="I77" s="153"/>
      <c r="J77" s="154"/>
      <c r="K77" s="151"/>
      <c r="L77" s="461">
        <v>0</v>
      </c>
      <c r="M77" s="462"/>
      <c r="N77" s="151"/>
      <c r="P77" s="272"/>
      <c r="Q77" s="272"/>
      <c r="T77" s="272"/>
    </row>
    <row r="78" spans="2:20" ht="15.75" hidden="1" customHeight="1">
      <c r="B78" s="150"/>
      <c r="C78" s="370" t="s">
        <v>578</v>
      </c>
      <c r="D78" s="371" t="s">
        <v>578</v>
      </c>
      <c r="E78" s="371" t="s">
        <v>578</v>
      </c>
      <c r="F78" s="371" t="s">
        <v>578</v>
      </c>
      <c r="G78" s="372" t="s">
        <v>578</v>
      </c>
      <c r="H78" s="7" t="s">
        <v>587</v>
      </c>
      <c r="I78" s="346">
        <f>+VLOOKUP(C13,'Chi phi xin đấu nối điện + GPMB'!$B$4:$E$67,3,0)</f>
        <v>9640000</v>
      </c>
      <c r="J78" s="347"/>
      <c r="K78" s="151">
        <v>0</v>
      </c>
      <c r="L78" s="461">
        <f>I78*K78</f>
        <v>0</v>
      </c>
      <c r="M78" s="462"/>
      <c r="N78" s="151"/>
      <c r="P78" s="272"/>
      <c r="Q78" s="272"/>
      <c r="T78" s="272"/>
    </row>
    <row r="79" spans="2:20" ht="15.75" hidden="1" customHeight="1">
      <c r="B79" s="150"/>
      <c r="C79" s="370" t="s">
        <v>579</v>
      </c>
      <c r="D79" s="371" t="s">
        <v>579</v>
      </c>
      <c r="E79" s="371" t="s">
        <v>579</v>
      </c>
      <c r="F79" s="371" t="s">
        <v>579</v>
      </c>
      <c r="G79" s="372" t="s">
        <v>579</v>
      </c>
      <c r="H79" s="7" t="s">
        <v>587</v>
      </c>
      <c r="I79" s="346">
        <f>+VLOOKUP(C13,'Chi phi xin đấu nối điện + GPMB'!$B$4:$E$67,4,0)</f>
        <v>2700000</v>
      </c>
      <c r="J79" s="347"/>
      <c r="K79" s="151">
        <v>0</v>
      </c>
      <c r="L79" s="461">
        <f>I79*K79</f>
        <v>0</v>
      </c>
      <c r="M79" s="462"/>
      <c r="N79" s="151"/>
      <c r="P79" s="272"/>
      <c r="Q79" s="272"/>
      <c r="T79" s="272"/>
    </row>
    <row r="80" spans="2:20" s="4" customFormat="1" ht="15.75" customHeight="1">
      <c r="B80" s="141" t="s">
        <v>468</v>
      </c>
      <c r="C80" s="348" t="s">
        <v>466</v>
      </c>
      <c r="D80" s="349"/>
      <c r="E80" s="349"/>
      <c r="F80" s="349"/>
      <c r="G80" s="350"/>
      <c r="H80" s="139"/>
      <c r="I80" s="376"/>
      <c r="J80" s="377"/>
      <c r="K80" s="1"/>
      <c r="L80" s="459">
        <f>L81</f>
        <v>10489869.610247368</v>
      </c>
      <c r="M80" s="460"/>
      <c r="N80" s="1"/>
      <c r="P80" s="274"/>
      <c r="Q80" s="274"/>
      <c r="R80" s="278"/>
      <c r="S80" s="272"/>
      <c r="T80" s="274"/>
    </row>
    <row r="81" spans="2:20" ht="15.75" hidden="1" customHeight="1">
      <c r="B81" s="142">
        <v>1</v>
      </c>
      <c r="C81" s="353" t="s">
        <v>467</v>
      </c>
      <c r="D81" s="354"/>
      <c r="E81" s="354"/>
      <c r="F81" s="354"/>
      <c r="G81" s="355"/>
      <c r="H81" s="109" t="s">
        <v>470</v>
      </c>
      <c r="I81" s="351"/>
      <c r="J81" s="352"/>
      <c r="K81" s="3"/>
      <c r="L81" s="461">
        <f>5%*(L54+L55+L56+L70)</f>
        <v>10489869.610247368</v>
      </c>
      <c r="M81" s="462"/>
      <c r="N81" s="3"/>
      <c r="P81" s="272"/>
      <c r="Q81" s="272"/>
      <c r="S81" s="274"/>
      <c r="T81" s="272"/>
    </row>
    <row r="82" spans="2:20" ht="14.1" customHeight="1">
      <c r="B82" s="139" t="s">
        <v>473</v>
      </c>
      <c r="C82" s="715" t="s">
        <v>469</v>
      </c>
      <c r="D82" s="716"/>
      <c r="E82" s="374"/>
      <c r="F82" s="374"/>
      <c r="G82" s="375"/>
      <c r="H82" s="3"/>
      <c r="I82" s="351"/>
      <c r="J82" s="352"/>
      <c r="K82" s="3"/>
      <c r="L82" s="459">
        <f>+L54+L55+L56+L70+L80</f>
        <v>220287261.81519473</v>
      </c>
      <c r="M82" s="460"/>
      <c r="N82" s="3"/>
      <c r="P82" s="272"/>
      <c r="Q82" s="272">
        <v>292899486.19120604</v>
      </c>
      <c r="T82" s="272"/>
    </row>
    <row r="83" spans="2:20">
      <c r="B83" s="143" t="s">
        <v>474</v>
      </c>
      <c r="C83" s="373" t="s">
        <v>487</v>
      </c>
      <c r="D83" s="373"/>
      <c r="E83" s="373"/>
      <c r="F83" s="373"/>
      <c r="G83" s="373"/>
      <c r="H83" s="373"/>
      <c r="I83" s="373"/>
      <c r="J83" s="373"/>
      <c r="K83" s="373"/>
      <c r="L83" s="373"/>
      <c r="M83" s="373"/>
      <c r="N83" s="373"/>
      <c r="P83" s="272"/>
      <c r="Q83" s="272"/>
      <c r="T83" s="272"/>
    </row>
    <row r="84" spans="2:20" ht="15" customHeight="1">
      <c r="B84" s="109">
        <v>1</v>
      </c>
      <c r="C84" s="713" t="s">
        <v>524</v>
      </c>
      <c r="D84" s="714"/>
      <c r="E84" s="365"/>
      <c r="F84" s="365"/>
      <c r="G84" s="365"/>
      <c r="H84" s="3" t="s">
        <v>456</v>
      </c>
      <c r="I84" s="366">
        <v>1000000</v>
      </c>
      <c r="J84" s="367"/>
      <c r="K84" s="108">
        <v>1</v>
      </c>
      <c r="L84" s="465">
        <f>+I84*K84</f>
        <v>1000000</v>
      </c>
      <c r="M84" s="466"/>
      <c r="N84" s="3"/>
      <c r="P84" s="272"/>
      <c r="Q84" s="272"/>
      <c r="T84" s="272"/>
    </row>
    <row r="85" spans="2:20" ht="15" customHeight="1">
      <c r="B85" s="109"/>
      <c r="C85" s="713" t="s">
        <v>1532</v>
      </c>
      <c r="D85" s="714"/>
      <c r="E85" s="365"/>
      <c r="F85" s="365"/>
      <c r="G85" s="365"/>
      <c r="H85" s="3" t="s">
        <v>456</v>
      </c>
      <c r="I85" s="405">
        <f>VLOOKUP(P85,'Giá Thuê TTr theo 1477'!B:C,2,0)</f>
        <v>2500000</v>
      </c>
      <c r="J85" s="406"/>
      <c r="K85" s="108"/>
      <c r="L85" s="368"/>
      <c r="M85" s="369"/>
      <c r="N85" s="3"/>
      <c r="P85" s="272" t="str">
        <f>CONCATENATE(C14,Q18,Q16,Q20)</f>
        <v>Nhóm 7Thị trấn - HuyệnDưới đấttrạm BTS</v>
      </c>
      <c r="Q85" s="272"/>
      <c r="T85" s="272"/>
    </row>
    <row r="86" spans="2:20" s="4" customFormat="1">
      <c r="B86" s="143" t="s">
        <v>475</v>
      </c>
      <c r="C86" s="373" t="s">
        <v>428</v>
      </c>
      <c r="D86" s="373"/>
      <c r="E86" s="373"/>
      <c r="F86" s="373"/>
      <c r="G86" s="373"/>
      <c r="H86" s="373"/>
      <c r="I86" s="373"/>
      <c r="J86" s="373"/>
      <c r="K86" s="373"/>
      <c r="L86" s="373"/>
      <c r="M86" s="373"/>
      <c r="N86" s="373"/>
      <c r="P86" s="274"/>
      <c r="Q86" s="274"/>
      <c r="R86" s="278"/>
      <c r="S86" s="272"/>
      <c r="T86" s="274"/>
    </row>
    <row r="87" spans="2:20">
      <c r="B87" s="96">
        <v>1</v>
      </c>
      <c r="C87" s="97" t="s">
        <v>429</v>
      </c>
      <c r="D87" s="97"/>
      <c r="E87" s="198">
        <f>+'Hiệu quả'!D72</f>
        <v>100232132.31064983</v>
      </c>
      <c r="F87" s="2" t="s">
        <v>1746</v>
      </c>
      <c r="P87" s="272"/>
      <c r="Q87" s="272"/>
      <c r="S87" s="274"/>
      <c r="T87" s="272"/>
    </row>
    <row r="88" spans="2:20">
      <c r="B88" s="93">
        <v>2</v>
      </c>
      <c r="C88" s="3" t="s">
        <v>430</v>
      </c>
      <c r="D88" s="3"/>
      <c r="E88" s="94">
        <f>+'Hiệu quả'!D73</f>
        <v>0.78587569580960892</v>
      </c>
      <c r="F88" s="632">
        <f>+'Hiệu quả'!E6</f>
        <v>0.152776</v>
      </c>
      <c r="H88" s="2">
        <v>1</v>
      </c>
      <c r="P88" s="272"/>
      <c r="Q88" s="272"/>
      <c r="T88" s="272"/>
    </row>
    <row r="89" spans="2:20" ht="30">
      <c r="B89" s="93">
        <v>3</v>
      </c>
      <c r="C89" s="5" t="s">
        <v>402</v>
      </c>
      <c r="D89" s="3"/>
      <c r="E89" s="95">
        <f>+'Hiệu quả'!D74</f>
        <v>1.3076588061614818</v>
      </c>
      <c r="F89" s="2">
        <v>6.08</v>
      </c>
      <c r="P89" s="272"/>
      <c r="Q89" s="272"/>
      <c r="T89" s="272"/>
    </row>
    <row r="90" spans="2:20">
      <c r="B90" s="93">
        <v>4</v>
      </c>
      <c r="C90" s="3" t="s">
        <v>1745</v>
      </c>
      <c r="D90" s="3"/>
      <c r="E90" s="699">
        <f>+'Hiệu quả'!C40/'Hiệu quả'!C27</f>
        <v>0.41187581448906785</v>
      </c>
      <c r="F90" s="695">
        <v>0.33</v>
      </c>
      <c r="G90" s="345"/>
      <c r="H90" s="203"/>
      <c r="J90" s="203"/>
    </row>
    <row r="91" spans="2:20">
      <c r="B91" s="201">
        <v>5</v>
      </c>
      <c r="C91" s="57" t="str">
        <f>+E25</f>
        <v>Chào giá thông thường</v>
      </c>
      <c r="D91" s="57"/>
      <c r="E91" s="202">
        <f>IF(E25="Tự nhập giá thuê",G25,'Chào giá'!J31)</f>
        <v>4326399.8572218437</v>
      </c>
      <c r="R91" s="218">
        <f>IF(E22="Có nguồn",6380000,0)</f>
        <v>0</v>
      </c>
      <c r="S91" s="276">
        <f>+E91-R91</f>
        <v>4326399.8572218437</v>
      </c>
    </row>
    <row r="92" spans="2:20">
      <c r="B92" s="2" t="s">
        <v>433</v>
      </c>
      <c r="C92" s="98" t="str">
        <f>IF(AND(E87&gt;0,E88&gt;=F88,'Template tram'!E89&lt;=F89,E90&gt;=F90)=TRUE,"HIỆU QUẢ","KHÔNG HIỆU QUẢ")</f>
        <v>HIỆU QUẢ</v>
      </c>
    </row>
    <row r="93" spans="2:20">
      <c r="B93" s="2" t="s">
        <v>1467</v>
      </c>
    </row>
    <row r="95" spans="2:20" s="4" customFormat="1" ht="14.25">
      <c r="R95" s="278"/>
      <c r="S95" s="274"/>
    </row>
    <row r="96" spans="2:20" s="4" customFormat="1" ht="14.25">
      <c r="R96" s="278"/>
      <c r="S96" s="274"/>
    </row>
    <row r="97" spans="1:19" s="4" customFormat="1" ht="14.25">
      <c r="R97" s="278"/>
      <c r="S97" s="274"/>
    </row>
    <row r="98" spans="1:19" s="4" customFormat="1" ht="14.25">
      <c r="R98" s="278"/>
      <c r="S98" s="274"/>
    </row>
    <row r="99" spans="1:19" s="4" customFormat="1" ht="14.25">
      <c r="R99" s="278"/>
      <c r="S99" s="274"/>
    </row>
    <row r="100" spans="1:19" s="4" customFormat="1" ht="14.25">
      <c r="R100" s="278"/>
      <c r="S100" s="274"/>
    </row>
    <row r="101" spans="1:19">
      <c r="S101" s="274"/>
    </row>
    <row r="102" spans="1:19" ht="15.75">
      <c r="A102" s="140" t="s">
        <v>492</v>
      </c>
    </row>
  </sheetData>
  <protectedRanges>
    <protectedRange sqref="B65:C65 B80:C81 B64 B70:C70 C54 B66:B69 B55:C63" name="Range1_2_1"/>
    <protectedRange sqref="B71:C79" name="Range1_1_1_1"/>
    <protectedRange sqref="C64" name="Range1_9_1_1"/>
    <protectedRange sqref="C66:C67" name="Range1_10_1_1"/>
    <protectedRange sqref="C68:C69" name="Range1_12_1_1"/>
  </protectedRanges>
  <dataConsolidate/>
  <mergeCells count="10">
    <mergeCell ref="B1:N1"/>
    <mergeCell ref="C84:D84"/>
    <mergeCell ref="C85:D85"/>
    <mergeCell ref="C82:D82"/>
    <mergeCell ref="B6:N6"/>
    <mergeCell ref="B3:D3"/>
    <mergeCell ref="B4:D4"/>
    <mergeCell ref="B11:N11"/>
    <mergeCell ref="C56:D56"/>
    <mergeCell ref="C70:D70"/>
  </mergeCells>
  <conditionalFormatting sqref="E87">
    <cfRule type="cellIs" dxfId="3" priority="4" operator="lessThan">
      <formula>0</formula>
    </cfRule>
  </conditionalFormatting>
  <dataValidations count="12">
    <dataValidation type="list" allowBlank="1" showInputMessage="1" showErrorMessage="1" sqref="E22">
      <formula1>"Có nguồn,Không nguồn"</formula1>
    </dataValidation>
    <dataValidation type="list" allowBlank="1" showInputMessage="1" showErrorMessage="1" sqref="G16 J16 M16">
      <formula1>"Viettel, Mobi, Vina"</formula1>
    </dataValidation>
    <dataValidation type="list" allowBlank="1" showInputMessage="1" showErrorMessage="1" sqref="Q16">
      <formula1>$S$16:$S$17</formula1>
    </dataValidation>
    <dataValidation type="list" allowBlank="1" showInputMessage="1" showErrorMessage="1" sqref="Q18">
      <formula1>$S$18:$S$22</formula1>
    </dataValidation>
    <dataValidation type="list" allowBlank="1" showInputMessage="1" showErrorMessage="1" sqref="Q20">
      <formula1>$S$23:$S$25</formula1>
    </dataValidation>
    <dataValidation type="list" allowBlank="1" showInputMessage="1" showErrorMessage="1" sqref="Q6 Q14">
      <formula1>$S$6:$S$8</formula1>
    </dataValidation>
    <dataValidation type="list" allowBlank="1" showInputMessage="1" showErrorMessage="1" sqref="Q31">
      <formula1>$S$30:$S$38</formula1>
    </dataValidation>
    <dataValidation type="list" allowBlank="1" showInputMessage="1" showErrorMessage="1" sqref="M22 E24">
      <formula1>$R$24:$R$25</formula1>
    </dataValidation>
    <dataValidation type="list" allowBlank="1" showInputMessage="1" showErrorMessage="1" sqref="E25">
      <formula1>$Q$29:$Q$30</formula1>
    </dataValidation>
    <dataValidation type="list" allowBlank="1" showInputMessage="1" showErrorMessage="1" sqref="D13">
      <formula1>"KV1,KV2,KV3"</formula1>
    </dataValidation>
    <dataValidation type="list" allowBlank="1" showInputMessage="1" showErrorMessage="1" sqref="J13">
      <formula1>"0,1,2,3,4"</formula1>
    </dataValidation>
    <dataValidation type="list" allowBlank="1" showInputMessage="1" showErrorMessage="1" sqref="J14">
      <formula1>"Treo,Ngầm,Treo_Ngầm"</formula1>
    </dataValidation>
  </dataValidations>
  <pageMargins left="0.2" right="0.2" top="0.25" bottom="0.25" header="0.3" footer="0.3"/>
  <pageSetup scale="55"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Capex_VCC!$B$143:$B$161</xm:f>
          </x14:formula1>
          <xm:sqref>D35</xm:sqref>
        </x14:dataValidation>
        <x14:dataValidation type="list" allowBlank="1" showInputMessage="1" showErrorMessage="1">
          <x14:formula1>
            <xm:f>Capex_VCC!$B$6:$B$60</xm:f>
          </x14:formula1>
          <xm:sqref>D30:G30</xm:sqref>
        </x14:dataValidation>
        <x14:dataValidation type="list" allowBlank="1" showInputMessage="1" showErrorMessage="1">
          <x14:formula1>
            <xm:f>Capex_VCC!$B$61:$B$65</xm:f>
          </x14:formula1>
          <xm:sqref>E31:G31</xm:sqref>
        </x14:dataValidation>
        <x14:dataValidation type="list" allowBlank="1" showInputMessage="1" showErrorMessage="1">
          <x14:formula1>
            <xm:f>Capex_VCC!$B$122:$B$127</xm:f>
          </x14:formula1>
          <xm:sqref>E33:G33</xm:sqref>
        </x14:dataValidation>
        <x14:dataValidation type="list" allowBlank="1" showInputMessage="1" showErrorMessage="1">
          <x14:formula1>
            <xm:f>Capex_VCC!$B$131:$B$141</xm:f>
          </x14:formula1>
          <xm:sqref>E34:G34</xm:sqref>
        </x14:dataValidation>
        <x14:dataValidation type="list" allowBlank="1" showInputMessage="1" showErrorMessage="1">
          <x14:formula1>
            <xm:f>Capex_VCC!$B$144:$B$161</xm:f>
          </x14:formula1>
          <xm:sqref>E35:G35</xm:sqref>
        </x14:dataValidation>
        <x14:dataValidation type="list" allowBlank="1" showInputMessage="1" showErrorMessage="1">
          <x14:formula1>
            <xm:f>Capex_VCC!$B$162:$B$201</xm:f>
          </x14:formula1>
          <xm:sqref>E36:G36</xm:sqref>
        </x14:dataValidation>
        <x14:dataValidation type="list" allowBlank="1" showInputMessage="1" showErrorMessage="1">
          <x14:formula1>
            <xm:f>Capex_VCC!$B$203:$B$206</xm:f>
          </x14:formula1>
          <xm:sqref>D37:G37</xm:sqref>
        </x14:dataValidation>
        <x14:dataValidation type="list" allowBlank="1" showInputMessage="1" showErrorMessage="1">
          <x14:formula1>
            <xm:f>Capex_VCC!$B$207:$B$213</xm:f>
          </x14:formula1>
          <xm:sqref>D39:G41</xm:sqref>
        </x14:dataValidation>
        <x14:dataValidation type="list" allowBlank="1" showInputMessage="1" showErrorMessage="1">
          <x14:formula1>
            <xm:f>Capex_VCC!$D$3:$BO$3</xm:f>
          </x14:formula1>
          <xm:sqref>C13</xm:sqref>
        </x14:dataValidation>
        <x14:dataValidation type="list" allowBlank="1" showInputMessage="1" showErrorMessage="1">
          <x14:formula1>
            <xm:f>Capex_VCC!$B$66:$B$120</xm:f>
          </x14:formula1>
          <xm:sqref>E32:G32</xm:sqref>
        </x14:dataValidation>
        <x14:dataValidation type="list" allowBlank="1" showInputMessage="1" showErrorMessage="1">
          <x14:formula1>
            <xm:f>Capex_VCC!$B$218</xm:f>
          </x14:formula1>
          <xm:sqref>D42:G42</xm:sqref>
        </x14:dataValidation>
        <x14:dataValidation type="list" allowBlank="1" showInputMessage="1" showErrorMessage="1">
          <x14:formula1>
            <xm:f>Capex_VCC!$B$131:$B$142</xm:f>
          </x14:formula1>
          <xm:sqref>D34</xm:sqref>
        </x14:dataValidation>
        <x14:dataValidation type="list" allowBlank="1" showInputMessage="1" showErrorMessage="1">
          <x14:formula1>
            <xm:f>Capex_VCC!$B$66:$B$121</xm:f>
          </x14:formula1>
          <xm:sqref>D32</xm:sqref>
        </x14:dataValidation>
        <x14:dataValidation type="list" allowBlank="1" showInputMessage="1" showErrorMessage="1">
          <x14:formula1>
            <xm:f>Capex_VCC!$B$162:$B$202</xm:f>
          </x14:formula1>
          <xm:sqref>D36</xm:sqref>
        </x14:dataValidation>
        <x14:dataValidation type="list" allowBlank="1" showInputMessage="1" showErrorMessage="1">
          <x14:formula1>
            <xm:f>Capex_VCC!$B$122:$B$129</xm:f>
          </x14:formula1>
          <xm:sqref>D33</xm:sqref>
        </x14:dataValidation>
        <x14:dataValidation type="list" allowBlank="1" showInputMessage="1" showErrorMessage="1">
          <x14:formula1>
            <xm:f>Capex_VCC!$B$61:$B$129</xm:f>
          </x14:formula1>
          <xm:sqref>D31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K3"/>
  <sheetViews>
    <sheetView topLeftCell="Q1" workbookViewId="0">
      <selection activeCell="X15" sqref="X15"/>
    </sheetView>
  </sheetViews>
  <sheetFormatPr defaultColWidth="8.85546875" defaultRowHeight="15"/>
  <cols>
    <col min="4" max="4" width="13.140625" customWidth="1"/>
    <col min="5" max="5" width="16.28515625" customWidth="1"/>
    <col min="6" max="6" width="29.85546875" customWidth="1"/>
    <col min="10" max="10" width="42.42578125" bestFit="1" customWidth="1"/>
    <col min="12" max="12" width="54.7109375" bestFit="1" customWidth="1"/>
    <col min="13" max="13" width="17.5703125" customWidth="1"/>
    <col min="17" max="17" width="12.140625" bestFit="1" customWidth="1"/>
    <col min="18" max="18" width="19" customWidth="1"/>
    <col min="19" max="19" width="16.85546875" bestFit="1" customWidth="1"/>
    <col min="20" max="23" width="16.85546875" customWidth="1"/>
    <col min="24" max="24" width="15.7109375" bestFit="1" customWidth="1"/>
    <col min="25" max="25" width="14.42578125" bestFit="1" customWidth="1"/>
    <col min="26" max="26" width="18.140625" customWidth="1"/>
    <col min="27" max="27" width="20" customWidth="1"/>
    <col min="28" max="28" width="42.28515625" bestFit="1" customWidth="1"/>
    <col min="29" max="29" width="11.42578125" customWidth="1"/>
    <col min="30" max="31" width="11.28515625" customWidth="1"/>
    <col min="32" max="32" width="20.42578125" customWidth="1"/>
    <col min="33" max="33" width="15.7109375" customWidth="1"/>
    <col min="34" max="34" width="15.7109375" bestFit="1" customWidth="1"/>
    <col min="36" max="36" width="13.85546875" customWidth="1"/>
    <col min="37" max="37" width="20" bestFit="1" customWidth="1"/>
  </cols>
  <sheetData>
    <row r="2" spans="1:37" s="675" customFormat="1" ht="55.5" customHeight="1">
      <c r="A2" s="668" t="s">
        <v>238</v>
      </c>
      <c r="B2" s="668" t="s">
        <v>1751</v>
      </c>
      <c r="C2" s="668" t="s">
        <v>525</v>
      </c>
      <c r="D2" s="668" t="s">
        <v>1752</v>
      </c>
      <c r="E2" s="668" t="s">
        <v>1753</v>
      </c>
      <c r="F2" s="668" t="s">
        <v>1754</v>
      </c>
      <c r="G2" s="668" t="s">
        <v>403</v>
      </c>
      <c r="H2" s="668" t="s">
        <v>1755</v>
      </c>
      <c r="I2" s="669" t="s">
        <v>1756</v>
      </c>
      <c r="J2" s="670" t="s">
        <v>1757</v>
      </c>
      <c r="K2" s="670" t="s">
        <v>1758</v>
      </c>
      <c r="L2" s="670" t="s">
        <v>1759</v>
      </c>
      <c r="M2" s="670" t="s">
        <v>113</v>
      </c>
      <c r="N2" s="670" t="s">
        <v>1760</v>
      </c>
      <c r="O2" s="670" t="s">
        <v>1761</v>
      </c>
      <c r="P2" s="670" t="s">
        <v>1762</v>
      </c>
      <c r="Q2" s="670" t="s">
        <v>1763</v>
      </c>
      <c r="R2" s="670" t="s">
        <v>1764</v>
      </c>
      <c r="S2" s="671" t="s">
        <v>1799</v>
      </c>
      <c r="T2" s="671" t="s">
        <v>1798</v>
      </c>
      <c r="U2" s="671" t="s">
        <v>1800</v>
      </c>
      <c r="V2" s="671" t="s">
        <v>1801</v>
      </c>
      <c r="W2" s="671" t="s">
        <v>1802</v>
      </c>
      <c r="X2" s="672" t="s">
        <v>1803</v>
      </c>
      <c r="Y2" s="672" t="s">
        <v>1765</v>
      </c>
      <c r="Z2" s="672" t="s">
        <v>1766</v>
      </c>
      <c r="AA2" s="672" t="s">
        <v>1767</v>
      </c>
      <c r="AB2" s="668" t="s">
        <v>355</v>
      </c>
      <c r="AC2" s="673" t="s">
        <v>1768</v>
      </c>
      <c r="AD2" s="674" t="s">
        <v>1769</v>
      </c>
      <c r="AE2" s="674" t="s">
        <v>1770</v>
      </c>
      <c r="AF2" s="674" t="s">
        <v>1804</v>
      </c>
      <c r="AG2" s="674" t="s">
        <v>429</v>
      </c>
      <c r="AH2" s="668" t="s">
        <v>430</v>
      </c>
      <c r="AI2" s="668" t="s">
        <v>1771</v>
      </c>
      <c r="AJ2" s="668" t="s">
        <v>1745</v>
      </c>
      <c r="AK2" s="668" t="s">
        <v>1772</v>
      </c>
    </row>
    <row r="3" spans="1:37" s="6" customFormat="1" ht="18" customHeight="1">
      <c r="A3" s="676">
        <v>1</v>
      </c>
      <c r="B3" s="676" t="str">
        <f>'Template tram'!D13</f>
        <v>KV2</v>
      </c>
      <c r="C3" s="676" t="str">
        <f>'Template tram'!C13</f>
        <v>BTN</v>
      </c>
      <c r="D3" s="677" t="str">
        <f>'Template tram'!H16</f>
        <v>BTN0154-11</v>
      </c>
      <c r="E3" s="677" t="str">
        <f>'Template tram'!I16</f>
        <v>CTBTN0065</v>
      </c>
      <c r="F3" s="678" t="str">
        <f>'Template tram'!H17</f>
        <v>Khu A….</v>
      </c>
      <c r="G3" s="679" t="str">
        <f>'Template tram'!Q20</f>
        <v>trạm BTS</v>
      </c>
      <c r="H3" s="679" t="str">
        <f>'Template tram'!Q16</f>
        <v>Dưới đất</v>
      </c>
      <c r="I3" s="679">
        <f>'Template tram'!H13</f>
        <v>42</v>
      </c>
      <c r="J3" s="676" t="str">
        <f>'Template tram'!D30</f>
        <v>Cột tự đứng 18m (dưới đất)- Tự đứng 3 đốt 600</v>
      </c>
      <c r="K3" s="676">
        <f>'Template tram'!J13</f>
        <v>4</v>
      </c>
      <c r="L3" s="676" t="str">
        <f>+'Template tram'!D33</f>
        <v>Cung cấp Phòng máy cải tạo, ngăn vách kính (tạm tính 18 m2)</v>
      </c>
      <c r="M3" s="680" t="str">
        <f>+'Template tram'!D34</f>
        <v>Tiếp địa 12 cọc</v>
      </c>
      <c r="N3" s="676">
        <f>'Template tram'!H14</f>
        <v>100</v>
      </c>
      <c r="O3" s="676">
        <f>+'Template tram'!L14</f>
        <v>4</v>
      </c>
      <c r="P3" s="676">
        <f>+'Template tram'!N14</f>
        <v>50</v>
      </c>
      <c r="Q3" s="676" t="str">
        <f>'Template tram'!E22</f>
        <v>Không nguồn</v>
      </c>
      <c r="R3" s="681">
        <f>+'Template tram'!I84</f>
        <v>1000000</v>
      </c>
      <c r="S3" s="681">
        <f>+'Template tram'!I85</f>
        <v>2500000</v>
      </c>
      <c r="T3" s="681">
        <f>+'Đầu vào'!L30</f>
        <v>77344114.725964338</v>
      </c>
      <c r="U3" s="681">
        <f>+'Đầu vào'!L31</f>
        <v>34075777.649999999</v>
      </c>
      <c r="V3" s="681">
        <f>+'Đầu vào'!L32</f>
        <v>77789326.950000003</v>
      </c>
      <c r="W3" s="681">
        <f>+'Đầu vào'!L33</f>
        <v>29006992.799999997</v>
      </c>
      <c r="X3" s="682">
        <f>+'Chào giá'!I14</f>
        <v>218216212.12596434</v>
      </c>
      <c r="Y3" s="682">
        <f>'Chào giá'!J29</f>
        <v>4326399.8572218437</v>
      </c>
      <c r="Z3" s="682">
        <f>+'Chào giá'!J30</f>
        <v>0</v>
      </c>
      <c r="AA3" s="682">
        <f>+SUM(Y3:Z3)</f>
        <v>4326399.8572218437</v>
      </c>
      <c r="AB3" s="683" t="str">
        <f>IF('Template tram'!K42&lt;&gt;"",'Template tram'!D42,"")</f>
        <v>Chi phí vật tư và nhân công lắp đặt điều hòa,….</v>
      </c>
      <c r="AC3" s="684"/>
      <c r="AD3" s="685">
        <f ca="1">IF(X3&lt;&gt;0,TODAY(),)</f>
        <v>44375</v>
      </c>
      <c r="AE3" s="683" t="s">
        <v>1805</v>
      </c>
      <c r="AF3" s="700">
        <f>'Hiệu quả'!I3</f>
        <v>62148482.754245333</v>
      </c>
      <c r="AG3" s="682">
        <f>+'Template tram'!E87</f>
        <v>100232132.31064983</v>
      </c>
      <c r="AH3" s="686">
        <f>+'Template tram'!E88</f>
        <v>0.78587569580960892</v>
      </c>
      <c r="AI3" s="687">
        <f>+'Template tram'!E89</f>
        <v>1.3076588061614818</v>
      </c>
      <c r="AJ3" s="688">
        <f>+'Template tram'!E90</f>
        <v>0.41187581448906785</v>
      </c>
      <c r="AK3" s="683" t="str">
        <f>+'Template tram'!C92</f>
        <v>HIỆU QUẢ</v>
      </c>
    </row>
  </sheetData>
  <conditionalFormatting sqref="D3">
    <cfRule type="duplicateValues" dxfId="1" priority="1"/>
  </conditionalFormatting>
  <conditionalFormatting sqref="D2:D3">
    <cfRule type="duplicateValues" dxfId="0" priority="2"/>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R26"/>
  <sheetViews>
    <sheetView workbookViewId="0">
      <selection activeCell="G27" sqref="G27"/>
    </sheetView>
  </sheetViews>
  <sheetFormatPr defaultColWidth="9.140625" defaultRowHeight="15"/>
  <cols>
    <col min="1" max="1" width="9.140625" style="283"/>
    <col min="2" max="2" width="6.42578125" style="283" customWidth="1"/>
    <col min="3" max="3" width="28.140625" style="283" customWidth="1"/>
    <col min="4" max="18" width="14.85546875" style="283" customWidth="1"/>
    <col min="19" max="16384" width="9.140625" style="283"/>
  </cols>
  <sheetData>
    <row r="1" spans="1:18" ht="17.25">
      <c r="A1" s="282" t="s">
        <v>1533</v>
      </c>
    </row>
    <row r="2" spans="1:18" ht="15.75" thickBot="1"/>
    <row r="3" spans="1:18" ht="28.5">
      <c r="B3" s="284" t="s">
        <v>238</v>
      </c>
      <c r="C3" s="285" t="s">
        <v>353</v>
      </c>
      <c r="D3" s="286" t="s">
        <v>1534</v>
      </c>
      <c r="E3" s="286" t="s">
        <v>1535</v>
      </c>
      <c r="F3" s="286" t="s">
        <v>1536</v>
      </c>
      <c r="G3" s="286" t="s">
        <v>1537</v>
      </c>
      <c r="H3" s="287" t="s">
        <v>1538</v>
      </c>
      <c r="I3" s="288"/>
      <c r="J3" s="289"/>
    </row>
    <row r="4" spans="1:18">
      <c r="B4" s="290" t="s">
        <v>0</v>
      </c>
      <c r="C4" s="291" t="s">
        <v>388</v>
      </c>
      <c r="D4" s="292"/>
      <c r="E4" s="293"/>
      <c r="F4" s="294">
        <f>+SUM(F5:F6)</f>
        <v>62148482.754245333</v>
      </c>
      <c r="G4" s="292"/>
      <c r="H4" s="295"/>
    </row>
    <row r="5" spans="1:18">
      <c r="B5" s="296">
        <v>1</v>
      </c>
      <c r="C5" s="297" t="s">
        <v>1539</v>
      </c>
      <c r="D5" s="298">
        <v>7</v>
      </c>
      <c r="E5" s="299">
        <v>15</v>
      </c>
      <c r="F5" s="300">
        <f>+'Hiệu quả'!I3</f>
        <v>62148482.754245333</v>
      </c>
      <c r="G5" s="301" t="s">
        <v>1540</v>
      </c>
      <c r="H5" s="302">
        <f>+SUMIF($D$5:$D$15,4,$F$5:$F$15)</f>
        <v>0</v>
      </c>
      <c r="J5" s="289"/>
      <c r="K5" s="303"/>
    </row>
    <row r="6" spans="1:18">
      <c r="B6" s="296">
        <v>2</v>
      </c>
      <c r="C6" s="297" t="s">
        <v>390</v>
      </c>
      <c r="D6" s="304"/>
      <c r="E6" s="305"/>
      <c r="F6" s="300">
        <f>+'Hiệu quả'!I4</f>
        <v>0</v>
      </c>
      <c r="G6" s="301" t="s">
        <v>1541</v>
      </c>
      <c r="H6" s="302">
        <f>+SUMIF($D$5:$D$15,7,$F$5:$F$15)</f>
        <v>62148482.754245333</v>
      </c>
      <c r="J6" s="289"/>
      <c r="K6" s="303"/>
    </row>
    <row r="7" spans="1:18" ht="15.75">
      <c r="B7" s="296" t="s">
        <v>1542</v>
      </c>
      <c r="C7" s="72" t="s">
        <v>391</v>
      </c>
      <c r="D7" s="304">
        <v>7</v>
      </c>
      <c r="E7" s="305">
        <v>10</v>
      </c>
      <c r="F7" s="300">
        <f>+'Hiệu quả'!I5</f>
        <v>0</v>
      </c>
      <c r="G7" s="301" t="s">
        <v>1543</v>
      </c>
      <c r="H7" s="302">
        <f>+SUMIF($D$5:$D$15,10,$F$5:$F$15)</f>
        <v>0</v>
      </c>
      <c r="I7" s="306"/>
      <c r="J7" s="307"/>
    </row>
    <row r="8" spans="1:18" ht="15.75">
      <c r="B8" s="296" t="s">
        <v>1542</v>
      </c>
      <c r="C8" s="72" t="s">
        <v>392</v>
      </c>
      <c r="D8" s="304">
        <v>7</v>
      </c>
      <c r="E8" s="305">
        <v>10</v>
      </c>
      <c r="F8" s="300">
        <f>+'Hiệu quả'!I6</f>
        <v>0</v>
      </c>
      <c r="G8" s="308"/>
      <c r="H8" s="309"/>
      <c r="J8" s="307"/>
    </row>
    <row r="9" spans="1:18" ht="15.75">
      <c r="B9" s="296" t="s">
        <v>1542</v>
      </c>
      <c r="C9" s="72" t="s">
        <v>393</v>
      </c>
      <c r="D9" s="304">
        <v>4</v>
      </c>
      <c r="E9" s="305">
        <v>5</v>
      </c>
      <c r="F9" s="300">
        <f>+'Hiệu quả'!I7</f>
        <v>0</v>
      </c>
      <c r="G9" s="308"/>
      <c r="H9" s="309"/>
      <c r="J9" s="307"/>
    </row>
    <row r="10" spans="1:18" ht="15" customHeight="1">
      <c r="B10" s="296" t="s">
        <v>1542</v>
      </c>
      <c r="C10" s="72" t="s">
        <v>394</v>
      </c>
      <c r="D10" s="304">
        <v>7</v>
      </c>
      <c r="E10" s="305">
        <v>10</v>
      </c>
      <c r="F10" s="300">
        <f>+'Hiệu quả'!I8</f>
        <v>0</v>
      </c>
      <c r="G10" s="308"/>
      <c r="H10" s="309"/>
      <c r="J10" s="307"/>
    </row>
    <row r="11" spans="1:18" ht="15.75">
      <c r="B11" s="296" t="s">
        <v>1542</v>
      </c>
      <c r="C11" s="72" t="s">
        <v>395</v>
      </c>
      <c r="D11" s="304">
        <v>7</v>
      </c>
      <c r="E11" s="305">
        <v>10</v>
      </c>
      <c r="F11" s="300">
        <f>+'Hiệu quả'!I9</f>
        <v>0</v>
      </c>
      <c r="G11" s="308"/>
      <c r="H11" s="309"/>
      <c r="J11" s="307"/>
    </row>
    <row r="12" spans="1:18" ht="15.75">
      <c r="B12" s="296" t="s">
        <v>1542</v>
      </c>
      <c r="C12" s="72" t="s">
        <v>396</v>
      </c>
      <c r="D12" s="304">
        <v>7</v>
      </c>
      <c r="E12" s="305">
        <v>10</v>
      </c>
      <c r="F12" s="300">
        <f>+'Hiệu quả'!I10</f>
        <v>0</v>
      </c>
      <c r="G12" s="308"/>
      <c r="H12" s="309"/>
      <c r="J12" s="307"/>
    </row>
    <row r="13" spans="1:18" ht="15.75">
      <c r="B13" s="310" t="s">
        <v>1542</v>
      </c>
      <c r="C13" s="72" t="s">
        <v>398</v>
      </c>
      <c r="D13" s="304">
        <v>7</v>
      </c>
      <c r="E13" s="305">
        <v>10</v>
      </c>
      <c r="F13" s="300">
        <f>+'Hiệu quả'!I11</f>
        <v>0</v>
      </c>
      <c r="G13" s="308"/>
      <c r="H13" s="309"/>
      <c r="J13" s="307"/>
    </row>
    <row r="14" spans="1:18" ht="16.5" thickBot="1">
      <c r="B14" s="311"/>
      <c r="C14" s="72" t="s">
        <v>399</v>
      </c>
      <c r="D14" s="304">
        <v>7</v>
      </c>
      <c r="E14" s="305">
        <v>10</v>
      </c>
      <c r="F14" s="300">
        <f>+'Hiệu quả'!I12</f>
        <v>0</v>
      </c>
      <c r="G14" s="312"/>
      <c r="H14" s="313"/>
      <c r="J14" s="307"/>
    </row>
    <row r="15" spans="1:18" ht="15.75">
      <c r="C15" s="72" t="s">
        <v>472</v>
      </c>
      <c r="D15" s="304">
        <v>7</v>
      </c>
      <c r="E15" s="305">
        <v>10</v>
      </c>
      <c r="F15" s="300">
        <f>+'Hiệu quả'!I13</f>
        <v>0</v>
      </c>
    </row>
    <row r="16" spans="1:18">
      <c r="B16" s="789"/>
      <c r="C16" s="789"/>
      <c r="D16" s="789"/>
      <c r="E16" s="789"/>
      <c r="F16" s="789"/>
      <c r="G16" s="789"/>
      <c r="H16" s="789"/>
      <c r="I16" s="789"/>
      <c r="J16" s="789"/>
      <c r="K16" s="789"/>
      <c r="L16" s="789"/>
      <c r="M16" s="789"/>
      <c r="N16" s="789"/>
      <c r="O16" s="789"/>
      <c r="P16" s="789"/>
      <c r="Q16" s="789"/>
      <c r="R16" s="789"/>
    </row>
    <row r="17" spans="1:18" ht="18" thickBot="1">
      <c r="A17" s="282" t="s">
        <v>1544</v>
      </c>
      <c r="Q17" s="314" t="s">
        <v>1545</v>
      </c>
      <c r="R17" s="314"/>
    </row>
    <row r="18" spans="1:18">
      <c r="B18" s="315"/>
      <c r="C18" s="316" t="s">
        <v>383</v>
      </c>
      <c r="D18" s="317">
        <v>1</v>
      </c>
      <c r="E18" s="317">
        <v>2</v>
      </c>
      <c r="F18" s="317">
        <v>3</v>
      </c>
      <c r="G18" s="317">
        <v>4</v>
      </c>
      <c r="H18" s="317">
        <v>5</v>
      </c>
      <c r="I18" s="317">
        <v>6</v>
      </c>
      <c r="J18" s="317">
        <v>7</v>
      </c>
      <c r="K18" s="317">
        <v>8</v>
      </c>
      <c r="L18" s="317">
        <v>9</v>
      </c>
      <c r="M18" s="317">
        <v>10</v>
      </c>
      <c r="N18" s="317">
        <v>11</v>
      </c>
      <c r="O18" s="317">
        <v>12</v>
      </c>
      <c r="P18" s="317">
        <v>13</v>
      </c>
      <c r="Q18" s="317">
        <v>14</v>
      </c>
      <c r="R18" s="318">
        <v>15</v>
      </c>
    </row>
    <row r="19" spans="1:18" s="319" customFormat="1">
      <c r="B19" s="320"/>
      <c r="C19" s="321" t="s">
        <v>400</v>
      </c>
      <c r="D19" s="322">
        <f t="shared" ref="D19:R19" si="0">SUM(D20:D22)</f>
        <v>8878354.6791779045</v>
      </c>
      <c r="E19" s="322">
        <f t="shared" si="0"/>
        <v>8878354.6791779045</v>
      </c>
      <c r="F19" s="322">
        <f t="shared" si="0"/>
        <v>8878354.6791779045</v>
      </c>
      <c r="G19" s="322">
        <f t="shared" si="0"/>
        <v>8878354.6791779045</v>
      </c>
      <c r="H19" s="322">
        <f t="shared" si="0"/>
        <v>8878354.6791779045</v>
      </c>
      <c r="I19" s="322">
        <f t="shared" si="0"/>
        <v>8878354.6791779045</v>
      </c>
      <c r="J19" s="322">
        <f t="shared" si="0"/>
        <v>8878354.6791779045</v>
      </c>
      <c r="K19" s="322">
        <f t="shared" si="0"/>
        <v>0</v>
      </c>
      <c r="L19" s="322">
        <f t="shared" si="0"/>
        <v>0</v>
      </c>
      <c r="M19" s="322">
        <f t="shared" si="0"/>
        <v>0</v>
      </c>
      <c r="N19" s="322">
        <f t="shared" si="0"/>
        <v>0</v>
      </c>
      <c r="O19" s="322">
        <f t="shared" si="0"/>
        <v>0</v>
      </c>
      <c r="P19" s="322">
        <f t="shared" si="0"/>
        <v>0</v>
      </c>
      <c r="Q19" s="322">
        <f t="shared" si="0"/>
        <v>0</v>
      </c>
      <c r="R19" s="323">
        <f t="shared" si="0"/>
        <v>0</v>
      </c>
    </row>
    <row r="20" spans="1:18">
      <c r="B20" s="324"/>
      <c r="C20" s="325" t="s">
        <v>1546</v>
      </c>
      <c r="D20" s="326">
        <f>+$H$5/4</f>
        <v>0</v>
      </c>
      <c r="E20" s="326">
        <f>+$H$5/4</f>
        <v>0</v>
      </c>
      <c r="F20" s="326">
        <f>+$H$5/4</f>
        <v>0</v>
      </c>
      <c r="G20" s="326">
        <f>+$H$5/4</f>
        <v>0</v>
      </c>
      <c r="H20" s="326"/>
      <c r="I20" s="326">
        <f>$H$5/4</f>
        <v>0</v>
      </c>
      <c r="J20" s="326">
        <f>$H$5/4</f>
        <v>0</v>
      </c>
      <c r="K20" s="326">
        <f>$H$5/4</f>
        <v>0</v>
      </c>
      <c r="L20" s="326">
        <f>$H$5/4</f>
        <v>0</v>
      </c>
      <c r="M20" s="326"/>
      <c r="N20" s="326">
        <f>+I20</f>
        <v>0</v>
      </c>
      <c r="O20" s="326">
        <f>+J20</f>
        <v>0</v>
      </c>
      <c r="P20" s="326">
        <f>+K20</f>
        <v>0</v>
      </c>
      <c r="Q20" s="326">
        <f>+L20</f>
        <v>0</v>
      </c>
      <c r="R20" s="327"/>
    </row>
    <row r="21" spans="1:18">
      <c r="B21" s="324"/>
      <c r="C21" s="325" t="s">
        <v>1547</v>
      </c>
      <c r="D21" s="326">
        <f>+$H$6/7</f>
        <v>8878354.6791779045</v>
      </c>
      <c r="E21" s="326">
        <f t="shared" ref="E21:J21" si="1">+$H$6/7</f>
        <v>8878354.6791779045</v>
      </c>
      <c r="F21" s="326">
        <f t="shared" si="1"/>
        <v>8878354.6791779045</v>
      </c>
      <c r="G21" s="326">
        <f t="shared" si="1"/>
        <v>8878354.6791779045</v>
      </c>
      <c r="H21" s="326">
        <f t="shared" si="1"/>
        <v>8878354.6791779045</v>
      </c>
      <c r="I21" s="326">
        <f t="shared" si="1"/>
        <v>8878354.6791779045</v>
      </c>
      <c r="J21" s="326">
        <f t="shared" si="1"/>
        <v>8878354.6791779045</v>
      </c>
      <c r="K21" s="326"/>
      <c r="L21" s="326"/>
      <c r="M21" s="326"/>
      <c r="N21" s="326"/>
      <c r="O21" s="326"/>
      <c r="P21" s="326"/>
      <c r="Q21" s="326"/>
      <c r="R21" s="327"/>
    </row>
    <row r="22" spans="1:18" ht="15.75" thickBot="1">
      <c r="B22" s="328"/>
      <c r="C22" s="329" t="s">
        <v>1548</v>
      </c>
      <c r="D22" s="330">
        <f>+$H$7/10</f>
        <v>0</v>
      </c>
      <c r="E22" s="330">
        <f t="shared" ref="E22:M22" si="2">+$H$7/10</f>
        <v>0</v>
      </c>
      <c r="F22" s="330">
        <f t="shared" si="2"/>
        <v>0</v>
      </c>
      <c r="G22" s="330">
        <f t="shared" si="2"/>
        <v>0</v>
      </c>
      <c r="H22" s="330">
        <f t="shared" si="2"/>
        <v>0</v>
      </c>
      <c r="I22" s="330">
        <f t="shared" si="2"/>
        <v>0</v>
      </c>
      <c r="J22" s="330">
        <f t="shared" si="2"/>
        <v>0</v>
      </c>
      <c r="K22" s="330">
        <f t="shared" si="2"/>
        <v>0</v>
      </c>
      <c r="L22" s="330">
        <f t="shared" si="2"/>
        <v>0</v>
      </c>
      <c r="M22" s="330">
        <f t="shared" si="2"/>
        <v>0</v>
      </c>
      <c r="N22" s="330"/>
      <c r="O22" s="330"/>
      <c r="P22" s="330"/>
      <c r="Q22" s="330"/>
      <c r="R22" s="331"/>
    </row>
    <row r="26" spans="1:18">
      <c r="E26" s="303"/>
      <c r="F26" s="303"/>
      <c r="G26" s="303"/>
      <c r="H26" s="303"/>
      <c r="I26" s="303"/>
      <c r="J26" s="303"/>
      <c r="K26" s="303"/>
      <c r="L26" s="303"/>
      <c r="M26" s="303"/>
      <c r="N26" s="303"/>
      <c r="O26" s="303"/>
      <c r="P26" s="303"/>
      <c r="Q26" s="303"/>
      <c r="R26" s="303"/>
    </row>
  </sheetData>
  <sheetProtection algorithmName="SHA-512" hashValue="GBL5SMrI0jA3gj6xJh9eSUR7S07cbEnPurLPvGkTP4/eUBvWDdK324ePRvsrl5OY5fQ2ZznRxlTaIA9bQo2yyA==" saltValue="s+EcJy9QXU/qjNlEDnJFpw==" spinCount="100000" sheet="1" objects="1" scenarios="1"/>
  <mergeCells count="1">
    <mergeCell ref="B16:R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BO202"/>
  <sheetViews>
    <sheetView zoomScaleNormal="100" workbookViewId="0">
      <pane xSplit="3" ySplit="3" topLeftCell="D117" activePane="bottomRight" state="frozen"/>
      <selection pane="topRight" activeCell="D1" sqref="D1"/>
      <selection pane="bottomLeft" activeCell="A4" sqref="A4"/>
      <selection pane="bottomRight" activeCell="D1" sqref="D1:J1048576"/>
    </sheetView>
  </sheetViews>
  <sheetFormatPr defaultColWidth="9.140625" defaultRowHeight="15"/>
  <cols>
    <col min="1" max="1" width="9.140625" style="106"/>
    <col min="2" max="2" width="46.42578125" style="2" customWidth="1"/>
    <col min="3" max="3" width="7.140625" style="106" customWidth="1"/>
    <col min="4" max="4" width="20.42578125" style="6" customWidth="1"/>
    <col min="5" max="10" width="14.42578125" style="6" customWidth="1"/>
    <col min="11" max="26" width="14.42578125" style="2" customWidth="1"/>
    <col min="27" max="27" width="15.140625" style="2" customWidth="1"/>
    <col min="28" max="28" width="16" style="2" customWidth="1"/>
    <col min="29" max="29" width="14.42578125" style="2" customWidth="1"/>
    <col min="30" max="30" width="14.140625" style="2" customWidth="1"/>
    <col min="31" max="32" width="14.42578125" style="2" customWidth="1"/>
    <col min="33" max="33" width="15.28515625" style="2" customWidth="1"/>
    <col min="34" max="38" width="14.42578125" style="90" customWidth="1"/>
    <col min="39" max="48" width="14.42578125" style="2" customWidth="1"/>
    <col min="49" max="67" width="14.42578125" style="2" bestFit="1" customWidth="1"/>
    <col min="68" max="16384" width="9.140625" style="2"/>
  </cols>
  <sheetData>
    <row r="2" spans="1:67">
      <c r="A2" s="229"/>
      <c r="B2" s="230"/>
      <c r="C2" s="223"/>
      <c r="D2" s="792" t="s">
        <v>32</v>
      </c>
      <c r="E2" s="792"/>
      <c r="F2" s="792"/>
      <c r="G2" s="792"/>
      <c r="H2" s="792"/>
      <c r="I2" s="792"/>
      <c r="J2" s="792"/>
      <c r="K2" s="793" t="s">
        <v>33</v>
      </c>
      <c r="L2" s="793"/>
      <c r="M2" s="793"/>
      <c r="N2" s="793"/>
      <c r="O2" s="793"/>
      <c r="P2" s="793"/>
      <c r="Q2" s="793"/>
      <c r="R2" s="793"/>
      <c r="S2" s="793"/>
      <c r="T2" s="791" t="s">
        <v>34</v>
      </c>
      <c r="U2" s="791"/>
      <c r="V2" s="791"/>
      <c r="W2" s="791"/>
      <c r="X2" s="790" t="s">
        <v>35</v>
      </c>
      <c r="Y2" s="790"/>
      <c r="Z2" s="790"/>
      <c r="AA2" s="622" t="s">
        <v>36</v>
      </c>
      <c r="AB2" s="624" t="s">
        <v>37</v>
      </c>
      <c r="AC2" s="791" t="s">
        <v>38</v>
      </c>
      <c r="AD2" s="791"/>
      <c r="AE2" s="624" t="s">
        <v>39</v>
      </c>
      <c r="AF2" s="791" t="s">
        <v>40</v>
      </c>
      <c r="AG2" s="791"/>
      <c r="AH2" s="790" t="s">
        <v>41</v>
      </c>
      <c r="AI2" s="790"/>
      <c r="AJ2" s="790"/>
      <c r="AK2" s="790"/>
      <c r="AL2" s="790"/>
      <c r="AM2" s="790"/>
      <c r="AN2" s="791" t="s">
        <v>42</v>
      </c>
      <c r="AO2" s="791"/>
      <c r="AP2" s="791"/>
      <c r="AQ2" s="791"/>
      <c r="AR2" s="791"/>
      <c r="AS2" s="791"/>
      <c r="AT2" s="791"/>
      <c r="AU2" s="791"/>
      <c r="AV2" s="791"/>
      <c r="AW2" s="790" t="s">
        <v>43</v>
      </c>
      <c r="AX2" s="790"/>
      <c r="AY2" s="790"/>
      <c r="AZ2" s="790"/>
      <c r="BA2" s="790"/>
      <c r="BB2" s="790"/>
      <c r="BC2" s="791" t="s">
        <v>44</v>
      </c>
      <c r="BD2" s="791"/>
      <c r="BE2" s="791"/>
      <c r="BF2" s="791"/>
      <c r="BG2" s="791"/>
      <c r="BH2" s="791"/>
      <c r="BI2" s="791"/>
      <c r="BJ2" s="791"/>
      <c r="BK2" s="791"/>
      <c r="BL2" s="791"/>
      <c r="BM2" s="791"/>
      <c r="BN2" s="791"/>
      <c r="BO2" s="791"/>
    </row>
    <row r="3" spans="1:67">
      <c r="A3" s="223"/>
      <c r="B3" s="230" t="s">
        <v>235</v>
      </c>
      <c r="C3" s="223">
        <v>1</v>
      </c>
      <c r="D3" s="622" t="s">
        <v>47</v>
      </c>
      <c r="E3" s="622" t="s">
        <v>48</v>
      </c>
      <c r="F3" s="622" t="s">
        <v>49</v>
      </c>
      <c r="G3" s="622" t="s">
        <v>50</v>
      </c>
      <c r="H3" s="622" t="s">
        <v>51</v>
      </c>
      <c r="I3" s="622" t="s">
        <v>53</v>
      </c>
      <c r="J3" s="622" t="s">
        <v>52</v>
      </c>
      <c r="K3" s="623" t="s">
        <v>54</v>
      </c>
      <c r="L3" s="623" t="s">
        <v>55</v>
      </c>
      <c r="M3" s="623" t="s">
        <v>56</v>
      </c>
      <c r="N3" s="623" t="s">
        <v>526</v>
      </c>
      <c r="O3" s="623" t="s">
        <v>58</v>
      </c>
      <c r="P3" s="623" t="s">
        <v>59</v>
      </c>
      <c r="Q3" s="623" t="s">
        <v>60</v>
      </c>
      <c r="R3" s="623" t="s">
        <v>61</v>
      </c>
      <c r="S3" s="623" t="s">
        <v>62</v>
      </c>
      <c r="T3" s="151" t="s">
        <v>63</v>
      </c>
      <c r="U3" s="151" t="s">
        <v>64</v>
      </c>
      <c r="V3" s="151" t="s">
        <v>65</v>
      </c>
      <c r="W3" s="151" t="s">
        <v>66</v>
      </c>
      <c r="X3" s="151" t="s">
        <v>67</v>
      </c>
      <c r="Y3" s="151" t="s">
        <v>68</v>
      </c>
      <c r="Z3" s="151" t="s">
        <v>69</v>
      </c>
      <c r="AA3" s="234" t="s">
        <v>440</v>
      </c>
      <c r="AB3" s="152" t="s">
        <v>441</v>
      </c>
      <c r="AC3" s="151" t="s">
        <v>70</v>
      </c>
      <c r="AD3" s="151" t="s">
        <v>71</v>
      </c>
      <c r="AE3" s="230" t="s">
        <v>72</v>
      </c>
      <c r="AF3" s="151" t="s">
        <v>73</v>
      </c>
      <c r="AG3" s="151" t="s">
        <v>74</v>
      </c>
      <c r="AH3" s="235" t="s">
        <v>75</v>
      </c>
      <c r="AI3" s="235" t="s">
        <v>76</v>
      </c>
      <c r="AJ3" s="235" t="s">
        <v>77</v>
      </c>
      <c r="AK3" s="235" t="s">
        <v>78</v>
      </c>
      <c r="AL3" s="235" t="s">
        <v>79</v>
      </c>
      <c r="AM3" s="151" t="s">
        <v>80</v>
      </c>
      <c r="AN3" s="151" t="s">
        <v>81</v>
      </c>
      <c r="AO3" s="151" t="s">
        <v>82</v>
      </c>
      <c r="AP3" s="151" t="s">
        <v>83</v>
      </c>
      <c r="AQ3" s="151" t="s">
        <v>84</v>
      </c>
      <c r="AR3" s="151" t="s">
        <v>85</v>
      </c>
      <c r="AS3" s="151" t="s">
        <v>86</v>
      </c>
      <c r="AT3" s="151" t="s">
        <v>87</v>
      </c>
      <c r="AU3" s="151" t="s">
        <v>88</v>
      </c>
      <c r="AV3" s="151" t="s">
        <v>89</v>
      </c>
      <c r="AW3" s="151" t="s">
        <v>90</v>
      </c>
      <c r="AX3" s="151" t="s">
        <v>91</v>
      </c>
      <c r="AY3" s="151" t="s">
        <v>92</v>
      </c>
      <c r="AZ3" s="151" t="s">
        <v>93</v>
      </c>
      <c r="BA3" s="151" t="s">
        <v>94</v>
      </c>
      <c r="BB3" s="151" t="s">
        <v>95</v>
      </c>
      <c r="BC3" s="151" t="s">
        <v>96</v>
      </c>
      <c r="BD3" s="151" t="s">
        <v>97</v>
      </c>
      <c r="BE3" s="151" t="s">
        <v>98</v>
      </c>
      <c r="BF3" s="151" t="s">
        <v>99</v>
      </c>
      <c r="BG3" s="151" t="s">
        <v>100</v>
      </c>
      <c r="BH3" s="151" t="s">
        <v>101</v>
      </c>
      <c r="BI3" s="151" t="s">
        <v>102</v>
      </c>
      <c r="BJ3" s="151" t="s">
        <v>103</v>
      </c>
      <c r="BK3" s="151" t="s">
        <v>104</v>
      </c>
      <c r="BL3" s="151" t="s">
        <v>105</v>
      </c>
      <c r="BM3" s="151" t="s">
        <v>106</v>
      </c>
      <c r="BN3" s="151" t="s">
        <v>107</v>
      </c>
      <c r="BO3" s="151" t="s">
        <v>108</v>
      </c>
    </row>
    <row r="4" spans="1:67">
      <c r="A4" s="223" t="s">
        <v>0</v>
      </c>
      <c r="B4" s="230" t="s">
        <v>218</v>
      </c>
      <c r="C4" s="223">
        <v>2</v>
      </c>
      <c r="D4" s="622" t="s">
        <v>551</v>
      </c>
      <c r="E4" s="622" t="s">
        <v>551</v>
      </c>
      <c r="F4" s="622" t="s">
        <v>551</v>
      </c>
      <c r="G4" s="622" t="str">
        <f>+P4</f>
        <v>Nhóm 3</v>
      </c>
      <c r="H4" s="622" t="s">
        <v>551</v>
      </c>
      <c r="I4" s="622" t="s">
        <v>551</v>
      </c>
      <c r="J4" s="622" t="s">
        <v>551</v>
      </c>
      <c r="K4" s="623" t="s">
        <v>551</v>
      </c>
      <c r="L4" s="623" t="s">
        <v>551</v>
      </c>
      <c r="M4" s="623" t="s">
        <v>551</v>
      </c>
      <c r="N4" s="623" t="s">
        <v>551</v>
      </c>
      <c r="O4" s="623" t="s">
        <v>551</v>
      </c>
      <c r="P4" s="623" t="s">
        <v>552</v>
      </c>
      <c r="Q4" s="623" t="s">
        <v>552</v>
      </c>
      <c r="R4" s="623" t="s">
        <v>551</v>
      </c>
      <c r="S4" s="623" t="s">
        <v>553</v>
      </c>
      <c r="T4" s="151" t="s">
        <v>553</v>
      </c>
      <c r="U4" s="151" t="s">
        <v>553</v>
      </c>
      <c r="V4" s="151" t="s">
        <v>558</v>
      </c>
      <c r="W4" s="151" t="s">
        <v>552</v>
      </c>
      <c r="X4" s="151" t="str">
        <f>+W4</f>
        <v>Nhóm 3</v>
      </c>
      <c r="Y4" s="151" t="str">
        <f>+U4</f>
        <v>Nhóm 4</v>
      </c>
      <c r="Z4" s="151" t="str">
        <f>+U4</f>
        <v>Nhóm 4</v>
      </c>
      <c r="AA4" s="234" t="s">
        <v>550</v>
      </c>
      <c r="AB4" s="151" t="s">
        <v>550</v>
      </c>
      <c r="AC4" s="151" t="s">
        <v>553</v>
      </c>
      <c r="AD4" s="151" t="s">
        <v>554</v>
      </c>
      <c r="AE4" s="230" t="s">
        <v>554</v>
      </c>
      <c r="AF4" s="151" t="s">
        <v>554</v>
      </c>
      <c r="AG4" s="151" t="s">
        <v>554</v>
      </c>
      <c r="AH4" s="235" t="s">
        <v>554</v>
      </c>
      <c r="AI4" s="235" t="s">
        <v>554</v>
      </c>
      <c r="AJ4" s="235" t="s">
        <v>558</v>
      </c>
      <c r="AK4" s="235" t="s">
        <v>555</v>
      </c>
      <c r="AL4" s="235" t="s">
        <v>555</v>
      </c>
      <c r="AM4" s="235" t="s">
        <v>555</v>
      </c>
      <c r="AN4" s="235" t="s">
        <v>555</v>
      </c>
      <c r="AO4" s="235" t="s">
        <v>555</v>
      </c>
      <c r="AP4" s="235" t="s">
        <v>555</v>
      </c>
      <c r="AQ4" s="151" t="s">
        <v>556</v>
      </c>
      <c r="AR4" s="151" t="s">
        <v>556</v>
      </c>
      <c r="AS4" s="151" t="s">
        <v>555</v>
      </c>
      <c r="AT4" s="151" t="s">
        <v>556</v>
      </c>
      <c r="AU4" s="151" t="str">
        <f>+AT4</f>
        <v>Nhóm 7</v>
      </c>
      <c r="AV4" s="151" t="str">
        <f>+AU4</f>
        <v>Nhóm 7</v>
      </c>
      <c r="AW4" s="151" t="str">
        <f>+AV4</f>
        <v>Nhóm 7</v>
      </c>
      <c r="AX4" s="151" t="s">
        <v>558</v>
      </c>
      <c r="AY4" s="151" t="str">
        <f>+AX4</f>
        <v>Nhóm 9</v>
      </c>
      <c r="AZ4" s="151" t="str">
        <f>+AS4</f>
        <v>Nhóm 6</v>
      </c>
      <c r="BA4" s="151" t="s">
        <v>558</v>
      </c>
      <c r="BB4" s="151" t="s">
        <v>550</v>
      </c>
      <c r="BC4" s="151" t="s">
        <v>557</v>
      </c>
      <c r="BD4" s="151" t="s">
        <v>558</v>
      </c>
      <c r="BE4" s="151" t="str">
        <f>+BC4</f>
        <v>Nhóm 8</v>
      </c>
      <c r="BF4" s="151" t="str">
        <f>+BE4</f>
        <v>Nhóm 8</v>
      </c>
      <c r="BG4" s="151" t="str">
        <f t="shared" ref="BG4:BO4" si="0">+BE4</f>
        <v>Nhóm 8</v>
      </c>
      <c r="BH4" s="151" t="str">
        <f t="shared" si="0"/>
        <v>Nhóm 8</v>
      </c>
      <c r="BI4" s="151" t="str">
        <f t="shared" si="0"/>
        <v>Nhóm 8</v>
      </c>
      <c r="BJ4" s="151" t="str">
        <f t="shared" si="0"/>
        <v>Nhóm 8</v>
      </c>
      <c r="BK4" s="151" t="str">
        <f t="shared" si="0"/>
        <v>Nhóm 8</v>
      </c>
      <c r="BL4" s="151" t="str">
        <f t="shared" si="0"/>
        <v>Nhóm 8</v>
      </c>
      <c r="BM4" s="151" t="str">
        <f t="shared" si="0"/>
        <v>Nhóm 8</v>
      </c>
      <c r="BN4" s="151" t="str">
        <f t="shared" si="0"/>
        <v>Nhóm 8</v>
      </c>
      <c r="BO4" s="151" t="str">
        <f t="shared" si="0"/>
        <v>Nhóm 8</v>
      </c>
    </row>
    <row r="5" spans="1:67">
      <c r="A5" s="223" t="s">
        <v>0</v>
      </c>
      <c r="B5" s="230" t="s">
        <v>137</v>
      </c>
      <c r="C5" s="223">
        <v>3</v>
      </c>
      <c r="D5" s="622"/>
      <c r="E5" s="622"/>
      <c r="F5" s="622"/>
      <c r="G5" s="622"/>
      <c r="H5" s="622"/>
      <c r="I5" s="622"/>
      <c r="J5" s="622"/>
      <c r="K5" s="623"/>
      <c r="L5" s="623"/>
      <c r="M5" s="623"/>
      <c r="N5" s="623"/>
      <c r="O5" s="623"/>
      <c r="P5" s="623"/>
      <c r="Q5" s="623"/>
      <c r="R5" s="623"/>
      <c r="S5" s="623"/>
      <c r="T5" s="151"/>
      <c r="U5" s="151"/>
      <c r="V5" s="151"/>
      <c r="W5" s="151"/>
      <c r="X5" s="151"/>
      <c r="Y5" s="151"/>
      <c r="Z5" s="151"/>
      <c r="AA5" s="224"/>
      <c r="AB5" s="151"/>
      <c r="AC5" s="151"/>
      <c r="AD5" s="151"/>
      <c r="AE5" s="226"/>
      <c r="AF5" s="224"/>
      <c r="AG5" s="224"/>
      <c r="AH5" s="235"/>
      <c r="AI5" s="235"/>
      <c r="AJ5" s="235"/>
      <c r="AK5" s="235"/>
      <c r="AL5" s="235"/>
      <c r="AM5" s="235"/>
      <c r="AN5" s="235"/>
      <c r="AO5" s="235"/>
      <c r="AP5" s="235"/>
      <c r="AQ5" s="151"/>
      <c r="AR5" s="151"/>
      <c r="AS5" s="151"/>
      <c r="AT5" s="151"/>
      <c r="AU5" s="151"/>
      <c r="AV5" s="151"/>
      <c r="AW5" s="226"/>
      <c r="AX5" s="226"/>
      <c r="AY5" s="226"/>
      <c r="AZ5" s="226"/>
      <c r="BA5" s="226"/>
      <c r="BB5" s="226"/>
      <c r="BC5" s="224"/>
      <c r="BD5" s="224"/>
      <c r="BE5" s="224"/>
      <c r="BF5" s="224"/>
      <c r="BG5" s="224"/>
      <c r="BH5" s="224"/>
      <c r="BI5" s="224"/>
      <c r="BJ5" s="224"/>
      <c r="BK5" s="224"/>
      <c r="BL5" s="224"/>
      <c r="BM5" s="224"/>
      <c r="BN5" s="224"/>
      <c r="BO5" s="224"/>
    </row>
    <row r="6" spans="1:67">
      <c r="A6" s="223" t="s">
        <v>28</v>
      </c>
      <c r="B6" s="230" t="s">
        <v>148</v>
      </c>
      <c r="C6" s="223">
        <v>4</v>
      </c>
      <c r="D6" s="234"/>
      <c r="E6" s="234"/>
      <c r="F6" s="234"/>
      <c r="G6" s="234"/>
      <c r="H6" s="234"/>
      <c r="I6" s="234"/>
      <c r="J6" s="234"/>
      <c r="K6" s="235"/>
      <c r="L6" s="235"/>
      <c r="M6" s="235"/>
      <c r="N6" s="235"/>
      <c r="O6" s="235"/>
      <c r="P6" s="235"/>
      <c r="Q6" s="235"/>
      <c r="R6" s="235"/>
      <c r="S6" s="235"/>
      <c r="T6" s="224"/>
      <c r="U6" s="224"/>
      <c r="V6" s="224"/>
      <c r="W6" s="224"/>
      <c r="X6" s="151"/>
      <c r="Y6" s="151"/>
      <c r="Z6" s="151"/>
      <c r="AA6" s="224"/>
      <c r="AB6" s="151"/>
      <c r="AC6" s="224"/>
      <c r="AD6" s="224"/>
      <c r="AE6" s="226"/>
      <c r="AF6" s="224"/>
      <c r="AG6" s="224"/>
      <c r="AH6" s="235"/>
      <c r="AI6" s="235"/>
      <c r="AJ6" s="235"/>
      <c r="AK6" s="235"/>
      <c r="AL6" s="235"/>
      <c r="AM6" s="235"/>
      <c r="AN6" s="235"/>
      <c r="AO6" s="235"/>
      <c r="AP6" s="235"/>
      <c r="AQ6" s="151"/>
      <c r="AR6" s="151"/>
      <c r="AS6" s="151"/>
      <c r="AT6" s="151"/>
      <c r="AU6" s="151"/>
      <c r="AV6" s="151"/>
      <c r="AW6" s="226"/>
      <c r="AX6" s="226"/>
      <c r="AY6" s="226"/>
      <c r="AZ6" s="226"/>
      <c r="BA6" s="226"/>
      <c r="BB6" s="226"/>
      <c r="BC6" s="224"/>
      <c r="BD6" s="224"/>
      <c r="BE6" s="224"/>
      <c r="BF6" s="224"/>
      <c r="BG6" s="224"/>
      <c r="BH6" s="224"/>
      <c r="BI6" s="224"/>
      <c r="BJ6" s="224"/>
      <c r="BK6" s="224"/>
      <c r="BL6" s="224"/>
      <c r="BM6" s="224"/>
      <c r="BN6" s="224"/>
      <c r="BO6" s="224"/>
    </row>
    <row r="7" spans="1:67">
      <c r="A7" s="223">
        <v>1</v>
      </c>
      <c r="B7" s="151" t="s">
        <v>8</v>
      </c>
      <c r="C7" s="223">
        <v>5</v>
      </c>
      <c r="D7" s="234"/>
      <c r="E7" s="225">
        <f t="shared" ref="E7:J29" si="1">D7</f>
        <v>0</v>
      </c>
      <c r="F7" s="225">
        <f t="shared" si="1"/>
        <v>0</v>
      </c>
      <c r="G7" s="225">
        <f t="shared" si="1"/>
        <v>0</v>
      </c>
      <c r="H7" s="225">
        <f t="shared" si="1"/>
        <v>0</v>
      </c>
      <c r="I7" s="225">
        <f t="shared" si="1"/>
        <v>0</v>
      </c>
      <c r="J7" s="225">
        <f t="shared" si="1"/>
        <v>0</v>
      </c>
      <c r="K7" s="235"/>
      <c r="L7" s="235"/>
      <c r="M7" s="235"/>
      <c r="N7" s="235"/>
      <c r="O7" s="235"/>
      <c r="P7" s="235"/>
      <c r="Q7" s="235"/>
      <c r="R7" s="235"/>
      <c r="S7" s="235"/>
      <c r="T7" s="224"/>
      <c r="U7" s="224"/>
      <c r="V7" s="224"/>
      <c r="W7" s="224"/>
      <c r="X7" s="151"/>
      <c r="Y7" s="151"/>
      <c r="Z7" s="151"/>
      <c r="AA7" s="224"/>
      <c r="AB7" s="151"/>
      <c r="AC7" s="224"/>
      <c r="AD7" s="224"/>
      <c r="AE7" s="226"/>
      <c r="AF7" s="224"/>
      <c r="AG7" s="224"/>
      <c r="AH7" s="235"/>
      <c r="AI7" s="235"/>
      <c r="AJ7" s="235"/>
      <c r="AK7" s="235"/>
      <c r="AL7" s="235"/>
      <c r="AM7" s="235"/>
      <c r="AN7" s="235"/>
      <c r="AO7" s="235">
        <f t="shared" ref="AO7:AV29" si="2">AN7</f>
        <v>0</v>
      </c>
      <c r="AP7" s="235">
        <f t="shared" si="2"/>
        <v>0</v>
      </c>
      <c r="AQ7" s="236">
        <f t="shared" si="2"/>
        <v>0</v>
      </c>
      <c r="AR7" s="236">
        <f t="shared" si="2"/>
        <v>0</v>
      </c>
      <c r="AS7" s="236">
        <f t="shared" si="2"/>
        <v>0</v>
      </c>
      <c r="AT7" s="236">
        <f t="shared" si="2"/>
        <v>0</v>
      </c>
      <c r="AU7" s="236">
        <f t="shared" si="2"/>
        <v>0</v>
      </c>
      <c r="AV7" s="236">
        <f t="shared" si="2"/>
        <v>0</v>
      </c>
      <c r="AW7" s="226"/>
      <c r="AX7" s="226"/>
      <c r="AY7" s="226"/>
      <c r="AZ7" s="226"/>
      <c r="BA7" s="226"/>
      <c r="BB7" s="226"/>
      <c r="BC7" s="224"/>
      <c r="BD7" s="224"/>
      <c r="BE7" s="224"/>
      <c r="BF7" s="224"/>
      <c r="BG7" s="224"/>
      <c r="BH7" s="224"/>
      <c r="BI7" s="224"/>
      <c r="BJ7" s="224"/>
      <c r="BK7" s="224"/>
      <c r="BL7" s="224"/>
      <c r="BM7" s="224"/>
      <c r="BN7" s="224"/>
      <c r="BO7" s="224"/>
    </row>
    <row r="8" spans="1:67">
      <c r="A8" s="223">
        <f>A7+1</f>
        <v>2</v>
      </c>
      <c r="B8" s="151" t="s">
        <v>9</v>
      </c>
      <c r="C8" s="223">
        <v>6</v>
      </c>
      <c r="D8" s="224">
        <v>51035600.693964064</v>
      </c>
      <c r="E8" s="225">
        <f t="shared" si="1"/>
        <v>51035600.693964064</v>
      </c>
      <c r="F8" s="225">
        <f t="shared" si="1"/>
        <v>51035600.693964064</v>
      </c>
      <c r="G8" s="225">
        <f t="shared" si="1"/>
        <v>51035600.693964064</v>
      </c>
      <c r="H8" s="225">
        <f t="shared" si="1"/>
        <v>51035600.693964064</v>
      </c>
      <c r="I8" s="225">
        <f t="shared" si="1"/>
        <v>51035600.693964064</v>
      </c>
      <c r="J8" s="225">
        <f t="shared" si="1"/>
        <v>51035600.693964064</v>
      </c>
      <c r="K8" s="237">
        <v>49449944.979152828</v>
      </c>
      <c r="L8" s="237">
        <f>K8</f>
        <v>49449944.979152828</v>
      </c>
      <c r="M8" s="237">
        <f t="shared" ref="M8:S8" si="3">L8</f>
        <v>49449944.979152828</v>
      </c>
      <c r="N8" s="237">
        <f t="shared" si="3"/>
        <v>49449944.979152828</v>
      </c>
      <c r="O8" s="237">
        <f t="shared" si="3"/>
        <v>49449944.979152828</v>
      </c>
      <c r="P8" s="237">
        <f t="shared" si="3"/>
        <v>49449944.979152828</v>
      </c>
      <c r="Q8" s="237">
        <f t="shared" si="3"/>
        <v>49449944.979152828</v>
      </c>
      <c r="R8" s="237">
        <f t="shared" si="3"/>
        <v>49449944.979152828</v>
      </c>
      <c r="S8" s="237">
        <f t="shared" si="3"/>
        <v>49449944.979152828</v>
      </c>
      <c r="T8" s="224">
        <v>50553302.465602435</v>
      </c>
      <c r="U8" s="224">
        <f>T8</f>
        <v>50553302.465602435</v>
      </c>
      <c r="V8" s="224">
        <f>U8</f>
        <v>50553302.465602435</v>
      </c>
      <c r="W8" s="224">
        <f>V8</f>
        <v>50553302.465602435</v>
      </c>
      <c r="X8" s="226">
        <v>51014305.698867023</v>
      </c>
      <c r="Y8" s="226">
        <f>X8</f>
        <v>51014305.698867023</v>
      </c>
      <c r="Z8" s="226">
        <f>Y8</f>
        <v>51014305.698867023</v>
      </c>
      <c r="AA8" s="224">
        <v>50761078.074090734</v>
      </c>
      <c r="AB8" s="224">
        <v>49766521.690812558</v>
      </c>
      <c r="AC8" s="224">
        <v>48914925.057913147</v>
      </c>
      <c r="AD8" s="224">
        <f>AC8</f>
        <v>48914925.057913147</v>
      </c>
      <c r="AE8" s="226">
        <v>50567728.016404785</v>
      </c>
      <c r="AF8" s="224">
        <v>50180257.495870829</v>
      </c>
      <c r="AG8" s="224">
        <f>AF8</f>
        <v>50180257.495870829</v>
      </c>
      <c r="AH8" s="226">
        <v>51909898.935428999</v>
      </c>
      <c r="AI8" s="226">
        <f>AH8</f>
        <v>51909898.935428999</v>
      </c>
      <c r="AJ8" s="226">
        <f>AI8</f>
        <v>51909898.935428999</v>
      </c>
      <c r="AK8" s="226">
        <f>AJ8</f>
        <v>51909898.935428999</v>
      </c>
      <c r="AL8" s="226">
        <f>AK8</f>
        <v>51909898.935428999</v>
      </c>
      <c r="AM8" s="235">
        <f>AL8</f>
        <v>51909898.935428999</v>
      </c>
      <c r="AN8" s="235">
        <v>52270510.958951734</v>
      </c>
      <c r="AO8" s="235">
        <f t="shared" si="2"/>
        <v>52270510.958951734</v>
      </c>
      <c r="AP8" s="235">
        <f t="shared" si="2"/>
        <v>52270510.958951734</v>
      </c>
      <c r="AQ8" s="236">
        <f t="shared" si="2"/>
        <v>52270510.958951734</v>
      </c>
      <c r="AR8" s="236">
        <f t="shared" si="2"/>
        <v>52270510.958951734</v>
      </c>
      <c r="AS8" s="236">
        <f t="shared" si="2"/>
        <v>52270510.958951734</v>
      </c>
      <c r="AT8" s="236">
        <f t="shared" si="2"/>
        <v>52270510.958951734</v>
      </c>
      <c r="AU8" s="236">
        <f t="shared" si="2"/>
        <v>52270510.958951734</v>
      </c>
      <c r="AV8" s="236">
        <f t="shared" si="2"/>
        <v>52270510.958951734</v>
      </c>
      <c r="AW8" s="226">
        <v>51170860.633743651</v>
      </c>
      <c r="AX8" s="226">
        <f>AW8</f>
        <v>51170860.633743651</v>
      </c>
      <c r="AY8" s="226">
        <f>AX8</f>
        <v>51170860.633743651</v>
      </c>
      <c r="AZ8" s="226">
        <f>AY8</f>
        <v>51170860.633743651</v>
      </c>
      <c r="BA8" s="226">
        <f>AZ8</f>
        <v>51170860.633743651</v>
      </c>
      <c r="BB8" s="226">
        <f>BA8</f>
        <v>51170860.633743651</v>
      </c>
      <c r="BC8" s="224">
        <v>53533298.144383624</v>
      </c>
      <c r="BD8" s="224">
        <f t="shared" ref="BD8:BO8" si="4">BC8</f>
        <v>53533298.144383624</v>
      </c>
      <c r="BE8" s="224">
        <f t="shared" si="4"/>
        <v>53533298.144383624</v>
      </c>
      <c r="BF8" s="224">
        <f t="shared" si="4"/>
        <v>53533298.144383624</v>
      </c>
      <c r="BG8" s="224">
        <f t="shared" si="4"/>
        <v>53533298.144383624</v>
      </c>
      <c r="BH8" s="224">
        <f t="shared" si="4"/>
        <v>53533298.144383624</v>
      </c>
      <c r="BI8" s="224">
        <f t="shared" si="4"/>
        <v>53533298.144383624</v>
      </c>
      <c r="BJ8" s="224">
        <f t="shared" si="4"/>
        <v>53533298.144383624</v>
      </c>
      <c r="BK8" s="224">
        <f t="shared" si="4"/>
        <v>53533298.144383624</v>
      </c>
      <c r="BL8" s="224">
        <f t="shared" si="4"/>
        <v>53533298.144383624</v>
      </c>
      <c r="BM8" s="224">
        <f t="shared" si="4"/>
        <v>53533298.144383624</v>
      </c>
      <c r="BN8" s="224">
        <f t="shared" si="4"/>
        <v>53533298.144383624</v>
      </c>
      <c r="BO8" s="224">
        <f t="shared" si="4"/>
        <v>53533298.144383624</v>
      </c>
    </row>
    <row r="9" spans="1:67">
      <c r="A9" s="223">
        <f t="shared" ref="A9:A18" si="5">A8+1</f>
        <v>3</v>
      </c>
      <c r="B9" s="151" t="s">
        <v>10</v>
      </c>
      <c r="C9" s="223">
        <v>7</v>
      </c>
      <c r="D9" s="234"/>
      <c r="E9" s="225">
        <f t="shared" si="1"/>
        <v>0</v>
      </c>
      <c r="F9" s="225">
        <f t="shared" si="1"/>
        <v>0</v>
      </c>
      <c r="G9" s="225">
        <f t="shared" si="1"/>
        <v>0</v>
      </c>
      <c r="H9" s="225">
        <f t="shared" si="1"/>
        <v>0</v>
      </c>
      <c r="I9" s="225">
        <f t="shared" si="1"/>
        <v>0</v>
      </c>
      <c r="J9" s="225">
        <f t="shared" si="1"/>
        <v>0</v>
      </c>
      <c r="K9" s="237"/>
      <c r="L9" s="237">
        <f t="shared" ref="L9:S31" si="6">K9</f>
        <v>0</v>
      </c>
      <c r="M9" s="237">
        <f t="shared" si="6"/>
        <v>0</v>
      </c>
      <c r="N9" s="237">
        <f t="shared" si="6"/>
        <v>0</v>
      </c>
      <c r="O9" s="237">
        <f t="shared" si="6"/>
        <v>0</v>
      </c>
      <c r="P9" s="237">
        <f t="shared" si="6"/>
        <v>0</v>
      </c>
      <c r="Q9" s="237">
        <f t="shared" si="6"/>
        <v>0</v>
      </c>
      <c r="R9" s="237">
        <f t="shared" si="6"/>
        <v>0</v>
      </c>
      <c r="S9" s="237">
        <f t="shared" si="6"/>
        <v>0</v>
      </c>
      <c r="T9" s="224"/>
      <c r="U9" s="224"/>
      <c r="V9" s="224"/>
      <c r="W9" s="224"/>
      <c r="X9" s="226"/>
      <c r="Y9" s="226">
        <f t="shared" ref="Y9:Z31" si="7">X9</f>
        <v>0</v>
      </c>
      <c r="Z9" s="226">
        <f t="shared" si="7"/>
        <v>0</v>
      </c>
      <c r="AA9" s="224"/>
      <c r="AB9" s="224"/>
      <c r="AC9" s="224"/>
      <c r="AD9" s="224">
        <f t="shared" ref="AD9:AD86" si="8">AC9</f>
        <v>0</v>
      </c>
      <c r="AE9" s="226"/>
      <c r="AF9" s="224"/>
      <c r="AG9" s="224">
        <f t="shared" ref="AG9:AG86" si="9">AF9</f>
        <v>0</v>
      </c>
      <c r="AH9" s="226"/>
      <c r="AI9" s="226">
        <f t="shared" ref="AI9:AM31" si="10">AH9</f>
        <v>0</v>
      </c>
      <c r="AJ9" s="226">
        <f t="shared" si="10"/>
        <v>0</v>
      </c>
      <c r="AK9" s="226">
        <f t="shared" si="10"/>
        <v>0</v>
      </c>
      <c r="AL9" s="226">
        <f t="shared" si="10"/>
        <v>0</v>
      </c>
      <c r="AM9" s="226">
        <f t="shared" si="10"/>
        <v>0</v>
      </c>
      <c r="AN9" s="235"/>
      <c r="AO9" s="235">
        <f t="shared" si="2"/>
        <v>0</v>
      </c>
      <c r="AP9" s="235">
        <f t="shared" si="2"/>
        <v>0</v>
      </c>
      <c r="AQ9" s="236">
        <f t="shared" si="2"/>
        <v>0</v>
      </c>
      <c r="AR9" s="236">
        <f t="shared" si="2"/>
        <v>0</v>
      </c>
      <c r="AS9" s="236">
        <f t="shared" si="2"/>
        <v>0</v>
      </c>
      <c r="AT9" s="236">
        <f t="shared" si="2"/>
        <v>0</v>
      </c>
      <c r="AU9" s="236">
        <f t="shared" si="2"/>
        <v>0</v>
      </c>
      <c r="AV9" s="236">
        <f t="shared" si="2"/>
        <v>0</v>
      </c>
      <c r="AW9" s="226"/>
      <c r="AX9" s="226"/>
      <c r="AY9" s="226"/>
      <c r="AZ9" s="226"/>
      <c r="BA9" s="226"/>
      <c r="BB9" s="226"/>
      <c r="BC9" s="224"/>
      <c r="BD9" s="224"/>
      <c r="BE9" s="224"/>
      <c r="BF9" s="224"/>
      <c r="BG9" s="224"/>
      <c r="BH9" s="224"/>
      <c r="BI9" s="224"/>
      <c r="BJ9" s="224"/>
      <c r="BK9" s="224"/>
      <c r="BL9" s="224"/>
      <c r="BM9" s="224"/>
      <c r="BN9" s="224"/>
      <c r="BO9" s="224"/>
    </row>
    <row r="10" spans="1:67">
      <c r="A10" s="223">
        <f t="shared" si="5"/>
        <v>4</v>
      </c>
      <c r="B10" s="151" t="s">
        <v>11</v>
      </c>
      <c r="C10" s="223">
        <v>8</v>
      </c>
      <c r="D10" s="224">
        <v>43378309.980421349</v>
      </c>
      <c r="E10" s="225">
        <f t="shared" si="1"/>
        <v>43378309.980421349</v>
      </c>
      <c r="F10" s="225">
        <f t="shared" si="1"/>
        <v>43378309.980421349</v>
      </c>
      <c r="G10" s="225">
        <f t="shared" si="1"/>
        <v>43378309.980421349</v>
      </c>
      <c r="H10" s="225">
        <f t="shared" si="1"/>
        <v>43378309.980421349</v>
      </c>
      <c r="I10" s="225">
        <f t="shared" si="1"/>
        <v>43378309.980421349</v>
      </c>
      <c r="J10" s="225">
        <f t="shared" si="1"/>
        <v>43378309.980421349</v>
      </c>
      <c r="K10" s="237">
        <v>41985551.163578175</v>
      </c>
      <c r="L10" s="237">
        <f t="shared" si="6"/>
        <v>41985551.163578175</v>
      </c>
      <c r="M10" s="237">
        <f t="shared" si="6"/>
        <v>41985551.163578175</v>
      </c>
      <c r="N10" s="237">
        <f t="shared" si="6"/>
        <v>41985551.163578175</v>
      </c>
      <c r="O10" s="237">
        <f t="shared" si="6"/>
        <v>41985551.163578175</v>
      </c>
      <c r="P10" s="237">
        <f t="shared" si="6"/>
        <v>41985551.163578175</v>
      </c>
      <c r="Q10" s="237">
        <f t="shared" si="6"/>
        <v>41985551.163578175</v>
      </c>
      <c r="R10" s="237">
        <f t="shared" si="6"/>
        <v>41985551.163578175</v>
      </c>
      <c r="S10" s="237">
        <f t="shared" si="6"/>
        <v>41985551.163578175</v>
      </c>
      <c r="T10" s="224">
        <v>42973394.231423505</v>
      </c>
      <c r="U10" s="224">
        <f t="shared" ref="U10:W32" si="11">T10</f>
        <v>42973394.231423505</v>
      </c>
      <c r="V10" s="224">
        <f t="shared" si="11"/>
        <v>42973394.231423505</v>
      </c>
      <c r="W10" s="224">
        <f t="shared" si="11"/>
        <v>42973394.231423505</v>
      </c>
      <c r="X10" s="226">
        <v>43416717.157399274</v>
      </c>
      <c r="Y10" s="226">
        <f t="shared" si="7"/>
        <v>43416717.157399274</v>
      </c>
      <c r="Z10" s="226">
        <f t="shared" si="7"/>
        <v>43416717.157399274</v>
      </c>
      <c r="AA10" s="224">
        <v>41803548.609775208</v>
      </c>
      <c r="AB10" s="224">
        <v>42223880.962934479</v>
      </c>
      <c r="AC10" s="224">
        <v>41623747.308032006</v>
      </c>
      <c r="AD10" s="224">
        <f t="shared" si="8"/>
        <v>41623747.308032006</v>
      </c>
      <c r="AE10" s="226">
        <v>43120252.788168319</v>
      </c>
      <c r="AF10" s="224">
        <v>42743834.921546862</v>
      </c>
      <c r="AG10" s="224">
        <f t="shared" si="9"/>
        <v>42743834.921546862</v>
      </c>
      <c r="AH10" s="226">
        <v>44159783.128330924</v>
      </c>
      <c r="AI10" s="226">
        <f t="shared" si="10"/>
        <v>44159783.128330924</v>
      </c>
      <c r="AJ10" s="226">
        <f t="shared" si="10"/>
        <v>44159783.128330924</v>
      </c>
      <c r="AK10" s="226">
        <f t="shared" si="10"/>
        <v>44159783.128330924</v>
      </c>
      <c r="AL10" s="226">
        <f t="shared" si="10"/>
        <v>44159783.128330924</v>
      </c>
      <c r="AM10" s="226">
        <f t="shared" si="10"/>
        <v>44159783.128330924</v>
      </c>
      <c r="AN10" s="235">
        <v>44484803.224782057</v>
      </c>
      <c r="AO10" s="235">
        <f t="shared" si="2"/>
        <v>44484803.224782057</v>
      </c>
      <c r="AP10" s="235">
        <f t="shared" si="2"/>
        <v>44484803.224782057</v>
      </c>
      <c r="AQ10" s="236">
        <f t="shared" si="2"/>
        <v>44484803.224782057</v>
      </c>
      <c r="AR10" s="236">
        <f t="shared" si="2"/>
        <v>44484803.224782057</v>
      </c>
      <c r="AS10" s="236">
        <f t="shared" si="2"/>
        <v>44484803.224782057</v>
      </c>
      <c r="AT10" s="236">
        <f t="shared" si="2"/>
        <v>44484803.224782057</v>
      </c>
      <c r="AU10" s="236">
        <f t="shared" si="2"/>
        <v>44484803.224782057</v>
      </c>
      <c r="AV10" s="236">
        <f t="shared" si="2"/>
        <v>44484803.224782057</v>
      </c>
      <c r="AW10" s="226">
        <v>43563564.770752795</v>
      </c>
      <c r="AX10" s="226">
        <f t="shared" ref="AX10:BB32" si="12">AW10</f>
        <v>43563564.770752795</v>
      </c>
      <c r="AY10" s="226">
        <f t="shared" si="12"/>
        <v>43563564.770752795</v>
      </c>
      <c r="AZ10" s="226">
        <f t="shared" si="12"/>
        <v>43563564.770752795</v>
      </c>
      <c r="BA10" s="226">
        <f t="shared" si="12"/>
        <v>43563564.770752795</v>
      </c>
      <c r="BB10" s="226">
        <f t="shared" si="12"/>
        <v>43563564.770752795</v>
      </c>
      <c r="BC10" s="224">
        <v>45642128.799674965</v>
      </c>
      <c r="BD10" s="224">
        <f t="shared" ref="BD10:BO32" si="13">BC10</f>
        <v>45642128.799674965</v>
      </c>
      <c r="BE10" s="224">
        <f t="shared" si="13"/>
        <v>45642128.799674965</v>
      </c>
      <c r="BF10" s="224">
        <f t="shared" si="13"/>
        <v>45642128.799674965</v>
      </c>
      <c r="BG10" s="224">
        <f t="shared" si="13"/>
        <v>45642128.799674965</v>
      </c>
      <c r="BH10" s="224">
        <f t="shared" si="13"/>
        <v>45642128.799674965</v>
      </c>
      <c r="BI10" s="224">
        <f t="shared" si="13"/>
        <v>45642128.799674965</v>
      </c>
      <c r="BJ10" s="224">
        <f t="shared" si="13"/>
        <v>45642128.799674965</v>
      </c>
      <c r="BK10" s="224">
        <f t="shared" si="13"/>
        <v>45642128.799674965</v>
      </c>
      <c r="BL10" s="224">
        <f t="shared" si="13"/>
        <v>45642128.799674965</v>
      </c>
      <c r="BM10" s="224">
        <f t="shared" si="13"/>
        <v>45642128.799674965</v>
      </c>
      <c r="BN10" s="224">
        <f t="shared" si="13"/>
        <v>45642128.799674965</v>
      </c>
      <c r="BO10" s="224">
        <f t="shared" si="13"/>
        <v>45642128.799674965</v>
      </c>
    </row>
    <row r="11" spans="1:67">
      <c r="A11" s="223">
        <f t="shared" si="5"/>
        <v>5</v>
      </c>
      <c r="B11" s="151" t="s">
        <v>12</v>
      </c>
      <c r="C11" s="223">
        <v>9</v>
      </c>
      <c r="D11" s="234"/>
      <c r="E11" s="225">
        <f t="shared" si="1"/>
        <v>0</v>
      </c>
      <c r="F11" s="225">
        <f t="shared" si="1"/>
        <v>0</v>
      </c>
      <c r="G11" s="225">
        <f t="shared" si="1"/>
        <v>0</v>
      </c>
      <c r="H11" s="225">
        <f t="shared" si="1"/>
        <v>0</v>
      </c>
      <c r="I11" s="225">
        <f t="shared" si="1"/>
        <v>0</v>
      </c>
      <c r="J11" s="225">
        <f t="shared" si="1"/>
        <v>0</v>
      </c>
      <c r="K11" s="237"/>
      <c r="L11" s="237">
        <f t="shared" si="6"/>
        <v>0</v>
      </c>
      <c r="M11" s="237">
        <f t="shared" si="6"/>
        <v>0</v>
      </c>
      <c r="N11" s="237">
        <f t="shared" si="6"/>
        <v>0</v>
      </c>
      <c r="O11" s="237">
        <f t="shared" si="6"/>
        <v>0</v>
      </c>
      <c r="P11" s="237">
        <f t="shared" si="6"/>
        <v>0</v>
      </c>
      <c r="Q11" s="237">
        <f t="shared" si="6"/>
        <v>0</v>
      </c>
      <c r="R11" s="237">
        <f t="shared" si="6"/>
        <v>0</v>
      </c>
      <c r="S11" s="237">
        <f t="shared" si="6"/>
        <v>0</v>
      </c>
      <c r="T11" s="224"/>
      <c r="U11" s="224">
        <f t="shared" si="11"/>
        <v>0</v>
      </c>
      <c r="V11" s="224">
        <f t="shared" si="11"/>
        <v>0</v>
      </c>
      <c r="W11" s="224">
        <f t="shared" si="11"/>
        <v>0</v>
      </c>
      <c r="X11" s="226"/>
      <c r="Y11" s="226">
        <f t="shared" si="7"/>
        <v>0</v>
      </c>
      <c r="Z11" s="226">
        <f t="shared" si="7"/>
        <v>0</v>
      </c>
      <c r="AA11" s="224"/>
      <c r="AB11" s="224"/>
      <c r="AC11" s="224"/>
      <c r="AD11" s="224">
        <f t="shared" si="8"/>
        <v>0</v>
      </c>
      <c r="AE11" s="226"/>
      <c r="AF11" s="224"/>
      <c r="AG11" s="224">
        <f t="shared" si="9"/>
        <v>0</v>
      </c>
      <c r="AH11" s="226"/>
      <c r="AI11" s="226">
        <f t="shared" si="10"/>
        <v>0</v>
      </c>
      <c r="AJ11" s="226">
        <f t="shared" si="10"/>
        <v>0</v>
      </c>
      <c r="AK11" s="226">
        <f t="shared" si="10"/>
        <v>0</v>
      </c>
      <c r="AL11" s="226">
        <f t="shared" si="10"/>
        <v>0</v>
      </c>
      <c r="AM11" s="226">
        <f t="shared" si="10"/>
        <v>0</v>
      </c>
      <c r="AN11" s="235"/>
      <c r="AO11" s="235">
        <f t="shared" si="2"/>
        <v>0</v>
      </c>
      <c r="AP11" s="235">
        <f t="shared" si="2"/>
        <v>0</v>
      </c>
      <c r="AQ11" s="236">
        <f t="shared" si="2"/>
        <v>0</v>
      </c>
      <c r="AR11" s="236">
        <f t="shared" si="2"/>
        <v>0</v>
      </c>
      <c r="AS11" s="236">
        <f t="shared" si="2"/>
        <v>0</v>
      </c>
      <c r="AT11" s="236">
        <f t="shared" si="2"/>
        <v>0</v>
      </c>
      <c r="AU11" s="236">
        <f t="shared" si="2"/>
        <v>0</v>
      </c>
      <c r="AV11" s="236">
        <f t="shared" si="2"/>
        <v>0</v>
      </c>
      <c r="AW11" s="226"/>
      <c r="AX11" s="226">
        <f t="shared" si="12"/>
        <v>0</v>
      </c>
      <c r="AY11" s="226">
        <f t="shared" si="12"/>
        <v>0</v>
      </c>
      <c r="AZ11" s="226">
        <f t="shared" si="12"/>
        <v>0</v>
      </c>
      <c r="BA11" s="226">
        <f t="shared" si="12"/>
        <v>0</v>
      </c>
      <c r="BB11" s="226">
        <f t="shared" si="12"/>
        <v>0</v>
      </c>
      <c r="BC11" s="224"/>
      <c r="BD11" s="224">
        <f t="shared" si="13"/>
        <v>0</v>
      </c>
      <c r="BE11" s="224">
        <f t="shared" si="13"/>
        <v>0</v>
      </c>
      <c r="BF11" s="224">
        <f t="shared" si="13"/>
        <v>0</v>
      </c>
      <c r="BG11" s="224">
        <f t="shared" si="13"/>
        <v>0</v>
      </c>
      <c r="BH11" s="224">
        <f t="shared" si="13"/>
        <v>0</v>
      </c>
      <c r="BI11" s="224">
        <f t="shared" si="13"/>
        <v>0</v>
      </c>
      <c r="BJ11" s="224">
        <f t="shared" si="13"/>
        <v>0</v>
      </c>
      <c r="BK11" s="224">
        <f t="shared" si="13"/>
        <v>0</v>
      </c>
      <c r="BL11" s="224">
        <f t="shared" si="13"/>
        <v>0</v>
      </c>
      <c r="BM11" s="224">
        <f t="shared" si="13"/>
        <v>0</v>
      </c>
      <c r="BN11" s="224">
        <f t="shared" si="13"/>
        <v>0</v>
      </c>
      <c r="BO11" s="224">
        <f t="shared" si="13"/>
        <v>0</v>
      </c>
    </row>
    <row r="12" spans="1:67">
      <c r="A12" s="223">
        <f t="shared" si="5"/>
        <v>6</v>
      </c>
      <c r="B12" s="151" t="s">
        <v>1554</v>
      </c>
      <c r="C12" s="223">
        <v>10</v>
      </c>
      <c r="D12" s="234">
        <v>73183921</v>
      </c>
      <c r="E12" s="225">
        <v>73183921</v>
      </c>
      <c r="F12" s="225">
        <v>73183921</v>
      </c>
      <c r="G12" s="225">
        <v>73183921</v>
      </c>
      <c r="H12" s="225">
        <v>73183921</v>
      </c>
      <c r="I12" s="225">
        <v>73183921</v>
      </c>
      <c r="J12" s="225">
        <v>73183921</v>
      </c>
      <c r="K12" s="237">
        <v>73183921</v>
      </c>
      <c r="L12" s="237">
        <v>73183921</v>
      </c>
      <c r="M12" s="237">
        <v>73183921</v>
      </c>
      <c r="N12" s="237">
        <v>73183921</v>
      </c>
      <c r="O12" s="237">
        <v>73183921</v>
      </c>
      <c r="P12" s="237">
        <v>73183921</v>
      </c>
      <c r="Q12" s="237">
        <v>73183921</v>
      </c>
      <c r="R12" s="237">
        <v>73183921</v>
      </c>
      <c r="S12" s="237">
        <v>73183921</v>
      </c>
      <c r="T12" s="224">
        <v>73183921</v>
      </c>
      <c r="U12" s="224">
        <v>73183921</v>
      </c>
      <c r="V12" s="224">
        <v>73183921</v>
      </c>
      <c r="W12" s="224">
        <v>73183921</v>
      </c>
      <c r="X12" s="226">
        <v>73183921</v>
      </c>
      <c r="Y12" s="226">
        <v>73183921</v>
      </c>
      <c r="Z12" s="226">
        <v>73183921</v>
      </c>
      <c r="AA12" s="224">
        <v>73183921</v>
      </c>
      <c r="AB12" s="224">
        <v>73183921</v>
      </c>
      <c r="AC12" s="224">
        <v>73183921</v>
      </c>
      <c r="AD12" s="224">
        <v>73183921</v>
      </c>
      <c r="AE12" s="226">
        <v>73183921</v>
      </c>
      <c r="AF12" s="224">
        <v>73183921</v>
      </c>
      <c r="AG12" s="224">
        <v>73183921</v>
      </c>
      <c r="AH12" s="226">
        <v>73183921</v>
      </c>
      <c r="AI12" s="226">
        <v>73183921</v>
      </c>
      <c r="AJ12" s="226">
        <v>73183921</v>
      </c>
      <c r="AK12" s="226">
        <v>73183921</v>
      </c>
      <c r="AL12" s="226">
        <v>73183921</v>
      </c>
      <c r="AM12" s="226">
        <v>73183921</v>
      </c>
      <c r="AN12" s="235">
        <v>73183921</v>
      </c>
      <c r="AO12" s="235">
        <v>73183921</v>
      </c>
      <c r="AP12" s="235">
        <v>73183921</v>
      </c>
      <c r="AQ12" s="236">
        <v>73183921</v>
      </c>
      <c r="AR12" s="236">
        <v>73183921</v>
      </c>
      <c r="AS12" s="236">
        <v>73183921</v>
      </c>
      <c r="AT12" s="236">
        <v>73183921</v>
      </c>
      <c r="AU12" s="236">
        <v>73183921</v>
      </c>
      <c r="AV12" s="236">
        <v>73183921</v>
      </c>
      <c r="AW12" s="226">
        <v>73183921</v>
      </c>
      <c r="AX12" s="226">
        <v>73183921</v>
      </c>
      <c r="AY12" s="226">
        <v>73183921</v>
      </c>
      <c r="AZ12" s="226">
        <v>73183921</v>
      </c>
      <c r="BA12" s="226">
        <v>73183921</v>
      </c>
      <c r="BB12" s="226">
        <v>73183921</v>
      </c>
      <c r="BC12" s="224">
        <v>73183921</v>
      </c>
      <c r="BD12" s="224">
        <v>73183921</v>
      </c>
      <c r="BE12" s="224">
        <v>73183921</v>
      </c>
      <c r="BF12" s="224">
        <v>73183921</v>
      </c>
      <c r="BG12" s="224">
        <v>73183921</v>
      </c>
      <c r="BH12" s="224">
        <v>73183921</v>
      </c>
      <c r="BI12" s="224">
        <v>73183921</v>
      </c>
      <c r="BJ12" s="224">
        <v>73183921</v>
      </c>
      <c r="BK12" s="224">
        <v>73183921</v>
      </c>
      <c r="BL12" s="224">
        <v>73183921</v>
      </c>
      <c r="BM12" s="224">
        <v>73183921</v>
      </c>
      <c r="BN12" s="224">
        <v>73183921</v>
      </c>
      <c r="BO12" s="224">
        <v>73183921</v>
      </c>
    </row>
    <row r="13" spans="1:67">
      <c r="A13" s="223">
        <f t="shared" si="5"/>
        <v>7</v>
      </c>
      <c r="B13" s="151" t="s">
        <v>1555</v>
      </c>
      <c r="C13" s="223">
        <v>11</v>
      </c>
      <c r="D13" s="234">
        <v>81985268</v>
      </c>
      <c r="E13" s="225">
        <v>81985268</v>
      </c>
      <c r="F13" s="225">
        <v>81985268</v>
      </c>
      <c r="G13" s="225">
        <v>81985268</v>
      </c>
      <c r="H13" s="225">
        <v>81985268</v>
      </c>
      <c r="I13" s="225">
        <v>81985268</v>
      </c>
      <c r="J13" s="225">
        <v>81985268</v>
      </c>
      <c r="K13" s="237">
        <v>81985268</v>
      </c>
      <c r="L13" s="237">
        <v>81985268</v>
      </c>
      <c r="M13" s="237">
        <v>81985268</v>
      </c>
      <c r="N13" s="237">
        <v>81985268</v>
      </c>
      <c r="O13" s="237">
        <v>81985268</v>
      </c>
      <c r="P13" s="237">
        <v>81985268</v>
      </c>
      <c r="Q13" s="237">
        <v>81985268</v>
      </c>
      <c r="R13" s="237">
        <v>81985268</v>
      </c>
      <c r="S13" s="237">
        <v>81985268</v>
      </c>
      <c r="T13" s="224">
        <v>81985268</v>
      </c>
      <c r="U13" s="224">
        <v>81985268</v>
      </c>
      <c r="V13" s="224">
        <v>81985268</v>
      </c>
      <c r="W13" s="224">
        <v>81985268</v>
      </c>
      <c r="X13" s="226">
        <v>81985268</v>
      </c>
      <c r="Y13" s="226">
        <v>81985268</v>
      </c>
      <c r="Z13" s="226">
        <v>81985268</v>
      </c>
      <c r="AA13" s="224">
        <v>81985268</v>
      </c>
      <c r="AB13" s="224">
        <v>81985268</v>
      </c>
      <c r="AC13" s="224">
        <v>81985268</v>
      </c>
      <c r="AD13" s="224">
        <v>81985268</v>
      </c>
      <c r="AE13" s="226">
        <v>81985268</v>
      </c>
      <c r="AF13" s="224">
        <v>81985268</v>
      </c>
      <c r="AG13" s="224">
        <v>81985268</v>
      </c>
      <c r="AH13" s="226">
        <v>81985268</v>
      </c>
      <c r="AI13" s="226">
        <v>81985268</v>
      </c>
      <c r="AJ13" s="226">
        <v>81985268</v>
      </c>
      <c r="AK13" s="226">
        <v>81985268</v>
      </c>
      <c r="AL13" s="226">
        <v>81985268</v>
      </c>
      <c r="AM13" s="226">
        <v>81985268</v>
      </c>
      <c r="AN13" s="235">
        <v>81985268</v>
      </c>
      <c r="AO13" s="235">
        <v>81985268</v>
      </c>
      <c r="AP13" s="235">
        <v>81985268</v>
      </c>
      <c r="AQ13" s="236">
        <v>81985268</v>
      </c>
      <c r="AR13" s="236">
        <v>81985268</v>
      </c>
      <c r="AS13" s="236">
        <v>81985268</v>
      </c>
      <c r="AT13" s="236">
        <v>81985268</v>
      </c>
      <c r="AU13" s="236">
        <v>81985268</v>
      </c>
      <c r="AV13" s="236">
        <v>81985268</v>
      </c>
      <c r="AW13" s="226">
        <v>81985268</v>
      </c>
      <c r="AX13" s="226">
        <v>81985268</v>
      </c>
      <c r="AY13" s="226">
        <v>81985268</v>
      </c>
      <c r="AZ13" s="226">
        <v>81985268</v>
      </c>
      <c r="BA13" s="226">
        <v>81985268</v>
      </c>
      <c r="BB13" s="226">
        <v>81985268</v>
      </c>
      <c r="BC13" s="224">
        <v>81985268</v>
      </c>
      <c r="BD13" s="224">
        <v>81985268</v>
      </c>
      <c r="BE13" s="224">
        <v>81985268</v>
      </c>
      <c r="BF13" s="224">
        <v>81985268</v>
      </c>
      <c r="BG13" s="224">
        <v>81985268</v>
      </c>
      <c r="BH13" s="224">
        <v>81985268</v>
      </c>
      <c r="BI13" s="224">
        <v>81985268</v>
      </c>
      <c r="BJ13" s="224">
        <v>81985268</v>
      </c>
      <c r="BK13" s="224">
        <v>81985268</v>
      </c>
      <c r="BL13" s="224">
        <v>81985268</v>
      </c>
      <c r="BM13" s="224">
        <v>81985268</v>
      </c>
      <c r="BN13" s="224">
        <v>81985268</v>
      </c>
      <c r="BO13" s="224">
        <v>81985268</v>
      </c>
    </row>
    <row r="14" spans="1:67">
      <c r="A14" s="223">
        <f t="shared" si="5"/>
        <v>8</v>
      </c>
      <c r="B14" s="151" t="s">
        <v>1556</v>
      </c>
      <c r="C14" s="223">
        <v>12</v>
      </c>
      <c r="D14" s="234">
        <v>98304707</v>
      </c>
      <c r="E14" s="225">
        <v>98304707</v>
      </c>
      <c r="F14" s="225">
        <v>98304707</v>
      </c>
      <c r="G14" s="225">
        <v>98304707</v>
      </c>
      <c r="H14" s="225">
        <v>98304707</v>
      </c>
      <c r="I14" s="225">
        <v>98304707</v>
      </c>
      <c r="J14" s="225">
        <v>98304707</v>
      </c>
      <c r="K14" s="237">
        <v>98304707</v>
      </c>
      <c r="L14" s="237">
        <v>98304707</v>
      </c>
      <c r="M14" s="237">
        <v>98304707</v>
      </c>
      <c r="N14" s="237">
        <v>98304707</v>
      </c>
      <c r="O14" s="237">
        <v>98304707</v>
      </c>
      <c r="P14" s="237">
        <v>98304707</v>
      </c>
      <c r="Q14" s="237">
        <v>98304707</v>
      </c>
      <c r="R14" s="237">
        <v>98304707</v>
      </c>
      <c r="S14" s="237">
        <v>98304707</v>
      </c>
      <c r="T14" s="224">
        <v>98304707</v>
      </c>
      <c r="U14" s="224">
        <v>98304707</v>
      </c>
      <c r="V14" s="224">
        <v>98304707</v>
      </c>
      <c r="W14" s="224">
        <v>98304707</v>
      </c>
      <c r="X14" s="226">
        <v>98304707</v>
      </c>
      <c r="Y14" s="226">
        <v>98304707</v>
      </c>
      <c r="Z14" s="226">
        <v>98304707</v>
      </c>
      <c r="AA14" s="224">
        <v>98304707</v>
      </c>
      <c r="AB14" s="224">
        <v>98304707</v>
      </c>
      <c r="AC14" s="224">
        <v>98304707</v>
      </c>
      <c r="AD14" s="224">
        <v>98304707</v>
      </c>
      <c r="AE14" s="226">
        <v>98304707</v>
      </c>
      <c r="AF14" s="224">
        <v>98304707</v>
      </c>
      <c r="AG14" s="224">
        <v>98304707</v>
      </c>
      <c r="AH14" s="226">
        <v>98304707</v>
      </c>
      <c r="AI14" s="226">
        <v>98304707</v>
      </c>
      <c r="AJ14" s="226">
        <v>98304707</v>
      </c>
      <c r="AK14" s="226">
        <v>98304707</v>
      </c>
      <c r="AL14" s="226">
        <v>98304707</v>
      </c>
      <c r="AM14" s="226">
        <v>98304707</v>
      </c>
      <c r="AN14" s="235">
        <v>98304707</v>
      </c>
      <c r="AO14" s="235">
        <v>98304707</v>
      </c>
      <c r="AP14" s="235">
        <v>98304707</v>
      </c>
      <c r="AQ14" s="236">
        <v>98304707</v>
      </c>
      <c r="AR14" s="236">
        <v>98304707</v>
      </c>
      <c r="AS14" s="236">
        <v>98304707</v>
      </c>
      <c r="AT14" s="236">
        <v>98304707</v>
      </c>
      <c r="AU14" s="236">
        <v>98304707</v>
      </c>
      <c r="AV14" s="236">
        <v>98304707</v>
      </c>
      <c r="AW14" s="226">
        <v>98304707</v>
      </c>
      <c r="AX14" s="226">
        <v>98304707</v>
      </c>
      <c r="AY14" s="226">
        <v>98304707</v>
      </c>
      <c r="AZ14" s="226">
        <v>98304707</v>
      </c>
      <c r="BA14" s="226">
        <v>98304707</v>
      </c>
      <c r="BB14" s="226">
        <v>98304707</v>
      </c>
      <c r="BC14" s="224">
        <v>98304707</v>
      </c>
      <c r="BD14" s="224">
        <v>98304707</v>
      </c>
      <c r="BE14" s="224">
        <v>98304707</v>
      </c>
      <c r="BF14" s="224">
        <v>98304707</v>
      </c>
      <c r="BG14" s="224">
        <v>98304707</v>
      </c>
      <c r="BH14" s="224">
        <v>98304707</v>
      </c>
      <c r="BI14" s="224">
        <v>98304707</v>
      </c>
      <c r="BJ14" s="224">
        <v>98304707</v>
      </c>
      <c r="BK14" s="224">
        <v>98304707</v>
      </c>
      <c r="BL14" s="224">
        <v>98304707</v>
      </c>
      <c r="BM14" s="224">
        <v>98304707</v>
      </c>
      <c r="BN14" s="224">
        <v>98304707</v>
      </c>
      <c r="BO14" s="224">
        <v>98304707</v>
      </c>
    </row>
    <row r="15" spans="1:67">
      <c r="A15" s="223">
        <f>A13+1</f>
        <v>8</v>
      </c>
      <c r="B15" s="151" t="s">
        <v>1553</v>
      </c>
      <c r="C15" s="223">
        <v>13</v>
      </c>
      <c r="D15" s="234">
        <v>73183921</v>
      </c>
      <c r="E15" s="225">
        <v>73183921</v>
      </c>
      <c r="F15" s="225">
        <v>73183921</v>
      </c>
      <c r="G15" s="225">
        <v>73183921</v>
      </c>
      <c r="H15" s="225">
        <v>73183921</v>
      </c>
      <c r="I15" s="225">
        <v>73183921</v>
      </c>
      <c r="J15" s="225">
        <v>73183921</v>
      </c>
      <c r="K15" s="237">
        <v>73183921</v>
      </c>
      <c r="L15" s="237">
        <v>73183921</v>
      </c>
      <c r="M15" s="237">
        <v>73183921</v>
      </c>
      <c r="N15" s="237">
        <v>73183921</v>
      </c>
      <c r="O15" s="237">
        <v>73183921</v>
      </c>
      <c r="P15" s="237">
        <v>73183921</v>
      </c>
      <c r="Q15" s="237">
        <v>73183921</v>
      </c>
      <c r="R15" s="237">
        <v>73183921</v>
      </c>
      <c r="S15" s="237">
        <v>73183921</v>
      </c>
      <c r="T15" s="224">
        <v>73183921</v>
      </c>
      <c r="U15" s="224">
        <v>73183921</v>
      </c>
      <c r="V15" s="224">
        <v>73183921</v>
      </c>
      <c r="W15" s="224">
        <v>73183921</v>
      </c>
      <c r="X15" s="226">
        <v>73183921</v>
      </c>
      <c r="Y15" s="226">
        <v>73183921</v>
      </c>
      <c r="Z15" s="226">
        <v>73183921</v>
      </c>
      <c r="AA15" s="224">
        <v>73183921</v>
      </c>
      <c r="AB15" s="224">
        <v>73183921</v>
      </c>
      <c r="AC15" s="224">
        <v>73183921</v>
      </c>
      <c r="AD15" s="224">
        <v>73183921</v>
      </c>
      <c r="AE15" s="226">
        <v>73183921</v>
      </c>
      <c r="AF15" s="224">
        <v>73183921</v>
      </c>
      <c r="AG15" s="224">
        <v>73183921</v>
      </c>
      <c r="AH15" s="226">
        <v>73183921</v>
      </c>
      <c r="AI15" s="226">
        <v>73183921</v>
      </c>
      <c r="AJ15" s="226">
        <v>73183921</v>
      </c>
      <c r="AK15" s="226">
        <v>73183921</v>
      </c>
      <c r="AL15" s="226">
        <v>73183921</v>
      </c>
      <c r="AM15" s="226">
        <v>73183921</v>
      </c>
      <c r="AN15" s="235">
        <v>73183921</v>
      </c>
      <c r="AO15" s="235">
        <v>73183921</v>
      </c>
      <c r="AP15" s="235">
        <v>73183921</v>
      </c>
      <c r="AQ15" s="236">
        <v>73183921</v>
      </c>
      <c r="AR15" s="236">
        <v>73183921</v>
      </c>
      <c r="AS15" s="236">
        <v>73183921</v>
      </c>
      <c r="AT15" s="236">
        <v>73183921</v>
      </c>
      <c r="AU15" s="236">
        <v>73183921</v>
      </c>
      <c r="AV15" s="236">
        <v>73183921</v>
      </c>
      <c r="AW15" s="226">
        <v>73183921</v>
      </c>
      <c r="AX15" s="226">
        <v>73183921</v>
      </c>
      <c r="AY15" s="226">
        <v>73183921</v>
      </c>
      <c r="AZ15" s="226">
        <v>73183921</v>
      </c>
      <c r="BA15" s="226">
        <v>73183921</v>
      </c>
      <c r="BB15" s="226">
        <v>73183921</v>
      </c>
      <c r="BC15" s="224">
        <v>73183921</v>
      </c>
      <c r="BD15" s="224">
        <v>73183921</v>
      </c>
      <c r="BE15" s="224">
        <v>73183921</v>
      </c>
      <c r="BF15" s="224">
        <v>73183921</v>
      </c>
      <c r="BG15" s="224">
        <v>73183921</v>
      </c>
      <c r="BH15" s="224">
        <v>73183921</v>
      </c>
      <c r="BI15" s="224">
        <v>73183921</v>
      </c>
      <c r="BJ15" s="224">
        <v>73183921</v>
      </c>
      <c r="BK15" s="224">
        <v>73183921</v>
      </c>
      <c r="BL15" s="224">
        <v>73183921</v>
      </c>
      <c r="BM15" s="224">
        <v>73183921</v>
      </c>
      <c r="BN15" s="224">
        <v>73183921</v>
      </c>
      <c r="BO15" s="224">
        <v>73183921</v>
      </c>
    </row>
    <row r="16" spans="1:67">
      <c r="A16" s="223">
        <f>A11+1</f>
        <v>6</v>
      </c>
      <c r="B16" s="151" t="s">
        <v>13</v>
      </c>
      <c r="C16" s="223">
        <v>14</v>
      </c>
      <c r="D16" s="224">
        <v>66312320.809293985</v>
      </c>
      <c r="E16" s="225">
        <f t="shared" si="1"/>
        <v>66312320.809293985</v>
      </c>
      <c r="F16" s="225">
        <f t="shared" si="1"/>
        <v>66312320.809293985</v>
      </c>
      <c r="G16" s="225">
        <f t="shared" si="1"/>
        <v>66312320.809293985</v>
      </c>
      <c r="H16" s="225">
        <f t="shared" si="1"/>
        <v>66312320.809293985</v>
      </c>
      <c r="I16" s="225">
        <f t="shared" si="1"/>
        <v>66312320.809293985</v>
      </c>
      <c r="J16" s="225">
        <f t="shared" si="1"/>
        <v>66312320.809293985</v>
      </c>
      <c r="K16" s="237">
        <v>64204699.495883092</v>
      </c>
      <c r="L16" s="237">
        <f t="shared" si="6"/>
        <v>64204699.495883092</v>
      </c>
      <c r="M16" s="237">
        <f t="shared" si="6"/>
        <v>64204699.495883092</v>
      </c>
      <c r="N16" s="237">
        <f t="shared" si="6"/>
        <v>64204699.495883092</v>
      </c>
      <c r="O16" s="237">
        <f t="shared" si="6"/>
        <v>64204699.495883092</v>
      </c>
      <c r="P16" s="237">
        <f t="shared" si="6"/>
        <v>64204699.495883092</v>
      </c>
      <c r="Q16" s="237">
        <f t="shared" si="6"/>
        <v>64204699.495883092</v>
      </c>
      <c r="R16" s="237">
        <f t="shared" si="6"/>
        <v>64204699.495883092</v>
      </c>
      <c r="S16" s="237">
        <f t="shared" si="6"/>
        <v>64204699.495883092</v>
      </c>
      <c r="T16" s="224">
        <v>65707246.065190747</v>
      </c>
      <c r="U16" s="224">
        <f t="shared" si="11"/>
        <v>65707246.065190747</v>
      </c>
      <c r="V16" s="224">
        <f t="shared" si="11"/>
        <v>65707246.065190747</v>
      </c>
      <c r="W16" s="224">
        <f t="shared" si="11"/>
        <v>65707246.065190747</v>
      </c>
      <c r="X16" s="226">
        <v>66359044.291222997</v>
      </c>
      <c r="Y16" s="226">
        <f t="shared" si="7"/>
        <v>66359044.291222997</v>
      </c>
      <c r="Z16" s="226">
        <f t="shared" si="7"/>
        <v>66359044.291222997</v>
      </c>
      <c r="AA16" s="224">
        <v>65938788.393827446</v>
      </c>
      <c r="AB16" s="224">
        <v>64590129.013134837</v>
      </c>
      <c r="AC16" s="224">
        <v>63690196.060951278</v>
      </c>
      <c r="AD16" s="224">
        <f t="shared" si="8"/>
        <v>63690196.060951278</v>
      </c>
      <c r="AE16" s="226">
        <v>65898548.433990948</v>
      </c>
      <c r="AF16" s="224">
        <v>65330470.76092948</v>
      </c>
      <c r="AG16" s="224">
        <f t="shared" si="9"/>
        <v>65330470.76092948</v>
      </c>
      <c r="AH16" s="226">
        <v>67499187.623546287</v>
      </c>
      <c r="AI16" s="226">
        <f t="shared" si="10"/>
        <v>67499187.623546287</v>
      </c>
      <c r="AJ16" s="226">
        <f t="shared" si="10"/>
        <v>67499187.623546287</v>
      </c>
      <c r="AK16" s="226">
        <f t="shared" si="10"/>
        <v>67499187.623546287</v>
      </c>
      <c r="AL16" s="226">
        <f t="shared" si="10"/>
        <v>67499187.623546287</v>
      </c>
      <c r="AM16" s="226">
        <f t="shared" si="10"/>
        <v>67499187.623546287</v>
      </c>
      <c r="AN16" s="235">
        <v>67965861.968036383</v>
      </c>
      <c r="AO16" s="235">
        <f t="shared" si="2"/>
        <v>67965861.968036383</v>
      </c>
      <c r="AP16" s="235">
        <f t="shared" si="2"/>
        <v>67965861.968036383</v>
      </c>
      <c r="AQ16" s="236">
        <f t="shared" si="2"/>
        <v>67965861.968036383</v>
      </c>
      <c r="AR16" s="236">
        <f t="shared" si="2"/>
        <v>67965861.968036383</v>
      </c>
      <c r="AS16" s="236">
        <f t="shared" si="2"/>
        <v>67965861.968036383</v>
      </c>
      <c r="AT16" s="236">
        <f t="shared" si="2"/>
        <v>67965861.968036383</v>
      </c>
      <c r="AU16" s="236">
        <f t="shared" si="2"/>
        <v>67965861.968036383</v>
      </c>
      <c r="AV16" s="236">
        <f t="shared" si="2"/>
        <v>67965861.968036383</v>
      </c>
      <c r="AW16" s="226">
        <v>66591365.312899388</v>
      </c>
      <c r="AX16" s="226">
        <f t="shared" si="12"/>
        <v>66591365.312899388</v>
      </c>
      <c r="AY16" s="226">
        <f t="shared" si="12"/>
        <v>66591365.312899388</v>
      </c>
      <c r="AZ16" s="226">
        <f t="shared" si="12"/>
        <v>66591365.312899388</v>
      </c>
      <c r="BA16" s="226">
        <f t="shared" si="12"/>
        <v>66591365.312899388</v>
      </c>
      <c r="BB16" s="226">
        <f t="shared" si="12"/>
        <v>66591365.312899388</v>
      </c>
      <c r="BC16" s="224">
        <v>69650100.639662758</v>
      </c>
      <c r="BD16" s="224">
        <f t="shared" si="13"/>
        <v>69650100.639662758</v>
      </c>
      <c r="BE16" s="224">
        <f t="shared" si="13"/>
        <v>69650100.639662758</v>
      </c>
      <c r="BF16" s="224">
        <f t="shared" si="13"/>
        <v>69650100.639662758</v>
      </c>
      <c r="BG16" s="224">
        <f t="shared" si="13"/>
        <v>69650100.639662758</v>
      </c>
      <c r="BH16" s="224">
        <f t="shared" si="13"/>
        <v>69650100.639662758</v>
      </c>
      <c r="BI16" s="224">
        <f t="shared" si="13"/>
        <v>69650100.639662758</v>
      </c>
      <c r="BJ16" s="224">
        <f t="shared" si="13"/>
        <v>69650100.639662758</v>
      </c>
      <c r="BK16" s="224">
        <f t="shared" si="13"/>
        <v>69650100.639662758</v>
      </c>
      <c r="BL16" s="224">
        <f t="shared" si="13"/>
        <v>69650100.639662758</v>
      </c>
      <c r="BM16" s="224">
        <f t="shared" si="13"/>
        <v>69650100.639662758</v>
      </c>
      <c r="BN16" s="224">
        <f t="shared" si="13"/>
        <v>69650100.639662758</v>
      </c>
      <c r="BO16" s="224">
        <f t="shared" si="13"/>
        <v>69650100.639662758</v>
      </c>
    </row>
    <row r="17" spans="1:67">
      <c r="A17" s="223">
        <f t="shared" si="5"/>
        <v>7</v>
      </c>
      <c r="B17" s="151" t="s">
        <v>14</v>
      </c>
      <c r="C17" s="223">
        <v>15</v>
      </c>
      <c r="D17" s="224"/>
      <c r="E17" s="225">
        <f t="shared" si="1"/>
        <v>0</v>
      </c>
      <c r="F17" s="225">
        <f t="shared" si="1"/>
        <v>0</v>
      </c>
      <c r="G17" s="225">
        <f t="shared" si="1"/>
        <v>0</v>
      </c>
      <c r="H17" s="225">
        <f t="shared" si="1"/>
        <v>0</v>
      </c>
      <c r="I17" s="225">
        <f t="shared" si="1"/>
        <v>0</v>
      </c>
      <c r="J17" s="225">
        <f t="shared" si="1"/>
        <v>0</v>
      </c>
      <c r="K17" s="237"/>
      <c r="L17" s="237">
        <f t="shared" si="6"/>
        <v>0</v>
      </c>
      <c r="M17" s="237">
        <f t="shared" si="6"/>
        <v>0</v>
      </c>
      <c r="N17" s="237">
        <f t="shared" si="6"/>
        <v>0</v>
      </c>
      <c r="O17" s="237">
        <f t="shared" si="6"/>
        <v>0</v>
      </c>
      <c r="P17" s="237">
        <f t="shared" si="6"/>
        <v>0</v>
      </c>
      <c r="Q17" s="237">
        <f t="shared" si="6"/>
        <v>0</v>
      </c>
      <c r="R17" s="237">
        <f t="shared" si="6"/>
        <v>0</v>
      </c>
      <c r="S17" s="237">
        <f t="shared" si="6"/>
        <v>0</v>
      </c>
      <c r="T17" s="224"/>
      <c r="U17" s="224">
        <f t="shared" si="11"/>
        <v>0</v>
      </c>
      <c r="V17" s="224">
        <f t="shared" si="11"/>
        <v>0</v>
      </c>
      <c r="W17" s="224">
        <f t="shared" si="11"/>
        <v>0</v>
      </c>
      <c r="X17" s="226"/>
      <c r="Y17" s="226">
        <f t="shared" si="7"/>
        <v>0</v>
      </c>
      <c r="Z17" s="226">
        <f t="shared" si="7"/>
        <v>0</v>
      </c>
      <c r="AA17" s="224"/>
      <c r="AB17" s="224"/>
      <c r="AC17" s="224"/>
      <c r="AD17" s="224">
        <f t="shared" si="8"/>
        <v>0</v>
      </c>
      <c r="AE17" s="226"/>
      <c r="AF17" s="224"/>
      <c r="AG17" s="224">
        <f t="shared" si="9"/>
        <v>0</v>
      </c>
      <c r="AH17" s="226"/>
      <c r="AI17" s="226">
        <f t="shared" si="10"/>
        <v>0</v>
      </c>
      <c r="AJ17" s="226">
        <f t="shared" si="10"/>
        <v>0</v>
      </c>
      <c r="AK17" s="226">
        <f t="shared" si="10"/>
        <v>0</v>
      </c>
      <c r="AL17" s="226">
        <f t="shared" si="10"/>
        <v>0</v>
      </c>
      <c r="AM17" s="226">
        <f t="shared" si="10"/>
        <v>0</v>
      </c>
      <c r="AN17" s="235"/>
      <c r="AO17" s="235">
        <f t="shared" si="2"/>
        <v>0</v>
      </c>
      <c r="AP17" s="235">
        <f t="shared" si="2"/>
        <v>0</v>
      </c>
      <c r="AQ17" s="236">
        <f t="shared" si="2"/>
        <v>0</v>
      </c>
      <c r="AR17" s="236">
        <f t="shared" si="2"/>
        <v>0</v>
      </c>
      <c r="AS17" s="236">
        <f t="shared" si="2"/>
        <v>0</v>
      </c>
      <c r="AT17" s="236">
        <f t="shared" si="2"/>
        <v>0</v>
      </c>
      <c r="AU17" s="236">
        <f t="shared" si="2"/>
        <v>0</v>
      </c>
      <c r="AV17" s="236">
        <f t="shared" si="2"/>
        <v>0</v>
      </c>
      <c r="AW17" s="226"/>
      <c r="AX17" s="226">
        <f t="shared" si="12"/>
        <v>0</v>
      </c>
      <c r="AY17" s="226">
        <f t="shared" si="12"/>
        <v>0</v>
      </c>
      <c r="AZ17" s="226">
        <f t="shared" si="12"/>
        <v>0</v>
      </c>
      <c r="BA17" s="226">
        <f t="shared" si="12"/>
        <v>0</v>
      </c>
      <c r="BB17" s="226">
        <f t="shared" si="12"/>
        <v>0</v>
      </c>
      <c r="BC17" s="224"/>
      <c r="BD17" s="224">
        <f t="shared" si="13"/>
        <v>0</v>
      </c>
      <c r="BE17" s="224">
        <f t="shared" si="13"/>
        <v>0</v>
      </c>
      <c r="BF17" s="224">
        <f t="shared" si="13"/>
        <v>0</v>
      </c>
      <c r="BG17" s="224">
        <f t="shared" si="13"/>
        <v>0</v>
      </c>
      <c r="BH17" s="224">
        <f t="shared" si="13"/>
        <v>0</v>
      </c>
      <c r="BI17" s="224">
        <f t="shared" si="13"/>
        <v>0</v>
      </c>
      <c r="BJ17" s="224">
        <f t="shared" si="13"/>
        <v>0</v>
      </c>
      <c r="BK17" s="224">
        <f t="shared" si="13"/>
        <v>0</v>
      </c>
      <c r="BL17" s="224">
        <f t="shared" si="13"/>
        <v>0</v>
      </c>
      <c r="BM17" s="224">
        <f t="shared" si="13"/>
        <v>0</v>
      </c>
      <c r="BN17" s="224">
        <f t="shared" si="13"/>
        <v>0</v>
      </c>
      <c r="BO17" s="224">
        <f t="shared" si="13"/>
        <v>0</v>
      </c>
    </row>
    <row r="18" spans="1:67">
      <c r="A18" s="223">
        <f t="shared" si="5"/>
        <v>8</v>
      </c>
      <c r="B18" s="151" t="s">
        <v>15</v>
      </c>
      <c r="C18" s="223">
        <v>16</v>
      </c>
      <c r="D18" s="224">
        <v>55063970.470420144</v>
      </c>
      <c r="E18" s="225">
        <f t="shared" si="1"/>
        <v>55063970.470420144</v>
      </c>
      <c r="F18" s="225">
        <f t="shared" si="1"/>
        <v>55063970.470420144</v>
      </c>
      <c r="G18" s="225">
        <f t="shared" si="1"/>
        <v>55063970.470420144</v>
      </c>
      <c r="H18" s="225">
        <f t="shared" si="1"/>
        <v>55063970.470420144</v>
      </c>
      <c r="I18" s="225">
        <f t="shared" si="1"/>
        <v>55063970.470420144</v>
      </c>
      <c r="J18" s="225">
        <f t="shared" si="1"/>
        <v>55063970.470420144</v>
      </c>
      <c r="K18" s="237">
        <v>53264841.682964519</v>
      </c>
      <c r="L18" s="237">
        <f t="shared" si="6"/>
        <v>53264841.682964519</v>
      </c>
      <c r="M18" s="237">
        <f t="shared" si="6"/>
        <v>53264841.682964519</v>
      </c>
      <c r="N18" s="237">
        <f t="shared" si="6"/>
        <v>53264841.682964519</v>
      </c>
      <c r="O18" s="237">
        <f t="shared" si="6"/>
        <v>53264841.682964519</v>
      </c>
      <c r="P18" s="237">
        <f t="shared" si="6"/>
        <v>53264841.682964519</v>
      </c>
      <c r="Q18" s="237">
        <f t="shared" si="6"/>
        <v>53264841.682964519</v>
      </c>
      <c r="R18" s="237">
        <f t="shared" si="6"/>
        <v>53264841.682964519</v>
      </c>
      <c r="S18" s="237">
        <f t="shared" si="6"/>
        <v>53264841.682964519</v>
      </c>
      <c r="T18" s="224">
        <v>54550986.935914896</v>
      </c>
      <c r="U18" s="224">
        <f t="shared" si="11"/>
        <v>54550986.935914896</v>
      </c>
      <c r="V18" s="224">
        <f t="shared" si="11"/>
        <v>54550986.935914896</v>
      </c>
      <c r="W18" s="224">
        <f t="shared" si="11"/>
        <v>54550986.935914896</v>
      </c>
      <c r="X18" s="226">
        <v>55117816.329459384</v>
      </c>
      <c r="Y18" s="226">
        <f t="shared" si="7"/>
        <v>55117816.329459384</v>
      </c>
      <c r="Z18" s="226">
        <f t="shared" si="7"/>
        <v>55117816.329459384</v>
      </c>
      <c r="AA18" s="224">
        <v>53071399.813926347</v>
      </c>
      <c r="AB18" s="224">
        <v>53593006.754076436</v>
      </c>
      <c r="AC18" s="224">
        <v>52865025.813154578</v>
      </c>
      <c r="AD18" s="224">
        <f t="shared" si="8"/>
        <v>52865025.813154578</v>
      </c>
      <c r="AE18" s="226">
        <v>54749933.672474936</v>
      </c>
      <c r="AF18" s="224">
        <v>54257766.307853363</v>
      </c>
      <c r="AG18" s="224">
        <f t="shared" si="9"/>
        <v>54257766.307853363</v>
      </c>
      <c r="AH18" s="226">
        <v>56073566.54028634</v>
      </c>
      <c r="AI18" s="226">
        <f t="shared" si="10"/>
        <v>56073566.54028634</v>
      </c>
      <c r="AJ18" s="226">
        <f t="shared" si="10"/>
        <v>56073566.54028634</v>
      </c>
      <c r="AK18" s="226">
        <f t="shared" si="10"/>
        <v>56073566.54028634</v>
      </c>
      <c r="AL18" s="226">
        <f t="shared" si="10"/>
        <v>56073566.54028634</v>
      </c>
      <c r="AM18" s="226">
        <f t="shared" si="10"/>
        <v>56073566.54028634</v>
      </c>
      <c r="AN18" s="235">
        <v>56473024.841148637</v>
      </c>
      <c r="AO18" s="235">
        <f t="shared" si="2"/>
        <v>56473024.841148637</v>
      </c>
      <c r="AP18" s="235">
        <f t="shared" si="2"/>
        <v>56473024.841148637</v>
      </c>
      <c r="AQ18" s="236">
        <f t="shared" si="2"/>
        <v>56473024.841148637</v>
      </c>
      <c r="AR18" s="236">
        <f t="shared" si="2"/>
        <v>56473024.841148637</v>
      </c>
      <c r="AS18" s="236">
        <f t="shared" si="2"/>
        <v>56473024.841148637</v>
      </c>
      <c r="AT18" s="236">
        <f t="shared" si="2"/>
        <v>56473024.841148637</v>
      </c>
      <c r="AU18" s="236">
        <f t="shared" si="2"/>
        <v>56473024.841148637</v>
      </c>
      <c r="AV18" s="236">
        <f t="shared" si="2"/>
        <v>56473024.841148637</v>
      </c>
      <c r="AW18" s="226">
        <v>55319019.229726009</v>
      </c>
      <c r="AX18" s="226">
        <f t="shared" si="12"/>
        <v>55319019.229726009</v>
      </c>
      <c r="AY18" s="226">
        <f t="shared" si="12"/>
        <v>55319019.229726009</v>
      </c>
      <c r="AZ18" s="226">
        <f t="shared" si="12"/>
        <v>55319019.229726009</v>
      </c>
      <c r="BA18" s="226">
        <f t="shared" si="12"/>
        <v>55319019.229726009</v>
      </c>
      <c r="BB18" s="226">
        <f t="shared" si="12"/>
        <v>55319019.229726009</v>
      </c>
      <c r="BC18" s="224">
        <v>57915819.431122258</v>
      </c>
      <c r="BD18" s="224">
        <f t="shared" si="13"/>
        <v>57915819.431122258</v>
      </c>
      <c r="BE18" s="224">
        <f t="shared" si="13"/>
        <v>57915819.431122258</v>
      </c>
      <c r="BF18" s="224">
        <f t="shared" si="13"/>
        <v>57915819.431122258</v>
      </c>
      <c r="BG18" s="224">
        <f t="shared" si="13"/>
        <v>57915819.431122258</v>
      </c>
      <c r="BH18" s="224">
        <f t="shared" si="13"/>
        <v>57915819.431122258</v>
      </c>
      <c r="BI18" s="224">
        <f t="shared" si="13"/>
        <v>57915819.431122258</v>
      </c>
      <c r="BJ18" s="224">
        <f t="shared" si="13"/>
        <v>57915819.431122258</v>
      </c>
      <c r="BK18" s="224">
        <f t="shared" si="13"/>
        <v>57915819.431122258</v>
      </c>
      <c r="BL18" s="224">
        <f t="shared" si="13"/>
        <v>57915819.431122258</v>
      </c>
      <c r="BM18" s="224">
        <f t="shared" si="13"/>
        <v>57915819.431122258</v>
      </c>
      <c r="BN18" s="224">
        <f t="shared" si="13"/>
        <v>57915819.431122258</v>
      </c>
      <c r="BO18" s="224">
        <f t="shared" si="13"/>
        <v>57915819.431122258</v>
      </c>
    </row>
    <row r="19" spans="1:67">
      <c r="A19" s="223">
        <v>9</v>
      </c>
      <c r="B19" s="151" t="s">
        <v>1454</v>
      </c>
      <c r="C19" s="223">
        <v>17</v>
      </c>
      <c r="D19" s="224">
        <v>15339348</v>
      </c>
      <c r="E19" s="224">
        <v>15339348</v>
      </c>
      <c r="F19" s="224">
        <v>15339348</v>
      </c>
      <c r="G19" s="224">
        <v>15339348</v>
      </c>
      <c r="H19" s="224">
        <v>15339348</v>
      </c>
      <c r="I19" s="224">
        <v>15339348</v>
      </c>
      <c r="J19" s="224">
        <v>15339348</v>
      </c>
      <c r="K19" s="237">
        <v>15339348</v>
      </c>
      <c r="L19" s="237">
        <v>15339348</v>
      </c>
      <c r="M19" s="237">
        <v>15339348</v>
      </c>
      <c r="N19" s="237">
        <v>15339348</v>
      </c>
      <c r="O19" s="237">
        <v>15339348</v>
      </c>
      <c r="P19" s="237">
        <v>15339348</v>
      </c>
      <c r="Q19" s="237">
        <v>15339348</v>
      </c>
      <c r="R19" s="237">
        <v>15339348</v>
      </c>
      <c r="S19" s="237">
        <v>15339348</v>
      </c>
      <c r="T19" s="224">
        <v>15339348</v>
      </c>
      <c r="U19" s="224">
        <v>15339348</v>
      </c>
      <c r="V19" s="224">
        <v>15339348</v>
      </c>
      <c r="W19" s="224">
        <v>15339348</v>
      </c>
      <c r="X19" s="226">
        <v>15339348</v>
      </c>
      <c r="Y19" s="226">
        <v>15339348</v>
      </c>
      <c r="Z19" s="226">
        <v>15339348</v>
      </c>
      <c r="AA19" s="224">
        <v>15339348</v>
      </c>
      <c r="AB19" s="224">
        <v>15339348</v>
      </c>
      <c r="AC19" s="224">
        <v>15339348</v>
      </c>
      <c r="AD19" s="224">
        <v>15339348</v>
      </c>
      <c r="AE19" s="226">
        <v>15339348</v>
      </c>
      <c r="AF19" s="224">
        <v>15339348</v>
      </c>
      <c r="AG19" s="224">
        <v>15339348</v>
      </c>
      <c r="AH19" s="226">
        <v>15339348</v>
      </c>
      <c r="AI19" s="226">
        <v>15339348</v>
      </c>
      <c r="AJ19" s="226">
        <v>15339348</v>
      </c>
      <c r="AK19" s="226">
        <v>15339348</v>
      </c>
      <c r="AL19" s="226">
        <v>15339348</v>
      </c>
      <c r="AM19" s="226">
        <v>15339348</v>
      </c>
      <c r="AN19" s="235">
        <v>15339348</v>
      </c>
      <c r="AO19" s="235">
        <v>15339348</v>
      </c>
      <c r="AP19" s="235">
        <v>15339348</v>
      </c>
      <c r="AQ19" s="236">
        <v>15339348</v>
      </c>
      <c r="AR19" s="236">
        <v>15339348</v>
      </c>
      <c r="AS19" s="236">
        <v>15339348</v>
      </c>
      <c r="AT19" s="236">
        <v>15339348</v>
      </c>
      <c r="AU19" s="236">
        <v>15339348</v>
      </c>
      <c r="AV19" s="236">
        <v>15339348</v>
      </c>
      <c r="AW19" s="226">
        <v>15339348</v>
      </c>
      <c r="AX19" s="226">
        <v>15339348</v>
      </c>
      <c r="AY19" s="226">
        <v>15339348</v>
      </c>
      <c r="AZ19" s="226">
        <v>15339348</v>
      </c>
      <c r="BA19" s="226">
        <v>15339348</v>
      </c>
      <c r="BB19" s="226">
        <v>15339348</v>
      </c>
      <c r="BC19" s="224">
        <v>32339348</v>
      </c>
      <c r="BD19" s="224">
        <v>32339348</v>
      </c>
      <c r="BE19" s="224">
        <v>32339348</v>
      </c>
      <c r="BF19" s="224">
        <v>32339348</v>
      </c>
      <c r="BG19" s="224">
        <v>32339348</v>
      </c>
      <c r="BH19" s="224">
        <v>32339348</v>
      </c>
      <c r="BI19" s="224">
        <v>32339348</v>
      </c>
      <c r="BJ19" s="224">
        <v>32339348</v>
      </c>
      <c r="BK19" s="224">
        <v>32339348</v>
      </c>
      <c r="BL19" s="224">
        <v>32339348</v>
      </c>
      <c r="BM19" s="224">
        <v>32339348</v>
      </c>
      <c r="BN19" s="224">
        <v>32339348</v>
      </c>
      <c r="BO19" s="224">
        <v>32339348</v>
      </c>
    </row>
    <row r="20" spans="1:67">
      <c r="A20" s="223">
        <v>10</v>
      </c>
      <c r="B20" s="255" t="s">
        <v>1451</v>
      </c>
      <c r="C20" s="223">
        <v>18</v>
      </c>
      <c r="D20" s="224">
        <v>23952989</v>
      </c>
      <c r="E20" s="224">
        <v>23952989</v>
      </c>
      <c r="F20" s="224">
        <v>23952989</v>
      </c>
      <c r="G20" s="224">
        <v>23952989</v>
      </c>
      <c r="H20" s="224">
        <v>23952989</v>
      </c>
      <c r="I20" s="224">
        <v>23952989</v>
      </c>
      <c r="J20" s="224">
        <v>23952989</v>
      </c>
      <c r="K20" s="237">
        <v>23952989</v>
      </c>
      <c r="L20" s="237">
        <v>23952989</v>
      </c>
      <c r="M20" s="237">
        <v>23952989</v>
      </c>
      <c r="N20" s="237">
        <v>23952989</v>
      </c>
      <c r="O20" s="237">
        <v>23952989</v>
      </c>
      <c r="P20" s="237">
        <v>23952989</v>
      </c>
      <c r="Q20" s="237">
        <v>23952989</v>
      </c>
      <c r="R20" s="237">
        <v>23952989</v>
      </c>
      <c r="S20" s="237">
        <v>23952989</v>
      </c>
      <c r="T20" s="224">
        <v>23952989</v>
      </c>
      <c r="U20" s="224">
        <v>23952989</v>
      </c>
      <c r="V20" s="224">
        <v>23952989</v>
      </c>
      <c r="W20" s="224">
        <v>23952989</v>
      </c>
      <c r="X20" s="226">
        <v>23952989</v>
      </c>
      <c r="Y20" s="226">
        <v>23952989</v>
      </c>
      <c r="Z20" s="226">
        <v>23952989</v>
      </c>
      <c r="AA20" s="224">
        <v>23952989</v>
      </c>
      <c r="AB20" s="224">
        <v>23952989</v>
      </c>
      <c r="AC20" s="224">
        <v>23952989</v>
      </c>
      <c r="AD20" s="224">
        <v>23952989</v>
      </c>
      <c r="AE20" s="226">
        <v>23952989</v>
      </c>
      <c r="AF20" s="224">
        <v>23952989</v>
      </c>
      <c r="AG20" s="224">
        <v>23952989</v>
      </c>
      <c r="AH20" s="226">
        <v>23952989</v>
      </c>
      <c r="AI20" s="226">
        <v>23952989</v>
      </c>
      <c r="AJ20" s="226">
        <v>23952989</v>
      </c>
      <c r="AK20" s="226">
        <v>23952989</v>
      </c>
      <c r="AL20" s="226">
        <v>23952989</v>
      </c>
      <c r="AM20" s="226">
        <v>23952989</v>
      </c>
      <c r="AN20" s="235">
        <v>23952989</v>
      </c>
      <c r="AO20" s="235">
        <v>23952989</v>
      </c>
      <c r="AP20" s="235">
        <v>23952989</v>
      </c>
      <c r="AQ20" s="236">
        <v>23952989</v>
      </c>
      <c r="AR20" s="236">
        <v>23952989</v>
      </c>
      <c r="AS20" s="236">
        <v>23952989</v>
      </c>
      <c r="AT20" s="236">
        <v>23952989</v>
      </c>
      <c r="AU20" s="236">
        <v>23952989</v>
      </c>
      <c r="AV20" s="236">
        <v>23952989</v>
      </c>
      <c r="AW20" s="226">
        <v>23952989</v>
      </c>
      <c r="AX20" s="226">
        <v>23952989</v>
      </c>
      <c r="AY20" s="226">
        <v>23952989</v>
      </c>
      <c r="AZ20" s="226">
        <v>23952989</v>
      </c>
      <c r="BA20" s="226">
        <v>23952989</v>
      </c>
      <c r="BB20" s="226">
        <v>23952989</v>
      </c>
      <c r="BC20" s="224">
        <v>33952989</v>
      </c>
      <c r="BD20" s="224">
        <v>33952989</v>
      </c>
      <c r="BE20" s="224">
        <v>33952989</v>
      </c>
      <c r="BF20" s="224">
        <v>33952989</v>
      </c>
      <c r="BG20" s="224">
        <v>33952989</v>
      </c>
      <c r="BH20" s="224">
        <v>33952989</v>
      </c>
      <c r="BI20" s="224">
        <v>33952989</v>
      </c>
      <c r="BJ20" s="224">
        <v>33952989</v>
      </c>
      <c r="BK20" s="224">
        <v>33952989</v>
      </c>
      <c r="BL20" s="224">
        <v>33952989</v>
      </c>
      <c r="BM20" s="224">
        <v>33952989</v>
      </c>
      <c r="BN20" s="224">
        <v>33952989</v>
      </c>
      <c r="BO20" s="224">
        <v>33952989</v>
      </c>
    </row>
    <row r="21" spans="1:67">
      <c r="A21" s="223">
        <v>11</v>
      </c>
      <c r="B21" s="151" t="s">
        <v>1455</v>
      </c>
      <c r="C21" s="223">
        <v>19</v>
      </c>
      <c r="D21" s="224">
        <v>22450661</v>
      </c>
      <c r="E21" s="224">
        <v>22450661</v>
      </c>
      <c r="F21" s="224">
        <v>22450661</v>
      </c>
      <c r="G21" s="224">
        <v>22450661</v>
      </c>
      <c r="H21" s="224">
        <v>22450661</v>
      </c>
      <c r="I21" s="224">
        <v>22450661</v>
      </c>
      <c r="J21" s="224">
        <v>22450661</v>
      </c>
      <c r="K21" s="237">
        <v>22450661</v>
      </c>
      <c r="L21" s="237">
        <v>22450661</v>
      </c>
      <c r="M21" s="237">
        <v>22450661</v>
      </c>
      <c r="N21" s="237">
        <v>22450661</v>
      </c>
      <c r="O21" s="237">
        <v>22450661</v>
      </c>
      <c r="P21" s="237">
        <v>22450661</v>
      </c>
      <c r="Q21" s="237">
        <v>22450661</v>
      </c>
      <c r="R21" s="237">
        <v>22450661</v>
      </c>
      <c r="S21" s="237">
        <v>22450661</v>
      </c>
      <c r="T21" s="224">
        <v>22450661</v>
      </c>
      <c r="U21" s="224">
        <v>22450661</v>
      </c>
      <c r="V21" s="224">
        <v>22450661</v>
      </c>
      <c r="W21" s="224">
        <v>22450661</v>
      </c>
      <c r="X21" s="226">
        <v>22450661</v>
      </c>
      <c r="Y21" s="226">
        <v>22450661</v>
      </c>
      <c r="Z21" s="226">
        <v>22450661</v>
      </c>
      <c r="AA21" s="224">
        <v>22450661</v>
      </c>
      <c r="AB21" s="224">
        <v>22450661</v>
      </c>
      <c r="AC21" s="224">
        <v>22450661</v>
      </c>
      <c r="AD21" s="224">
        <v>22450661</v>
      </c>
      <c r="AE21" s="226">
        <v>22450661</v>
      </c>
      <c r="AF21" s="224">
        <v>22450661</v>
      </c>
      <c r="AG21" s="224">
        <v>22450661</v>
      </c>
      <c r="AH21" s="226">
        <v>22450661</v>
      </c>
      <c r="AI21" s="226">
        <v>22450661</v>
      </c>
      <c r="AJ21" s="226">
        <v>22450661</v>
      </c>
      <c r="AK21" s="226">
        <v>22450661</v>
      </c>
      <c r="AL21" s="226">
        <v>22450661</v>
      </c>
      <c r="AM21" s="226">
        <v>22450661</v>
      </c>
      <c r="AN21" s="235">
        <v>22450661</v>
      </c>
      <c r="AO21" s="235">
        <v>22450661</v>
      </c>
      <c r="AP21" s="235">
        <v>22450661</v>
      </c>
      <c r="AQ21" s="236">
        <v>22450661</v>
      </c>
      <c r="AR21" s="236">
        <v>22450661</v>
      </c>
      <c r="AS21" s="236">
        <v>22450661</v>
      </c>
      <c r="AT21" s="236">
        <v>22450661</v>
      </c>
      <c r="AU21" s="236">
        <v>22450661</v>
      </c>
      <c r="AV21" s="236">
        <v>22450661</v>
      </c>
      <c r="AW21" s="226">
        <v>22450661</v>
      </c>
      <c r="AX21" s="226">
        <v>22450661</v>
      </c>
      <c r="AY21" s="226">
        <v>22450661</v>
      </c>
      <c r="AZ21" s="226">
        <v>22450661</v>
      </c>
      <c r="BA21" s="226">
        <v>22450661</v>
      </c>
      <c r="BB21" s="226">
        <v>22450661</v>
      </c>
      <c r="BC21" s="224">
        <v>32450661</v>
      </c>
      <c r="BD21" s="224">
        <v>32450661</v>
      </c>
      <c r="BE21" s="224">
        <v>32450661</v>
      </c>
      <c r="BF21" s="224">
        <v>32450661</v>
      </c>
      <c r="BG21" s="224">
        <v>32450661</v>
      </c>
      <c r="BH21" s="224">
        <v>32450661</v>
      </c>
      <c r="BI21" s="224">
        <v>32450661</v>
      </c>
      <c r="BJ21" s="224">
        <v>32450661</v>
      </c>
      <c r="BK21" s="224">
        <v>32450661</v>
      </c>
      <c r="BL21" s="224">
        <v>32450661</v>
      </c>
      <c r="BM21" s="224">
        <v>32450661</v>
      </c>
      <c r="BN21" s="224">
        <v>32450661</v>
      </c>
      <c r="BO21" s="224">
        <v>32450661</v>
      </c>
    </row>
    <row r="22" spans="1:67">
      <c r="A22" s="229" t="s">
        <v>29</v>
      </c>
      <c r="B22" s="230" t="s">
        <v>149</v>
      </c>
      <c r="C22" s="223">
        <v>20</v>
      </c>
      <c r="D22" s="224"/>
      <c r="E22" s="225">
        <f t="shared" si="1"/>
        <v>0</v>
      </c>
      <c r="F22" s="225">
        <f t="shared" si="1"/>
        <v>0</v>
      </c>
      <c r="G22" s="225">
        <f t="shared" si="1"/>
        <v>0</v>
      </c>
      <c r="H22" s="225">
        <f t="shared" si="1"/>
        <v>0</v>
      </c>
      <c r="I22" s="225">
        <f t="shared" si="1"/>
        <v>0</v>
      </c>
      <c r="J22" s="225">
        <f t="shared" si="1"/>
        <v>0</v>
      </c>
      <c r="K22" s="237"/>
      <c r="L22" s="237">
        <f t="shared" si="6"/>
        <v>0</v>
      </c>
      <c r="M22" s="237">
        <f t="shared" si="6"/>
        <v>0</v>
      </c>
      <c r="N22" s="237">
        <f t="shared" si="6"/>
        <v>0</v>
      </c>
      <c r="O22" s="237">
        <f t="shared" si="6"/>
        <v>0</v>
      </c>
      <c r="P22" s="237">
        <f t="shared" si="6"/>
        <v>0</v>
      </c>
      <c r="Q22" s="237">
        <f t="shared" si="6"/>
        <v>0</v>
      </c>
      <c r="R22" s="237">
        <f t="shared" si="6"/>
        <v>0</v>
      </c>
      <c r="S22" s="237">
        <f t="shared" si="6"/>
        <v>0</v>
      </c>
      <c r="T22" s="224"/>
      <c r="U22" s="224">
        <f t="shared" si="11"/>
        <v>0</v>
      </c>
      <c r="V22" s="224">
        <f t="shared" si="11"/>
        <v>0</v>
      </c>
      <c r="W22" s="224">
        <f t="shared" si="11"/>
        <v>0</v>
      </c>
      <c r="X22" s="226"/>
      <c r="Y22" s="226">
        <f t="shared" si="7"/>
        <v>0</v>
      </c>
      <c r="Z22" s="226">
        <f t="shared" si="7"/>
        <v>0</v>
      </c>
      <c r="AA22" s="224"/>
      <c r="AB22" s="224"/>
      <c r="AC22" s="224"/>
      <c r="AD22" s="224">
        <f t="shared" si="8"/>
        <v>0</v>
      </c>
      <c r="AE22" s="226"/>
      <c r="AF22" s="224"/>
      <c r="AG22" s="224">
        <f t="shared" si="9"/>
        <v>0</v>
      </c>
      <c r="AH22" s="226"/>
      <c r="AI22" s="226">
        <f t="shared" si="10"/>
        <v>0</v>
      </c>
      <c r="AJ22" s="226">
        <f t="shared" si="10"/>
        <v>0</v>
      </c>
      <c r="AK22" s="226">
        <f t="shared" si="10"/>
        <v>0</v>
      </c>
      <c r="AL22" s="226">
        <f t="shared" si="10"/>
        <v>0</v>
      </c>
      <c r="AM22" s="226">
        <f t="shared" si="10"/>
        <v>0</v>
      </c>
      <c r="AN22" s="235"/>
      <c r="AO22" s="235">
        <f t="shared" si="2"/>
        <v>0</v>
      </c>
      <c r="AP22" s="235">
        <f t="shared" si="2"/>
        <v>0</v>
      </c>
      <c r="AQ22" s="236">
        <f t="shared" si="2"/>
        <v>0</v>
      </c>
      <c r="AR22" s="236">
        <f t="shared" si="2"/>
        <v>0</v>
      </c>
      <c r="AS22" s="236">
        <f t="shared" si="2"/>
        <v>0</v>
      </c>
      <c r="AT22" s="236">
        <f t="shared" si="2"/>
        <v>0</v>
      </c>
      <c r="AU22" s="236">
        <f t="shared" si="2"/>
        <v>0</v>
      </c>
      <c r="AV22" s="236">
        <f t="shared" si="2"/>
        <v>0</v>
      </c>
      <c r="AW22" s="226"/>
      <c r="AX22" s="226">
        <f t="shared" si="12"/>
        <v>0</v>
      </c>
      <c r="AY22" s="226">
        <f t="shared" si="12"/>
        <v>0</v>
      </c>
      <c r="AZ22" s="226">
        <f t="shared" si="12"/>
        <v>0</v>
      </c>
      <c r="BA22" s="226">
        <f t="shared" si="12"/>
        <v>0</v>
      </c>
      <c r="BB22" s="226">
        <f t="shared" si="12"/>
        <v>0</v>
      </c>
      <c r="BC22" s="224"/>
      <c r="BD22" s="224">
        <f t="shared" si="13"/>
        <v>0</v>
      </c>
      <c r="BE22" s="224">
        <f t="shared" si="13"/>
        <v>0</v>
      </c>
      <c r="BF22" s="224">
        <f t="shared" si="13"/>
        <v>0</v>
      </c>
      <c r="BG22" s="224">
        <f t="shared" si="13"/>
        <v>0</v>
      </c>
      <c r="BH22" s="224">
        <f t="shared" si="13"/>
        <v>0</v>
      </c>
      <c r="BI22" s="224">
        <f t="shared" si="13"/>
        <v>0</v>
      </c>
      <c r="BJ22" s="224">
        <f t="shared" si="13"/>
        <v>0</v>
      </c>
      <c r="BK22" s="224">
        <f t="shared" si="13"/>
        <v>0</v>
      </c>
      <c r="BL22" s="224">
        <f t="shared" si="13"/>
        <v>0</v>
      </c>
      <c r="BM22" s="224">
        <f t="shared" si="13"/>
        <v>0</v>
      </c>
      <c r="BN22" s="224">
        <f t="shared" si="13"/>
        <v>0</v>
      </c>
      <c r="BO22" s="224">
        <f t="shared" si="13"/>
        <v>0</v>
      </c>
    </row>
    <row r="23" spans="1:67">
      <c r="A23" s="223">
        <v>1</v>
      </c>
      <c r="B23" s="151" t="s">
        <v>17</v>
      </c>
      <c r="C23" s="223">
        <v>21</v>
      </c>
      <c r="D23" s="224">
        <v>10260750.301496269</v>
      </c>
      <c r="E23" s="225">
        <f t="shared" si="1"/>
        <v>10260750.301496269</v>
      </c>
      <c r="F23" s="225">
        <f t="shared" si="1"/>
        <v>10260750.301496269</v>
      </c>
      <c r="G23" s="225">
        <f t="shared" si="1"/>
        <v>10260750.301496269</v>
      </c>
      <c r="H23" s="225">
        <f t="shared" si="1"/>
        <v>10260750.301496269</v>
      </c>
      <c r="I23" s="225">
        <f t="shared" si="1"/>
        <v>10260750.301496269</v>
      </c>
      <c r="J23" s="225">
        <f t="shared" si="1"/>
        <v>10260750.301496269</v>
      </c>
      <c r="K23" s="237">
        <v>9026939.1747022476</v>
      </c>
      <c r="L23" s="237">
        <f t="shared" si="6"/>
        <v>9026939.1747022476</v>
      </c>
      <c r="M23" s="237">
        <f t="shared" si="6"/>
        <v>9026939.1747022476</v>
      </c>
      <c r="N23" s="237">
        <f t="shared" si="6"/>
        <v>9026939.1747022476</v>
      </c>
      <c r="O23" s="237">
        <f t="shared" si="6"/>
        <v>9026939.1747022476</v>
      </c>
      <c r="P23" s="237">
        <f t="shared" si="6"/>
        <v>9026939.1747022476</v>
      </c>
      <c r="Q23" s="237">
        <f t="shared" si="6"/>
        <v>9026939.1747022476</v>
      </c>
      <c r="R23" s="237">
        <f t="shared" si="6"/>
        <v>9026939.1747022476</v>
      </c>
      <c r="S23" s="237">
        <f t="shared" si="6"/>
        <v>9026939.1747022476</v>
      </c>
      <c r="T23" s="224">
        <v>9230839.5690807626</v>
      </c>
      <c r="U23" s="224">
        <f t="shared" si="11"/>
        <v>9230839.5690807626</v>
      </c>
      <c r="V23" s="224">
        <f t="shared" si="11"/>
        <v>9230839.5690807626</v>
      </c>
      <c r="W23" s="224">
        <f t="shared" si="11"/>
        <v>9230839.5690807626</v>
      </c>
      <c r="X23" s="226">
        <v>9279334.8370467126</v>
      </c>
      <c r="Y23" s="226">
        <f t="shared" si="7"/>
        <v>9279334.8370467126</v>
      </c>
      <c r="Z23" s="226">
        <f t="shared" si="7"/>
        <v>9279334.8370467126</v>
      </c>
      <c r="AA23" s="224">
        <v>9081960.0813455135</v>
      </c>
      <c r="AB23" s="224">
        <v>9102206.6729946844</v>
      </c>
      <c r="AC23" s="224">
        <v>9147970.4907375276</v>
      </c>
      <c r="AD23" s="224">
        <f t="shared" si="8"/>
        <v>9147970.4907375276</v>
      </c>
      <c r="AE23" s="226">
        <v>9217544.2452155091</v>
      </c>
      <c r="AF23" s="224">
        <v>9200124.3789655007</v>
      </c>
      <c r="AG23" s="224">
        <f t="shared" si="9"/>
        <v>9200124.3789655007</v>
      </c>
      <c r="AH23" s="226">
        <v>9417180.7656929679</v>
      </c>
      <c r="AI23" s="226">
        <f t="shared" si="10"/>
        <v>9417180.7656929679</v>
      </c>
      <c r="AJ23" s="226">
        <f t="shared" si="10"/>
        <v>9417180.7656929679</v>
      </c>
      <c r="AK23" s="226">
        <f t="shared" si="10"/>
        <v>9417180.7656929679</v>
      </c>
      <c r="AL23" s="226">
        <f t="shared" si="10"/>
        <v>9417180.7656929679</v>
      </c>
      <c r="AM23" s="226">
        <f t="shared" si="10"/>
        <v>9417180.7656929679</v>
      </c>
      <c r="AN23" s="235">
        <v>9516310.4446535856</v>
      </c>
      <c r="AO23" s="235">
        <f t="shared" si="2"/>
        <v>9516310.4446535856</v>
      </c>
      <c r="AP23" s="235">
        <f t="shared" si="2"/>
        <v>9516310.4446535856</v>
      </c>
      <c r="AQ23" s="236">
        <f t="shared" si="2"/>
        <v>9516310.4446535856</v>
      </c>
      <c r="AR23" s="236">
        <f t="shared" si="2"/>
        <v>9516310.4446535856</v>
      </c>
      <c r="AS23" s="236">
        <f t="shared" si="2"/>
        <v>9516310.4446535856</v>
      </c>
      <c r="AT23" s="236">
        <f t="shared" si="2"/>
        <v>9516310.4446535856</v>
      </c>
      <c r="AU23" s="236">
        <f t="shared" si="2"/>
        <v>9516310.4446535856</v>
      </c>
      <c r="AV23" s="236">
        <f t="shared" si="2"/>
        <v>9516310.4446535856</v>
      </c>
      <c r="AW23" s="226">
        <v>10666037.634032695</v>
      </c>
      <c r="AX23" s="226">
        <f t="shared" si="12"/>
        <v>10666037.634032695</v>
      </c>
      <c r="AY23" s="226">
        <f t="shared" si="12"/>
        <v>10666037.634032695</v>
      </c>
      <c r="AZ23" s="226">
        <f t="shared" si="12"/>
        <v>10666037.634032695</v>
      </c>
      <c r="BA23" s="226">
        <f t="shared" si="12"/>
        <v>10666037.634032695</v>
      </c>
      <c r="BB23" s="226">
        <f t="shared" si="12"/>
        <v>10666037.634032695</v>
      </c>
      <c r="BC23" s="224">
        <v>11603567.780179761</v>
      </c>
      <c r="BD23" s="224">
        <f t="shared" si="13"/>
        <v>11603567.780179761</v>
      </c>
      <c r="BE23" s="224">
        <f t="shared" si="13"/>
        <v>11603567.780179761</v>
      </c>
      <c r="BF23" s="224">
        <f t="shared" si="13"/>
        <v>11603567.780179761</v>
      </c>
      <c r="BG23" s="224">
        <f t="shared" si="13"/>
        <v>11603567.780179761</v>
      </c>
      <c r="BH23" s="224">
        <f t="shared" si="13"/>
        <v>11603567.780179761</v>
      </c>
      <c r="BI23" s="224">
        <f t="shared" si="13"/>
        <v>11603567.780179761</v>
      </c>
      <c r="BJ23" s="224">
        <f t="shared" si="13"/>
        <v>11603567.780179761</v>
      </c>
      <c r="BK23" s="224">
        <f t="shared" si="13"/>
        <v>11603567.780179761</v>
      </c>
      <c r="BL23" s="224">
        <f t="shared" si="13"/>
        <v>11603567.780179761</v>
      </c>
      <c r="BM23" s="224">
        <f t="shared" si="13"/>
        <v>11603567.780179761</v>
      </c>
      <c r="BN23" s="224">
        <f t="shared" si="13"/>
        <v>11603567.780179761</v>
      </c>
      <c r="BO23" s="224">
        <f t="shared" si="13"/>
        <v>11603567.780179761</v>
      </c>
    </row>
    <row r="24" spans="1:67">
      <c r="A24" s="223">
        <f t="shared" ref="A24:A30" si="14">A23+1</f>
        <v>2</v>
      </c>
      <c r="B24" s="151" t="s">
        <v>18</v>
      </c>
      <c r="C24" s="223">
        <v>22</v>
      </c>
      <c r="D24" s="224">
        <v>10260750.301496269</v>
      </c>
      <c r="E24" s="225">
        <f t="shared" si="1"/>
        <v>10260750.301496269</v>
      </c>
      <c r="F24" s="225">
        <f t="shared" si="1"/>
        <v>10260750.301496269</v>
      </c>
      <c r="G24" s="225">
        <f t="shared" si="1"/>
        <v>10260750.301496269</v>
      </c>
      <c r="H24" s="225">
        <f t="shared" si="1"/>
        <v>10260750.301496269</v>
      </c>
      <c r="I24" s="225">
        <f t="shared" si="1"/>
        <v>10260750.301496269</v>
      </c>
      <c r="J24" s="225">
        <f t="shared" si="1"/>
        <v>10260750.301496269</v>
      </c>
      <c r="K24" s="237">
        <v>9026939.1747022476</v>
      </c>
      <c r="L24" s="237">
        <f t="shared" si="6"/>
        <v>9026939.1747022476</v>
      </c>
      <c r="M24" s="237">
        <f t="shared" si="6"/>
        <v>9026939.1747022476</v>
      </c>
      <c r="N24" s="237">
        <f t="shared" si="6"/>
        <v>9026939.1747022476</v>
      </c>
      <c r="O24" s="237">
        <f t="shared" si="6"/>
        <v>9026939.1747022476</v>
      </c>
      <c r="P24" s="237">
        <f t="shared" si="6"/>
        <v>9026939.1747022476</v>
      </c>
      <c r="Q24" s="237">
        <f t="shared" si="6"/>
        <v>9026939.1747022476</v>
      </c>
      <c r="R24" s="237">
        <f t="shared" si="6"/>
        <v>9026939.1747022476</v>
      </c>
      <c r="S24" s="237">
        <f t="shared" si="6"/>
        <v>9026939.1747022476</v>
      </c>
      <c r="T24" s="224">
        <v>9230839.5690807626</v>
      </c>
      <c r="U24" s="224">
        <f t="shared" si="11"/>
        <v>9230839.5690807626</v>
      </c>
      <c r="V24" s="224">
        <f t="shared" si="11"/>
        <v>9230839.5690807626</v>
      </c>
      <c r="W24" s="224">
        <f t="shared" si="11"/>
        <v>9230839.5690807626</v>
      </c>
      <c r="X24" s="226">
        <v>9279334.8370467126</v>
      </c>
      <c r="Y24" s="226">
        <f t="shared" si="7"/>
        <v>9279334.8370467126</v>
      </c>
      <c r="Z24" s="226">
        <f t="shared" si="7"/>
        <v>9279334.8370467126</v>
      </c>
      <c r="AA24" s="224">
        <v>9081960.0813455135</v>
      </c>
      <c r="AB24" s="224">
        <v>9102206.6729946844</v>
      </c>
      <c r="AC24" s="224">
        <v>9147970.4907375276</v>
      </c>
      <c r="AD24" s="224">
        <f t="shared" si="8"/>
        <v>9147970.4907375276</v>
      </c>
      <c r="AE24" s="226">
        <v>9217544.2452155091</v>
      </c>
      <c r="AF24" s="224">
        <v>9200124.3789655007</v>
      </c>
      <c r="AG24" s="224">
        <f t="shared" si="9"/>
        <v>9200124.3789655007</v>
      </c>
      <c r="AH24" s="226">
        <v>9417180.7656929679</v>
      </c>
      <c r="AI24" s="226">
        <f t="shared" si="10"/>
        <v>9417180.7656929679</v>
      </c>
      <c r="AJ24" s="226">
        <f t="shared" si="10"/>
        <v>9417180.7656929679</v>
      </c>
      <c r="AK24" s="226">
        <f t="shared" si="10"/>
        <v>9417180.7656929679</v>
      </c>
      <c r="AL24" s="226">
        <f t="shared" si="10"/>
        <v>9417180.7656929679</v>
      </c>
      <c r="AM24" s="226">
        <f t="shared" si="10"/>
        <v>9417180.7656929679</v>
      </c>
      <c r="AN24" s="235">
        <v>9516310.4446535856</v>
      </c>
      <c r="AO24" s="235">
        <f t="shared" si="2"/>
        <v>9516310.4446535856</v>
      </c>
      <c r="AP24" s="235">
        <f t="shared" si="2"/>
        <v>9516310.4446535856</v>
      </c>
      <c r="AQ24" s="236">
        <f t="shared" si="2"/>
        <v>9516310.4446535856</v>
      </c>
      <c r="AR24" s="236">
        <f t="shared" si="2"/>
        <v>9516310.4446535856</v>
      </c>
      <c r="AS24" s="236">
        <f t="shared" si="2"/>
        <v>9516310.4446535856</v>
      </c>
      <c r="AT24" s="236">
        <f t="shared" si="2"/>
        <v>9516310.4446535856</v>
      </c>
      <c r="AU24" s="236">
        <f t="shared" si="2"/>
        <v>9516310.4446535856</v>
      </c>
      <c r="AV24" s="236">
        <f t="shared" si="2"/>
        <v>9516310.4446535856</v>
      </c>
      <c r="AW24" s="226">
        <v>10666037.634032695</v>
      </c>
      <c r="AX24" s="226">
        <f t="shared" si="12"/>
        <v>10666037.634032695</v>
      </c>
      <c r="AY24" s="226">
        <f t="shared" si="12"/>
        <v>10666037.634032695</v>
      </c>
      <c r="AZ24" s="226">
        <f t="shared" si="12"/>
        <v>10666037.634032695</v>
      </c>
      <c r="BA24" s="226">
        <f t="shared" si="12"/>
        <v>10666037.634032695</v>
      </c>
      <c r="BB24" s="226">
        <f t="shared" si="12"/>
        <v>10666037.634032695</v>
      </c>
      <c r="BC24" s="224">
        <v>11603567.780179761</v>
      </c>
      <c r="BD24" s="224">
        <f t="shared" si="13"/>
        <v>11603567.780179761</v>
      </c>
      <c r="BE24" s="224">
        <f t="shared" si="13"/>
        <v>11603567.780179761</v>
      </c>
      <c r="BF24" s="224">
        <f t="shared" si="13"/>
        <v>11603567.780179761</v>
      </c>
      <c r="BG24" s="224">
        <f t="shared" si="13"/>
        <v>11603567.780179761</v>
      </c>
      <c r="BH24" s="224">
        <f t="shared" si="13"/>
        <v>11603567.780179761</v>
      </c>
      <c r="BI24" s="224">
        <f t="shared" si="13"/>
        <v>11603567.780179761</v>
      </c>
      <c r="BJ24" s="224">
        <f t="shared" si="13"/>
        <v>11603567.780179761</v>
      </c>
      <c r="BK24" s="224">
        <f t="shared" si="13"/>
        <v>11603567.780179761</v>
      </c>
      <c r="BL24" s="224">
        <f t="shared" si="13"/>
        <v>11603567.780179761</v>
      </c>
      <c r="BM24" s="224">
        <f t="shared" si="13"/>
        <v>11603567.780179761</v>
      </c>
      <c r="BN24" s="224">
        <f t="shared" si="13"/>
        <v>11603567.780179761</v>
      </c>
      <c r="BO24" s="224">
        <f t="shared" si="13"/>
        <v>11603567.780179761</v>
      </c>
    </row>
    <row r="25" spans="1:67">
      <c r="A25" s="223">
        <f t="shared" si="14"/>
        <v>3</v>
      </c>
      <c r="B25" s="151" t="s">
        <v>19</v>
      </c>
      <c r="C25" s="223">
        <v>23</v>
      </c>
      <c r="D25" s="224">
        <v>630247.43184798257</v>
      </c>
      <c r="E25" s="225">
        <f t="shared" si="1"/>
        <v>630247.43184798257</v>
      </c>
      <c r="F25" s="225">
        <f t="shared" si="1"/>
        <v>630247.43184798257</v>
      </c>
      <c r="G25" s="225">
        <f t="shared" si="1"/>
        <v>630247.43184798257</v>
      </c>
      <c r="H25" s="225">
        <f t="shared" si="1"/>
        <v>630247.43184798257</v>
      </c>
      <c r="I25" s="225">
        <f t="shared" si="1"/>
        <v>630247.43184798257</v>
      </c>
      <c r="J25" s="225">
        <f t="shared" si="1"/>
        <v>630247.43184798257</v>
      </c>
      <c r="K25" s="237">
        <v>600264.29895181954</v>
      </c>
      <c r="L25" s="237">
        <f t="shared" si="6"/>
        <v>600264.29895181954</v>
      </c>
      <c r="M25" s="237">
        <f t="shared" si="6"/>
        <v>600264.29895181954</v>
      </c>
      <c r="N25" s="237">
        <f t="shared" si="6"/>
        <v>600264.29895181954</v>
      </c>
      <c r="O25" s="237">
        <f t="shared" si="6"/>
        <v>600264.29895181954</v>
      </c>
      <c r="P25" s="237">
        <f t="shared" si="6"/>
        <v>600264.29895181954</v>
      </c>
      <c r="Q25" s="237">
        <f t="shared" si="6"/>
        <v>600264.29895181954</v>
      </c>
      <c r="R25" s="237">
        <f t="shared" si="6"/>
        <v>600264.29895181954</v>
      </c>
      <c r="S25" s="237">
        <f t="shared" si="6"/>
        <v>600264.29895181954</v>
      </c>
      <c r="T25" s="224">
        <v>622523.51927299739</v>
      </c>
      <c r="U25" s="224">
        <f t="shared" si="11"/>
        <v>622523.51927299739</v>
      </c>
      <c r="V25" s="224">
        <f t="shared" si="11"/>
        <v>622523.51927299739</v>
      </c>
      <c r="W25" s="224">
        <f t="shared" si="11"/>
        <v>622523.51927299739</v>
      </c>
      <c r="X25" s="226">
        <v>656918.28595209902</v>
      </c>
      <c r="Y25" s="226">
        <f t="shared" si="7"/>
        <v>656918.28595209902</v>
      </c>
      <c r="Z25" s="226">
        <f t="shared" si="7"/>
        <v>656918.28595209902</v>
      </c>
      <c r="AA25" s="224">
        <v>580068.60257174703</v>
      </c>
      <c r="AB25" s="224">
        <v>584927.78456754761</v>
      </c>
      <c r="AC25" s="224">
        <v>622666.69711806381</v>
      </c>
      <c r="AD25" s="224">
        <f t="shared" si="8"/>
        <v>622666.69711806381</v>
      </c>
      <c r="AE25" s="226">
        <v>693428.81241688936</v>
      </c>
      <c r="AF25" s="224">
        <v>674782.27342962311</v>
      </c>
      <c r="AG25" s="224">
        <f t="shared" si="9"/>
        <v>674782.27342962311</v>
      </c>
      <c r="AH25" s="226">
        <v>652673.43433520372</v>
      </c>
      <c r="AI25" s="226">
        <f t="shared" si="10"/>
        <v>652673.43433520372</v>
      </c>
      <c r="AJ25" s="226">
        <f t="shared" si="10"/>
        <v>652673.43433520372</v>
      </c>
      <c r="AK25" s="226">
        <f t="shared" si="10"/>
        <v>652673.43433520372</v>
      </c>
      <c r="AL25" s="226">
        <f t="shared" si="10"/>
        <v>652673.43433520372</v>
      </c>
      <c r="AM25" s="226">
        <f t="shared" si="10"/>
        <v>652673.43433520372</v>
      </c>
      <c r="AN25" s="235">
        <v>675841.83717301278</v>
      </c>
      <c r="AO25" s="235">
        <f t="shared" si="2"/>
        <v>675841.83717301278</v>
      </c>
      <c r="AP25" s="235">
        <f t="shared" si="2"/>
        <v>675841.83717301278</v>
      </c>
      <c r="AQ25" s="236">
        <f t="shared" si="2"/>
        <v>675841.83717301278</v>
      </c>
      <c r="AR25" s="236">
        <f t="shared" si="2"/>
        <v>675841.83717301278</v>
      </c>
      <c r="AS25" s="236">
        <f t="shared" si="2"/>
        <v>675841.83717301278</v>
      </c>
      <c r="AT25" s="236">
        <f t="shared" si="2"/>
        <v>675841.83717301278</v>
      </c>
      <c r="AU25" s="236">
        <f t="shared" si="2"/>
        <v>675841.83717301278</v>
      </c>
      <c r="AV25" s="236">
        <f t="shared" si="2"/>
        <v>675841.83717301278</v>
      </c>
      <c r="AW25" s="226">
        <v>666089.26811717963</v>
      </c>
      <c r="AX25" s="226">
        <f t="shared" si="12"/>
        <v>666089.26811717963</v>
      </c>
      <c r="AY25" s="226">
        <f t="shared" si="12"/>
        <v>666089.26811717963</v>
      </c>
      <c r="AZ25" s="226">
        <f t="shared" si="12"/>
        <v>666089.26811717963</v>
      </c>
      <c r="BA25" s="226">
        <f t="shared" si="12"/>
        <v>666089.26811717963</v>
      </c>
      <c r="BB25" s="226">
        <f t="shared" si="12"/>
        <v>666089.26811717963</v>
      </c>
      <c r="BC25" s="224">
        <v>749024.03751173092</v>
      </c>
      <c r="BD25" s="224">
        <f t="shared" si="13"/>
        <v>749024.03751173092</v>
      </c>
      <c r="BE25" s="224">
        <f t="shared" si="13"/>
        <v>749024.03751173092</v>
      </c>
      <c r="BF25" s="224">
        <f t="shared" si="13"/>
        <v>749024.03751173092</v>
      </c>
      <c r="BG25" s="224">
        <f t="shared" si="13"/>
        <v>749024.03751173092</v>
      </c>
      <c r="BH25" s="224">
        <f t="shared" si="13"/>
        <v>749024.03751173092</v>
      </c>
      <c r="BI25" s="224">
        <f t="shared" si="13"/>
        <v>749024.03751173092</v>
      </c>
      <c r="BJ25" s="224">
        <f t="shared" si="13"/>
        <v>749024.03751173092</v>
      </c>
      <c r="BK25" s="224">
        <f t="shared" si="13"/>
        <v>749024.03751173092</v>
      </c>
      <c r="BL25" s="224">
        <f t="shared" si="13"/>
        <v>749024.03751173092</v>
      </c>
      <c r="BM25" s="224">
        <f t="shared" si="13"/>
        <v>749024.03751173092</v>
      </c>
      <c r="BN25" s="224">
        <f t="shared" si="13"/>
        <v>749024.03751173092</v>
      </c>
      <c r="BO25" s="224">
        <f t="shared" si="13"/>
        <v>749024.03751173092</v>
      </c>
    </row>
    <row r="26" spans="1:67">
      <c r="A26" s="223">
        <f t="shared" si="14"/>
        <v>4</v>
      </c>
      <c r="B26" s="151" t="s">
        <v>20</v>
      </c>
      <c r="C26" s="223">
        <v>24</v>
      </c>
      <c r="D26" s="224">
        <v>630247.43184798257</v>
      </c>
      <c r="E26" s="225">
        <f t="shared" si="1"/>
        <v>630247.43184798257</v>
      </c>
      <c r="F26" s="225">
        <f t="shared" si="1"/>
        <v>630247.43184798257</v>
      </c>
      <c r="G26" s="225">
        <f t="shared" si="1"/>
        <v>630247.43184798257</v>
      </c>
      <c r="H26" s="225">
        <f t="shared" si="1"/>
        <v>630247.43184798257</v>
      </c>
      <c r="I26" s="225">
        <f t="shared" si="1"/>
        <v>630247.43184798257</v>
      </c>
      <c r="J26" s="225">
        <f t="shared" si="1"/>
        <v>630247.43184798257</v>
      </c>
      <c r="K26" s="237">
        <v>600264.29895181954</v>
      </c>
      <c r="L26" s="237">
        <f t="shared" si="6"/>
        <v>600264.29895181954</v>
      </c>
      <c r="M26" s="237">
        <f t="shared" si="6"/>
        <v>600264.29895181954</v>
      </c>
      <c r="N26" s="237">
        <f t="shared" si="6"/>
        <v>600264.29895181954</v>
      </c>
      <c r="O26" s="237">
        <f t="shared" si="6"/>
        <v>600264.29895181954</v>
      </c>
      <c r="P26" s="237">
        <f t="shared" si="6"/>
        <v>600264.29895181954</v>
      </c>
      <c r="Q26" s="237">
        <f t="shared" si="6"/>
        <v>600264.29895181954</v>
      </c>
      <c r="R26" s="237">
        <f t="shared" si="6"/>
        <v>600264.29895181954</v>
      </c>
      <c r="S26" s="237">
        <f t="shared" si="6"/>
        <v>600264.29895181954</v>
      </c>
      <c r="T26" s="224">
        <v>622523.51927299739</v>
      </c>
      <c r="U26" s="224">
        <f t="shared" si="11"/>
        <v>622523.51927299739</v>
      </c>
      <c r="V26" s="224">
        <f t="shared" si="11"/>
        <v>622523.51927299739</v>
      </c>
      <c r="W26" s="224">
        <f t="shared" si="11"/>
        <v>622523.51927299739</v>
      </c>
      <c r="X26" s="226">
        <v>656918.28595209902</v>
      </c>
      <c r="Y26" s="226">
        <f t="shared" si="7"/>
        <v>656918.28595209902</v>
      </c>
      <c r="Z26" s="226">
        <f t="shared" si="7"/>
        <v>656918.28595209902</v>
      </c>
      <c r="AA26" s="224">
        <v>580068.60257174703</v>
      </c>
      <c r="AB26" s="224">
        <v>584927.78456754761</v>
      </c>
      <c r="AC26" s="224">
        <v>622666.69711806381</v>
      </c>
      <c r="AD26" s="224">
        <f t="shared" si="8"/>
        <v>622666.69711806381</v>
      </c>
      <c r="AE26" s="226">
        <v>693428.81241688936</v>
      </c>
      <c r="AF26" s="224">
        <v>674782.27342962311</v>
      </c>
      <c r="AG26" s="224">
        <f t="shared" si="9"/>
        <v>674782.27342962311</v>
      </c>
      <c r="AH26" s="226">
        <v>652673.43433520372</v>
      </c>
      <c r="AI26" s="226">
        <f t="shared" si="10"/>
        <v>652673.43433520372</v>
      </c>
      <c r="AJ26" s="226">
        <f t="shared" si="10"/>
        <v>652673.43433520372</v>
      </c>
      <c r="AK26" s="226">
        <f t="shared" si="10"/>
        <v>652673.43433520372</v>
      </c>
      <c r="AL26" s="226">
        <f t="shared" si="10"/>
        <v>652673.43433520372</v>
      </c>
      <c r="AM26" s="226">
        <f t="shared" si="10"/>
        <v>652673.43433520372</v>
      </c>
      <c r="AN26" s="235">
        <v>675841.83717301278</v>
      </c>
      <c r="AO26" s="235">
        <f t="shared" si="2"/>
        <v>675841.83717301278</v>
      </c>
      <c r="AP26" s="235">
        <f t="shared" si="2"/>
        <v>675841.83717301278</v>
      </c>
      <c r="AQ26" s="236">
        <f t="shared" si="2"/>
        <v>675841.83717301278</v>
      </c>
      <c r="AR26" s="236">
        <f t="shared" si="2"/>
        <v>675841.83717301278</v>
      </c>
      <c r="AS26" s="236">
        <f t="shared" si="2"/>
        <v>675841.83717301278</v>
      </c>
      <c r="AT26" s="236">
        <f t="shared" si="2"/>
        <v>675841.83717301278</v>
      </c>
      <c r="AU26" s="236">
        <f t="shared" si="2"/>
        <v>675841.83717301278</v>
      </c>
      <c r="AV26" s="236">
        <f t="shared" si="2"/>
        <v>675841.83717301278</v>
      </c>
      <c r="AW26" s="226">
        <v>666089.26811717963</v>
      </c>
      <c r="AX26" s="226">
        <f t="shared" si="12"/>
        <v>666089.26811717963</v>
      </c>
      <c r="AY26" s="226">
        <f t="shared" si="12"/>
        <v>666089.26811717963</v>
      </c>
      <c r="AZ26" s="226">
        <f t="shared" si="12"/>
        <v>666089.26811717963</v>
      </c>
      <c r="BA26" s="226">
        <f t="shared" si="12"/>
        <v>666089.26811717963</v>
      </c>
      <c r="BB26" s="226">
        <f t="shared" si="12"/>
        <v>666089.26811717963</v>
      </c>
      <c r="BC26" s="224">
        <v>749024.03751173092</v>
      </c>
      <c r="BD26" s="224">
        <f t="shared" si="13"/>
        <v>749024.03751173092</v>
      </c>
      <c r="BE26" s="224">
        <f t="shared" si="13"/>
        <v>749024.03751173092</v>
      </c>
      <c r="BF26" s="224">
        <f t="shared" si="13"/>
        <v>749024.03751173092</v>
      </c>
      <c r="BG26" s="224">
        <f t="shared" si="13"/>
        <v>749024.03751173092</v>
      </c>
      <c r="BH26" s="224">
        <f t="shared" si="13"/>
        <v>749024.03751173092</v>
      </c>
      <c r="BI26" s="224">
        <f t="shared" si="13"/>
        <v>749024.03751173092</v>
      </c>
      <c r="BJ26" s="224">
        <f t="shared" si="13"/>
        <v>749024.03751173092</v>
      </c>
      <c r="BK26" s="224">
        <f t="shared" si="13"/>
        <v>749024.03751173092</v>
      </c>
      <c r="BL26" s="224">
        <f t="shared" si="13"/>
        <v>749024.03751173092</v>
      </c>
      <c r="BM26" s="224">
        <f t="shared" si="13"/>
        <v>749024.03751173092</v>
      </c>
      <c r="BN26" s="224">
        <f t="shared" si="13"/>
        <v>749024.03751173092</v>
      </c>
      <c r="BO26" s="224">
        <f t="shared" si="13"/>
        <v>749024.03751173092</v>
      </c>
    </row>
    <row r="27" spans="1:67">
      <c r="A27" s="223">
        <f t="shared" si="14"/>
        <v>5</v>
      </c>
      <c r="B27" s="228" t="s">
        <v>24</v>
      </c>
      <c r="C27" s="223">
        <v>25</v>
      </c>
      <c r="D27" s="224">
        <v>12127240.632999206</v>
      </c>
      <c r="E27" s="225">
        <f t="shared" si="1"/>
        <v>12127240.632999206</v>
      </c>
      <c r="F27" s="225">
        <f t="shared" si="1"/>
        <v>12127240.632999206</v>
      </c>
      <c r="G27" s="225">
        <f t="shared" si="1"/>
        <v>12127240.632999206</v>
      </c>
      <c r="H27" s="225">
        <f t="shared" si="1"/>
        <v>12127240.632999206</v>
      </c>
      <c r="I27" s="225">
        <f t="shared" si="1"/>
        <v>12127240.632999206</v>
      </c>
      <c r="J27" s="225">
        <f t="shared" si="1"/>
        <v>12127240.632999206</v>
      </c>
      <c r="K27" s="237">
        <v>11767885.996545753</v>
      </c>
      <c r="L27" s="237">
        <f t="shared" si="6"/>
        <v>11767885.996545753</v>
      </c>
      <c r="M27" s="237">
        <f t="shared" si="6"/>
        <v>11767885.996545753</v>
      </c>
      <c r="N27" s="237">
        <f t="shared" si="6"/>
        <v>11767885.996545753</v>
      </c>
      <c r="O27" s="237">
        <f t="shared" si="6"/>
        <v>11767885.996545753</v>
      </c>
      <c r="P27" s="237">
        <f t="shared" si="6"/>
        <v>11767885.996545753</v>
      </c>
      <c r="Q27" s="237">
        <f t="shared" si="6"/>
        <v>11767885.996545753</v>
      </c>
      <c r="R27" s="237">
        <f t="shared" si="6"/>
        <v>11767885.996545753</v>
      </c>
      <c r="S27" s="237">
        <f t="shared" si="6"/>
        <v>11767885.996545753</v>
      </c>
      <c r="T27" s="224">
        <v>12241264.360948034</v>
      </c>
      <c r="U27" s="224">
        <f t="shared" si="11"/>
        <v>12241264.360948034</v>
      </c>
      <c r="V27" s="224">
        <f t="shared" si="11"/>
        <v>12241264.360948034</v>
      </c>
      <c r="W27" s="224">
        <f t="shared" si="11"/>
        <v>12241264.360948034</v>
      </c>
      <c r="X27" s="226">
        <v>12365540.054806951</v>
      </c>
      <c r="Y27" s="226">
        <f t="shared" si="7"/>
        <v>12365540.054806951</v>
      </c>
      <c r="Z27" s="226">
        <f t="shared" si="7"/>
        <v>12365540.054806951</v>
      </c>
      <c r="AA27" s="224">
        <v>11948130.716488011</v>
      </c>
      <c r="AB27" s="224">
        <v>11993483.081782149</v>
      </c>
      <c r="AC27" s="224">
        <v>12053622.342747401</v>
      </c>
      <c r="AD27" s="224">
        <f t="shared" si="8"/>
        <v>12053622.342747401</v>
      </c>
      <c r="AE27" s="226">
        <v>12159518.47901126</v>
      </c>
      <c r="AF27" s="224">
        <v>12216010.395316882</v>
      </c>
      <c r="AG27" s="224">
        <f t="shared" si="9"/>
        <v>12216010.395316882</v>
      </c>
      <c r="AH27" s="226">
        <v>12458937.297876781</v>
      </c>
      <c r="AI27" s="226">
        <f t="shared" si="10"/>
        <v>12458937.297876781</v>
      </c>
      <c r="AJ27" s="226">
        <f t="shared" si="10"/>
        <v>12458937.297876781</v>
      </c>
      <c r="AK27" s="226">
        <f t="shared" si="10"/>
        <v>12458937.297876781</v>
      </c>
      <c r="AL27" s="226">
        <f t="shared" si="10"/>
        <v>12458937.297876781</v>
      </c>
      <c r="AM27" s="226">
        <f t="shared" si="10"/>
        <v>12458937.297876781</v>
      </c>
      <c r="AN27" s="235">
        <v>12638693.015598768</v>
      </c>
      <c r="AO27" s="235">
        <f t="shared" si="2"/>
        <v>12638693.015598768</v>
      </c>
      <c r="AP27" s="235">
        <f t="shared" si="2"/>
        <v>12638693.015598768</v>
      </c>
      <c r="AQ27" s="236">
        <f t="shared" si="2"/>
        <v>12638693.015598768</v>
      </c>
      <c r="AR27" s="236">
        <f t="shared" si="2"/>
        <v>12638693.015598768</v>
      </c>
      <c r="AS27" s="236">
        <f t="shared" si="2"/>
        <v>12638693.015598768</v>
      </c>
      <c r="AT27" s="236">
        <f t="shared" si="2"/>
        <v>12638693.015598768</v>
      </c>
      <c r="AU27" s="236">
        <f t="shared" si="2"/>
        <v>12638693.015598768</v>
      </c>
      <c r="AV27" s="236">
        <f t="shared" si="2"/>
        <v>12638693.015598768</v>
      </c>
      <c r="AW27" s="226">
        <v>12418731.788669122</v>
      </c>
      <c r="AX27" s="226">
        <f t="shared" si="12"/>
        <v>12418731.788669122</v>
      </c>
      <c r="AY27" s="226">
        <f t="shared" si="12"/>
        <v>12418731.788669122</v>
      </c>
      <c r="AZ27" s="226">
        <f t="shared" si="12"/>
        <v>12418731.788669122</v>
      </c>
      <c r="BA27" s="226">
        <f t="shared" si="12"/>
        <v>12418731.788669122</v>
      </c>
      <c r="BB27" s="226">
        <f t="shared" si="12"/>
        <v>12418731.788669122</v>
      </c>
      <c r="BC27" s="224">
        <v>12732550.636341188</v>
      </c>
      <c r="BD27" s="224">
        <f t="shared" si="13"/>
        <v>12732550.636341188</v>
      </c>
      <c r="BE27" s="224">
        <f t="shared" si="13"/>
        <v>12732550.636341188</v>
      </c>
      <c r="BF27" s="224">
        <f t="shared" si="13"/>
        <v>12732550.636341188</v>
      </c>
      <c r="BG27" s="224">
        <f t="shared" si="13"/>
        <v>12732550.636341188</v>
      </c>
      <c r="BH27" s="224">
        <f t="shared" si="13"/>
        <v>12732550.636341188</v>
      </c>
      <c r="BI27" s="224">
        <f t="shared" si="13"/>
        <v>12732550.636341188</v>
      </c>
      <c r="BJ27" s="224">
        <f t="shared" si="13"/>
        <v>12732550.636341188</v>
      </c>
      <c r="BK27" s="224">
        <f t="shared" si="13"/>
        <v>12732550.636341188</v>
      </c>
      <c r="BL27" s="224">
        <f t="shared" si="13"/>
        <v>12732550.636341188</v>
      </c>
      <c r="BM27" s="224">
        <f t="shared" si="13"/>
        <v>12732550.636341188</v>
      </c>
      <c r="BN27" s="224">
        <f t="shared" si="13"/>
        <v>12732550.636341188</v>
      </c>
      <c r="BO27" s="224">
        <f t="shared" si="13"/>
        <v>12732550.636341188</v>
      </c>
    </row>
    <row r="28" spans="1:67" ht="14.25" customHeight="1">
      <c r="A28" s="223">
        <f t="shared" si="14"/>
        <v>6</v>
      </c>
      <c r="B28" s="228" t="s">
        <v>21</v>
      </c>
      <c r="C28" s="223">
        <v>26</v>
      </c>
      <c r="D28" s="224">
        <v>0</v>
      </c>
      <c r="E28" s="225">
        <f t="shared" si="1"/>
        <v>0</v>
      </c>
      <c r="F28" s="225">
        <f t="shared" si="1"/>
        <v>0</v>
      </c>
      <c r="G28" s="225">
        <f t="shared" si="1"/>
        <v>0</v>
      </c>
      <c r="H28" s="225">
        <f t="shared" si="1"/>
        <v>0</v>
      </c>
      <c r="I28" s="225">
        <f t="shared" si="1"/>
        <v>0</v>
      </c>
      <c r="J28" s="225">
        <f t="shared" si="1"/>
        <v>0</v>
      </c>
      <c r="K28" s="237"/>
      <c r="L28" s="237">
        <f t="shared" si="6"/>
        <v>0</v>
      </c>
      <c r="M28" s="237">
        <f t="shared" si="6"/>
        <v>0</v>
      </c>
      <c r="N28" s="237">
        <f t="shared" si="6"/>
        <v>0</v>
      </c>
      <c r="O28" s="237">
        <f t="shared" si="6"/>
        <v>0</v>
      </c>
      <c r="P28" s="237">
        <f t="shared" si="6"/>
        <v>0</v>
      </c>
      <c r="Q28" s="237">
        <f t="shared" si="6"/>
        <v>0</v>
      </c>
      <c r="R28" s="237">
        <f t="shared" si="6"/>
        <v>0</v>
      </c>
      <c r="S28" s="237">
        <f t="shared" si="6"/>
        <v>0</v>
      </c>
      <c r="T28" s="224"/>
      <c r="U28" s="224">
        <f t="shared" si="11"/>
        <v>0</v>
      </c>
      <c r="V28" s="224">
        <f t="shared" si="11"/>
        <v>0</v>
      </c>
      <c r="W28" s="224">
        <f t="shared" si="11"/>
        <v>0</v>
      </c>
      <c r="X28" s="226"/>
      <c r="Y28" s="226">
        <f t="shared" si="7"/>
        <v>0</v>
      </c>
      <c r="Z28" s="226">
        <f t="shared" si="7"/>
        <v>0</v>
      </c>
      <c r="AA28" s="224"/>
      <c r="AB28" s="224"/>
      <c r="AC28" s="224"/>
      <c r="AD28" s="224">
        <f t="shared" si="8"/>
        <v>0</v>
      </c>
      <c r="AE28" s="226"/>
      <c r="AF28" s="224"/>
      <c r="AG28" s="224">
        <f t="shared" si="9"/>
        <v>0</v>
      </c>
      <c r="AH28" s="226"/>
      <c r="AI28" s="226">
        <f t="shared" si="10"/>
        <v>0</v>
      </c>
      <c r="AJ28" s="226">
        <f t="shared" si="10"/>
        <v>0</v>
      </c>
      <c r="AK28" s="226">
        <f t="shared" si="10"/>
        <v>0</v>
      </c>
      <c r="AL28" s="226">
        <f t="shared" si="10"/>
        <v>0</v>
      </c>
      <c r="AM28" s="226">
        <f t="shared" si="10"/>
        <v>0</v>
      </c>
      <c r="AN28" s="235"/>
      <c r="AO28" s="235"/>
      <c r="AP28" s="235"/>
      <c r="AQ28" s="151"/>
      <c r="AR28" s="151"/>
      <c r="AS28" s="151"/>
      <c r="AT28" s="151"/>
      <c r="AU28" s="151"/>
      <c r="AV28" s="151"/>
      <c r="AW28" s="226"/>
      <c r="AX28" s="226">
        <f t="shared" si="12"/>
        <v>0</v>
      </c>
      <c r="AY28" s="226">
        <f t="shared" si="12"/>
        <v>0</v>
      </c>
      <c r="AZ28" s="226">
        <f t="shared" si="12"/>
        <v>0</v>
      </c>
      <c r="BA28" s="226">
        <f t="shared" si="12"/>
        <v>0</v>
      </c>
      <c r="BB28" s="226">
        <f t="shared" si="12"/>
        <v>0</v>
      </c>
      <c r="BC28" s="224"/>
      <c r="BD28" s="224">
        <f t="shared" si="13"/>
        <v>0</v>
      </c>
      <c r="BE28" s="224">
        <f t="shared" si="13"/>
        <v>0</v>
      </c>
      <c r="BF28" s="224">
        <f t="shared" si="13"/>
        <v>0</v>
      </c>
      <c r="BG28" s="224">
        <f t="shared" si="13"/>
        <v>0</v>
      </c>
      <c r="BH28" s="224">
        <f t="shared" si="13"/>
        <v>0</v>
      </c>
      <c r="BI28" s="224">
        <f t="shared" si="13"/>
        <v>0</v>
      </c>
      <c r="BJ28" s="224">
        <f t="shared" si="13"/>
        <v>0</v>
      </c>
      <c r="BK28" s="224">
        <f t="shared" si="13"/>
        <v>0</v>
      </c>
      <c r="BL28" s="224">
        <f t="shared" si="13"/>
        <v>0</v>
      </c>
      <c r="BM28" s="224">
        <f t="shared" si="13"/>
        <v>0</v>
      </c>
      <c r="BN28" s="224">
        <f t="shared" si="13"/>
        <v>0</v>
      </c>
      <c r="BO28" s="224">
        <f t="shared" si="13"/>
        <v>0</v>
      </c>
    </row>
    <row r="29" spans="1:67">
      <c r="A29" s="223">
        <f t="shared" si="14"/>
        <v>7</v>
      </c>
      <c r="B29" s="151" t="s">
        <v>22</v>
      </c>
      <c r="C29" s="223">
        <v>27</v>
      </c>
      <c r="D29" s="224">
        <v>1374044.9314801635</v>
      </c>
      <c r="E29" s="225">
        <f t="shared" si="1"/>
        <v>1374044.9314801635</v>
      </c>
      <c r="F29" s="225">
        <f t="shared" si="1"/>
        <v>1374044.9314801635</v>
      </c>
      <c r="G29" s="225">
        <f t="shared" si="1"/>
        <v>1374044.9314801635</v>
      </c>
      <c r="H29" s="225">
        <f t="shared" si="1"/>
        <v>1374044.9314801635</v>
      </c>
      <c r="I29" s="225">
        <f t="shared" si="1"/>
        <v>1374044.9314801635</v>
      </c>
      <c r="J29" s="225">
        <f t="shared" si="1"/>
        <v>1374044.9314801635</v>
      </c>
      <c r="K29" s="237">
        <v>1374044.9314801635</v>
      </c>
      <c r="L29" s="237">
        <f t="shared" si="6"/>
        <v>1374044.9314801635</v>
      </c>
      <c r="M29" s="237">
        <f t="shared" si="6"/>
        <v>1374044.9314801635</v>
      </c>
      <c r="N29" s="237">
        <f t="shared" si="6"/>
        <v>1374044.9314801635</v>
      </c>
      <c r="O29" s="237">
        <f t="shared" si="6"/>
        <v>1374044.9314801635</v>
      </c>
      <c r="P29" s="237">
        <f t="shared" si="6"/>
        <v>1374044.9314801635</v>
      </c>
      <c r="Q29" s="237">
        <f t="shared" si="6"/>
        <v>1374044.9314801635</v>
      </c>
      <c r="R29" s="237">
        <f t="shared" si="6"/>
        <v>1374044.9314801635</v>
      </c>
      <c r="S29" s="237">
        <f t="shared" si="6"/>
        <v>1374044.9314801635</v>
      </c>
      <c r="T29" s="224">
        <v>1389534.5202839244</v>
      </c>
      <c r="U29" s="224">
        <f t="shared" si="11"/>
        <v>1389534.5202839244</v>
      </c>
      <c r="V29" s="224">
        <f t="shared" si="11"/>
        <v>1389534.5202839244</v>
      </c>
      <c r="W29" s="224">
        <f t="shared" si="11"/>
        <v>1389534.5202839244</v>
      </c>
      <c r="X29" s="226">
        <v>1433658.6778607732</v>
      </c>
      <c r="Y29" s="226">
        <f t="shared" si="7"/>
        <v>1433658.6778607732</v>
      </c>
      <c r="Z29" s="226">
        <f t="shared" si="7"/>
        <v>1433658.6778607732</v>
      </c>
      <c r="AA29" s="224">
        <v>1310457.4072055847</v>
      </c>
      <c r="AB29" s="224">
        <v>1333313.5595562018</v>
      </c>
      <c r="AC29" s="224">
        <v>1338268.6529665247</v>
      </c>
      <c r="AD29" s="224">
        <f t="shared" si="8"/>
        <v>1338268.6529665247</v>
      </c>
      <c r="AE29" s="226">
        <v>1470048.2555138124</v>
      </c>
      <c r="AF29" s="224">
        <v>1451737.3638388622</v>
      </c>
      <c r="AG29" s="224">
        <f t="shared" si="9"/>
        <v>1451737.3638388622</v>
      </c>
      <c r="AH29" s="226">
        <v>1439931.5989491327</v>
      </c>
      <c r="AI29" s="226">
        <f t="shared" si="10"/>
        <v>1439931.5989491327</v>
      </c>
      <c r="AJ29" s="226">
        <f t="shared" si="10"/>
        <v>1439931.5989491327</v>
      </c>
      <c r="AK29" s="226">
        <f t="shared" si="10"/>
        <v>1439931.5989491327</v>
      </c>
      <c r="AL29" s="226">
        <f t="shared" si="10"/>
        <v>1439931.5989491327</v>
      </c>
      <c r="AM29" s="226">
        <f t="shared" si="10"/>
        <v>1439931.5989491327</v>
      </c>
      <c r="AN29" s="235">
        <v>1485434.5712700132</v>
      </c>
      <c r="AO29" s="235">
        <f t="shared" si="2"/>
        <v>1485434.5712700132</v>
      </c>
      <c r="AP29" s="235">
        <f t="shared" si="2"/>
        <v>1485434.5712700132</v>
      </c>
      <c r="AQ29" s="236">
        <f t="shared" si="2"/>
        <v>1485434.5712700132</v>
      </c>
      <c r="AR29" s="236">
        <f t="shared" si="2"/>
        <v>1485434.5712700132</v>
      </c>
      <c r="AS29" s="236">
        <f t="shared" si="2"/>
        <v>1485434.5712700132</v>
      </c>
      <c r="AT29" s="236">
        <f t="shared" si="2"/>
        <v>1485434.5712700132</v>
      </c>
      <c r="AU29" s="236">
        <f t="shared" si="2"/>
        <v>1485434.5712700132</v>
      </c>
      <c r="AV29" s="236">
        <f t="shared" si="2"/>
        <v>1485434.5712700132</v>
      </c>
      <c r="AW29" s="226">
        <v>1436441.91713901</v>
      </c>
      <c r="AX29" s="226">
        <f t="shared" si="12"/>
        <v>1436441.91713901</v>
      </c>
      <c r="AY29" s="226">
        <f t="shared" si="12"/>
        <v>1436441.91713901</v>
      </c>
      <c r="AZ29" s="226">
        <f t="shared" si="12"/>
        <v>1436441.91713901</v>
      </c>
      <c r="BA29" s="226">
        <f t="shared" si="12"/>
        <v>1436441.91713901</v>
      </c>
      <c r="BB29" s="226">
        <f t="shared" si="12"/>
        <v>1436441.91713901</v>
      </c>
      <c r="BC29" s="224">
        <v>1618251.0551286831</v>
      </c>
      <c r="BD29" s="224">
        <f t="shared" si="13"/>
        <v>1618251.0551286831</v>
      </c>
      <c r="BE29" s="224">
        <f t="shared" si="13"/>
        <v>1618251.0551286831</v>
      </c>
      <c r="BF29" s="224">
        <f t="shared" si="13"/>
        <v>1618251.0551286831</v>
      </c>
      <c r="BG29" s="224">
        <f t="shared" si="13"/>
        <v>1618251.0551286831</v>
      </c>
      <c r="BH29" s="224">
        <f t="shared" si="13"/>
        <v>1618251.0551286831</v>
      </c>
      <c r="BI29" s="224">
        <f t="shared" si="13"/>
        <v>1618251.0551286831</v>
      </c>
      <c r="BJ29" s="224">
        <f t="shared" si="13"/>
        <v>1618251.0551286831</v>
      </c>
      <c r="BK29" s="224">
        <f t="shared" si="13"/>
        <v>1618251.0551286831</v>
      </c>
      <c r="BL29" s="224">
        <f t="shared" si="13"/>
        <v>1618251.0551286831</v>
      </c>
      <c r="BM29" s="224">
        <f t="shared" si="13"/>
        <v>1618251.0551286831</v>
      </c>
      <c r="BN29" s="224">
        <f t="shared" si="13"/>
        <v>1618251.0551286831</v>
      </c>
      <c r="BO29" s="224">
        <f t="shared" si="13"/>
        <v>1618251.0551286831</v>
      </c>
    </row>
    <row r="30" spans="1:67">
      <c r="A30" s="223">
        <f t="shared" si="14"/>
        <v>8</v>
      </c>
      <c r="B30" s="151" t="s">
        <v>23</v>
      </c>
      <c r="C30" s="223">
        <v>28</v>
      </c>
      <c r="D30" s="224">
        <v>1374044.9314801635</v>
      </c>
      <c r="E30" s="225">
        <f t="shared" ref="E30:J45" si="15">D30</f>
        <v>1374044.9314801635</v>
      </c>
      <c r="F30" s="225">
        <f t="shared" si="15"/>
        <v>1374044.9314801635</v>
      </c>
      <c r="G30" s="225">
        <f t="shared" si="15"/>
        <v>1374044.9314801635</v>
      </c>
      <c r="H30" s="225">
        <f t="shared" si="15"/>
        <v>1374044.9314801635</v>
      </c>
      <c r="I30" s="225">
        <f t="shared" si="15"/>
        <v>1374044.9314801635</v>
      </c>
      <c r="J30" s="225">
        <f t="shared" si="15"/>
        <v>1374044.9314801635</v>
      </c>
      <c r="K30" s="237">
        <v>1374044.9314801635</v>
      </c>
      <c r="L30" s="237">
        <f t="shared" si="6"/>
        <v>1374044.9314801635</v>
      </c>
      <c r="M30" s="237">
        <f t="shared" si="6"/>
        <v>1374044.9314801635</v>
      </c>
      <c r="N30" s="237">
        <f t="shared" si="6"/>
        <v>1374044.9314801635</v>
      </c>
      <c r="O30" s="237">
        <f t="shared" si="6"/>
        <v>1374044.9314801635</v>
      </c>
      <c r="P30" s="237">
        <f t="shared" si="6"/>
        <v>1374044.9314801635</v>
      </c>
      <c r="Q30" s="237">
        <f t="shared" si="6"/>
        <v>1374044.9314801635</v>
      </c>
      <c r="R30" s="237">
        <f t="shared" si="6"/>
        <v>1374044.9314801635</v>
      </c>
      <c r="S30" s="237">
        <f t="shared" si="6"/>
        <v>1374044.9314801635</v>
      </c>
      <c r="T30" s="224">
        <v>1389534.5202839244</v>
      </c>
      <c r="U30" s="224">
        <f t="shared" si="11"/>
        <v>1389534.5202839244</v>
      </c>
      <c r="V30" s="224">
        <f t="shared" si="11"/>
        <v>1389534.5202839244</v>
      </c>
      <c r="W30" s="224">
        <f t="shared" si="11"/>
        <v>1389534.5202839244</v>
      </c>
      <c r="X30" s="226">
        <v>1433658.6778607732</v>
      </c>
      <c r="Y30" s="226">
        <f t="shared" si="7"/>
        <v>1433658.6778607732</v>
      </c>
      <c r="Z30" s="226">
        <f t="shared" si="7"/>
        <v>1433658.6778607732</v>
      </c>
      <c r="AA30" s="224">
        <v>1310457.4072055847</v>
      </c>
      <c r="AB30" s="224">
        <v>1333313.5595562018</v>
      </c>
      <c r="AC30" s="224">
        <v>1338268.6529665247</v>
      </c>
      <c r="AD30" s="224">
        <f t="shared" si="8"/>
        <v>1338268.6529665247</v>
      </c>
      <c r="AE30" s="226">
        <v>1470048.2555138124</v>
      </c>
      <c r="AF30" s="224">
        <v>1451737.3638388622</v>
      </c>
      <c r="AG30" s="224">
        <f t="shared" si="9"/>
        <v>1451737.3638388622</v>
      </c>
      <c r="AH30" s="226">
        <v>1439931.5989491327</v>
      </c>
      <c r="AI30" s="226">
        <f t="shared" si="10"/>
        <v>1439931.5989491327</v>
      </c>
      <c r="AJ30" s="226">
        <f t="shared" si="10"/>
        <v>1439931.5989491327</v>
      </c>
      <c r="AK30" s="226">
        <f t="shared" si="10"/>
        <v>1439931.5989491327</v>
      </c>
      <c r="AL30" s="226">
        <f t="shared" si="10"/>
        <v>1439931.5989491327</v>
      </c>
      <c r="AM30" s="226">
        <f t="shared" si="10"/>
        <v>1439931.5989491327</v>
      </c>
      <c r="AN30" s="235">
        <v>1485434.5712700132</v>
      </c>
      <c r="AO30" s="235">
        <f t="shared" ref="AO30:AV30" si="16">AN30</f>
        <v>1485434.5712700132</v>
      </c>
      <c r="AP30" s="235">
        <f t="shared" si="16"/>
        <v>1485434.5712700132</v>
      </c>
      <c r="AQ30" s="236">
        <f t="shared" si="16"/>
        <v>1485434.5712700132</v>
      </c>
      <c r="AR30" s="236">
        <f t="shared" si="16"/>
        <v>1485434.5712700132</v>
      </c>
      <c r="AS30" s="236">
        <f t="shared" si="16"/>
        <v>1485434.5712700132</v>
      </c>
      <c r="AT30" s="236">
        <f t="shared" si="16"/>
        <v>1485434.5712700132</v>
      </c>
      <c r="AU30" s="236">
        <f t="shared" si="16"/>
        <v>1485434.5712700132</v>
      </c>
      <c r="AV30" s="236">
        <f t="shared" si="16"/>
        <v>1485434.5712700132</v>
      </c>
      <c r="AW30" s="226">
        <v>1436441.91713901</v>
      </c>
      <c r="AX30" s="226">
        <f t="shared" si="12"/>
        <v>1436441.91713901</v>
      </c>
      <c r="AY30" s="226">
        <f t="shared" si="12"/>
        <v>1436441.91713901</v>
      </c>
      <c r="AZ30" s="226">
        <f t="shared" si="12"/>
        <v>1436441.91713901</v>
      </c>
      <c r="BA30" s="226">
        <f t="shared" si="12"/>
        <v>1436441.91713901</v>
      </c>
      <c r="BB30" s="226">
        <f t="shared" si="12"/>
        <v>1436441.91713901</v>
      </c>
      <c r="BC30" s="224">
        <v>1618251.0551286831</v>
      </c>
      <c r="BD30" s="224">
        <f t="shared" si="13"/>
        <v>1618251.0551286831</v>
      </c>
      <c r="BE30" s="224">
        <f t="shared" si="13"/>
        <v>1618251.0551286831</v>
      </c>
      <c r="BF30" s="224">
        <f t="shared" si="13"/>
        <v>1618251.0551286831</v>
      </c>
      <c r="BG30" s="224">
        <f t="shared" si="13"/>
        <v>1618251.0551286831</v>
      </c>
      <c r="BH30" s="224">
        <f t="shared" si="13"/>
        <v>1618251.0551286831</v>
      </c>
      <c r="BI30" s="224">
        <f t="shared" si="13"/>
        <v>1618251.0551286831</v>
      </c>
      <c r="BJ30" s="224">
        <f t="shared" si="13"/>
        <v>1618251.0551286831</v>
      </c>
      <c r="BK30" s="224">
        <f t="shared" si="13"/>
        <v>1618251.0551286831</v>
      </c>
      <c r="BL30" s="224">
        <f t="shared" si="13"/>
        <v>1618251.0551286831</v>
      </c>
      <c r="BM30" s="224">
        <f t="shared" si="13"/>
        <v>1618251.0551286831</v>
      </c>
      <c r="BN30" s="224">
        <f t="shared" si="13"/>
        <v>1618251.0551286831</v>
      </c>
      <c r="BO30" s="224">
        <f t="shared" si="13"/>
        <v>1618251.0551286831</v>
      </c>
    </row>
    <row r="31" spans="1:67">
      <c r="A31" s="229" t="s">
        <v>30</v>
      </c>
      <c r="B31" s="230" t="s">
        <v>150</v>
      </c>
      <c r="C31" s="223">
        <v>29</v>
      </c>
      <c r="D31" s="224"/>
      <c r="E31" s="225">
        <f t="shared" si="15"/>
        <v>0</v>
      </c>
      <c r="F31" s="225">
        <f t="shared" si="15"/>
        <v>0</v>
      </c>
      <c r="G31" s="225">
        <f t="shared" si="15"/>
        <v>0</v>
      </c>
      <c r="H31" s="225">
        <f t="shared" si="15"/>
        <v>0</v>
      </c>
      <c r="I31" s="225">
        <f t="shared" si="15"/>
        <v>0</v>
      </c>
      <c r="J31" s="225">
        <f t="shared" si="15"/>
        <v>0</v>
      </c>
      <c r="K31" s="237"/>
      <c r="L31" s="237">
        <f t="shared" si="6"/>
        <v>0</v>
      </c>
      <c r="M31" s="237">
        <f t="shared" si="6"/>
        <v>0</v>
      </c>
      <c r="N31" s="237">
        <f t="shared" si="6"/>
        <v>0</v>
      </c>
      <c r="O31" s="237">
        <f t="shared" si="6"/>
        <v>0</v>
      </c>
      <c r="P31" s="237">
        <f t="shared" si="6"/>
        <v>0</v>
      </c>
      <c r="Q31" s="237">
        <f t="shared" si="6"/>
        <v>0</v>
      </c>
      <c r="R31" s="237">
        <f t="shared" si="6"/>
        <v>0</v>
      </c>
      <c r="S31" s="237">
        <f t="shared" si="6"/>
        <v>0</v>
      </c>
      <c r="T31" s="224"/>
      <c r="U31" s="224">
        <f t="shared" si="11"/>
        <v>0</v>
      </c>
      <c r="V31" s="224">
        <f t="shared" si="11"/>
        <v>0</v>
      </c>
      <c r="W31" s="224">
        <f t="shared" si="11"/>
        <v>0</v>
      </c>
      <c r="X31" s="226"/>
      <c r="Y31" s="226">
        <f t="shared" si="7"/>
        <v>0</v>
      </c>
      <c r="Z31" s="226">
        <f t="shared" si="7"/>
        <v>0</v>
      </c>
      <c r="AA31" s="224"/>
      <c r="AB31" s="224"/>
      <c r="AC31" s="224"/>
      <c r="AD31" s="224">
        <f t="shared" si="8"/>
        <v>0</v>
      </c>
      <c r="AE31" s="226"/>
      <c r="AF31" s="224"/>
      <c r="AG31" s="224">
        <f t="shared" si="9"/>
        <v>0</v>
      </c>
      <c r="AH31" s="226"/>
      <c r="AI31" s="226">
        <f t="shared" si="10"/>
        <v>0</v>
      </c>
      <c r="AJ31" s="226">
        <f t="shared" si="10"/>
        <v>0</v>
      </c>
      <c r="AK31" s="226">
        <f t="shared" si="10"/>
        <v>0</v>
      </c>
      <c r="AL31" s="226">
        <f t="shared" si="10"/>
        <v>0</v>
      </c>
      <c r="AM31" s="226">
        <f t="shared" si="10"/>
        <v>0</v>
      </c>
      <c r="AN31" s="235"/>
      <c r="AO31" s="235"/>
      <c r="AP31" s="235"/>
      <c r="AQ31" s="151"/>
      <c r="AR31" s="151"/>
      <c r="AS31" s="151"/>
      <c r="AT31" s="151"/>
      <c r="AU31" s="151"/>
      <c r="AV31" s="151"/>
      <c r="AW31" s="226"/>
      <c r="AX31" s="226">
        <f t="shared" si="12"/>
        <v>0</v>
      </c>
      <c r="AY31" s="226">
        <f t="shared" si="12"/>
        <v>0</v>
      </c>
      <c r="AZ31" s="226">
        <f t="shared" si="12"/>
        <v>0</v>
      </c>
      <c r="BA31" s="226">
        <f t="shared" si="12"/>
        <v>0</v>
      </c>
      <c r="BB31" s="226">
        <f t="shared" si="12"/>
        <v>0</v>
      </c>
      <c r="BC31" s="224"/>
      <c r="BD31" s="224">
        <f t="shared" si="13"/>
        <v>0</v>
      </c>
      <c r="BE31" s="224">
        <f t="shared" si="13"/>
        <v>0</v>
      </c>
      <c r="BF31" s="224">
        <f t="shared" si="13"/>
        <v>0</v>
      </c>
      <c r="BG31" s="224">
        <f t="shared" si="13"/>
        <v>0</v>
      </c>
      <c r="BH31" s="224">
        <f t="shared" si="13"/>
        <v>0</v>
      </c>
      <c r="BI31" s="224">
        <f t="shared" si="13"/>
        <v>0</v>
      </c>
      <c r="BJ31" s="224">
        <f t="shared" si="13"/>
        <v>0</v>
      </c>
      <c r="BK31" s="224">
        <f t="shared" si="13"/>
        <v>0</v>
      </c>
      <c r="BL31" s="224">
        <f t="shared" si="13"/>
        <v>0</v>
      </c>
      <c r="BM31" s="224">
        <f t="shared" si="13"/>
        <v>0</v>
      </c>
      <c r="BN31" s="224">
        <f t="shared" si="13"/>
        <v>0</v>
      </c>
      <c r="BO31" s="224">
        <f t="shared" si="13"/>
        <v>0</v>
      </c>
    </row>
    <row r="32" spans="1:67">
      <c r="A32" s="223">
        <v>1</v>
      </c>
      <c r="B32" s="151" t="s">
        <v>172</v>
      </c>
      <c r="C32" s="223">
        <v>30</v>
      </c>
      <c r="D32" s="224">
        <v>15932127.287509371</v>
      </c>
      <c r="E32" s="225">
        <f t="shared" si="15"/>
        <v>15932127.287509371</v>
      </c>
      <c r="F32" s="225">
        <f t="shared" si="15"/>
        <v>15932127.287509371</v>
      </c>
      <c r="G32" s="225">
        <f t="shared" si="15"/>
        <v>15932127.287509371</v>
      </c>
      <c r="H32" s="225">
        <f t="shared" si="15"/>
        <v>15932127.287509371</v>
      </c>
      <c r="I32" s="225">
        <f t="shared" si="15"/>
        <v>15932127.287509371</v>
      </c>
      <c r="J32" s="225">
        <f t="shared" si="15"/>
        <v>15932127.287509371</v>
      </c>
      <c r="K32" s="237">
        <v>15705035.128618296</v>
      </c>
      <c r="L32" s="237">
        <f t="shared" ref="L32:S47" si="17">K32</f>
        <v>15705035.128618296</v>
      </c>
      <c r="M32" s="237">
        <f t="shared" si="17"/>
        <v>15705035.128618296</v>
      </c>
      <c r="N32" s="237">
        <f t="shared" si="17"/>
        <v>15705035.128618296</v>
      </c>
      <c r="O32" s="237">
        <f t="shared" si="17"/>
        <v>15705035.128618296</v>
      </c>
      <c r="P32" s="237">
        <f t="shared" si="17"/>
        <v>15705035.128618296</v>
      </c>
      <c r="Q32" s="237">
        <f t="shared" si="17"/>
        <v>15705035.128618296</v>
      </c>
      <c r="R32" s="237">
        <f t="shared" si="17"/>
        <v>15705035.128618296</v>
      </c>
      <c r="S32" s="237">
        <f t="shared" si="17"/>
        <v>15705035.128618296</v>
      </c>
      <c r="T32" s="224">
        <v>15705035.128618296</v>
      </c>
      <c r="U32" s="224">
        <f t="shared" si="11"/>
        <v>15705035.128618296</v>
      </c>
      <c r="V32" s="224">
        <f t="shared" si="11"/>
        <v>15705035.128618296</v>
      </c>
      <c r="W32" s="224">
        <f t="shared" si="11"/>
        <v>15705035.128618296</v>
      </c>
      <c r="X32" s="226">
        <v>15816842.504564971</v>
      </c>
      <c r="Y32" s="226">
        <f t="shared" ref="Y32:Z47" si="18">X32</f>
        <v>15816842.504564971</v>
      </c>
      <c r="Z32" s="226">
        <f t="shared" si="18"/>
        <v>15816842.504564971</v>
      </c>
      <c r="AA32" s="224">
        <v>15393138.212805843</v>
      </c>
      <c r="AB32" s="224">
        <v>15576611.270407841</v>
      </c>
      <c r="AC32" s="224">
        <v>15081530.235032259</v>
      </c>
      <c r="AD32" s="224">
        <f t="shared" si="8"/>
        <v>15081530.235032259</v>
      </c>
      <c r="AE32" s="226">
        <v>15575529.343631206</v>
      </c>
      <c r="AF32" s="224"/>
      <c r="AG32" s="224">
        <f t="shared" si="9"/>
        <v>0</v>
      </c>
      <c r="AH32" s="226">
        <v>16169882.738503579</v>
      </c>
      <c r="AI32" s="226">
        <f t="shared" ref="AI32:AM47" si="19">AH32</f>
        <v>16169882.738503579</v>
      </c>
      <c r="AJ32" s="226">
        <f t="shared" si="19"/>
        <v>16169882.738503579</v>
      </c>
      <c r="AK32" s="226">
        <f t="shared" si="19"/>
        <v>16169882.738503579</v>
      </c>
      <c r="AL32" s="226">
        <f t="shared" si="19"/>
        <v>16169882.738503579</v>
      </c>
      <c r="AM32" s="226">
        <f t="shared" si="19"/>
        <v>16169882.738503579</v>
      </c>
      <c r="AN32" s="235">
        <v>16318762.057735389</v>
      </c>
      <c r="AO32" s="235">
        <f t="shared" ref="AO32:AV47" si="20">AN32</f>
        <v>16318762.057735389</v>
      </c>
      <c r="AP32" s="235">
        <f t="shared" si="20"/>
        <v>16318762.057735389</v>
      </c>
      <c r="AQ32" s="236">
        <f t="shared" si="20"/>
        <v>16318762.057735389</v>
      </c>
      <c r="AR32" s="236">
        <f t="shared" si="20"/>
        <v>16318762.057735389</v>
      </c>
      <c r="AS32" s="236">
        <f t="shared" si="20"/>
        <v>16318762.057735389</v>
      </c>
      <c r="AT32" s="236">
        <f t="shared" si="20"/>
        <v>16318762.057735389</v>
      </c>
      <c r="AU32" s="236">
        <f t="shared" si="20"/>
        <v>16318762.057735389</v>
      </c>
      <c r="AV32" s="236">
        <f t="shared" si="20"/>
        <v>16318762.057735389</v>
      </c>
      <c r="AW32" s="226">
        <v>16265555.507106025</v>
      </c>
      <c r="AX32" s="226">
        <f t="shared" si="12"/>
        <v>16265555.507106025</v>
      </c>
      <c r="AY32" s="226">
        <f t="shared" si="12"/>
        <v>16265555.507106025</v>
      </c>
      <c r="AZ32" s="226">
        <f t="shared" si="12"/>
        <v>16265555.507106025</v>
      </c>
      <c r="BA32" s="226">
        <f t="shared" si="12"/>
        <v>16265555.507106025</v>
      </c>
      <c r="BB32" s="226">
        <f t="shared" si="12"/>
        <v>16265555.507106025</v>
      </c>
      <c r="BC32" s="224">
        <v>16265555.507106025</v>
      </c>
      <c r="BD32" s="224">
        <f t="shared" si="13"/>
        <v>16265555.507106025</v>
      </c>
      <c r="BE32" s="224">
        <f t="shared" si="13"/>
        <v>16265555.507106025</v>
      </c>
      <c r="BF32" s="224">
        <f t="shared" si="13"/>
        <v>16265555.507106025</v>
      </c>
      <c r="BG32" s="224">
        <f t="shared" si="13"/>
        <v>16265555.507106025</v>
      </c>
      <c r="BH32" s="224">
        <f t="shared" si="13"/>
        <v>16265555.507106025</v>
      </c>
      <c r="BI32" s="224">
        <f t="shared" si="13"/>
        <v>16265555.507106025</v>
      </c>
      <c r="BJ32" s="224">
        <f t="shared" si="13"/>
        <v>16265555.507106025</v>
      </c>
      <c r="BK32" s="224">
        <f t="shared" si="13"/>
        <v>16265555.507106025</v>
      </c>
      <c r="BL32" s="224">
        <f t="shared" si="13"/>
        <v>16265555.507106025</v>
      </c>
      <c r="BM32" s="224">
        <f t="shared" si="13"/>
        <v>16265555.507106025</v>
      </c>
      <c r="BN32" s="224">
        <f t="shared" si="13"/>
        <v>16265555.507106025</v>
      </c>
      <c r="BO32" s="224">
        <f t="shared" si="13"/>
        <v>16265555.507106025</v>
      </c>
    </row>
    <row r="33" spans="1:67">
      <c r="A33" s="223">
        <f>A32+1</f>
        <v>2</v>
      </c>
      <c r="B33" s="151" t="s">
        <v>173</v>
      </c>
      <c r="C33" s="223">
        <v>31</v>
      </c>
      <c r="D33" s="224">
        <v>58339647.931261726</v>
      </c>
      <c r="E33" s="225">
        <f t="shared" si="15"/>
        <v>58339647.931261726</v>
      </c>
      <c r="F33" s="225">
        <f t="shared" si="15"/>
        <v>58339647.931261726</v>
      </c>
      <c r="G33" s="225">
        <f t="shared" si="15"/>
        <v>58339647.931261726</v>
      </c>
      <c r="H33" s="225">
        <f t="shared" si="15"/>
        <v>58339647.931261726</v>
      </c>
      <c r="I33" s="225">
        <f t="shared" si="15"/>
        <v>58339647.931261726</v>
      </c>
      <c r="J33" s="225">
        <f t="shared" si="15"/>
        <v>58339647.931261726</v>
      </c>
      <c r="K33" s="237">
        <v>56451789.357515328</v>
      </c>
      <c r="L33" s="237">
        <f t="shared" si="17"/>
        <v>56451789.357515328</v>
      </c>
      <c r="M33" s="237">
        <f t="shared" si="17"/>
        <v>56451789.357515328</v>
      </c>
      <c r="N33" s="237">
        <f t="shared" si="17"/>
        <v>56451789.357515328</v>
      </c>
      <c r="O33" s="237">
        <f t="shared" si="17"/>
        <v>56451789.357515328</v>
      </c>
      <c r="P33" s="237">
        <f t="shared" si="17"/>
        <v>56451789.357515328</v>
      </c>
      <c r="Q33" s="237">
        <f t="shared" si="17"/>
        <v>56451789.357515328</v>
      </c>
      <c r="R33" s="237">
        <f t="shared" si="17"/>
        <v>56451789.357515328</v>
      </c>
      <c r="S33" s="237">
        <f t="shared" si="17"/>
        <v>56451789.357515328</v>
      </c>
      <c r="T33" s="224">
        <v>55240956.243573949</v>
      </c>
      <c r="U33" s="224">
        <f t="shared" ref="U33:W48" si="21">T33</f>
        <v>55240956.243573949</v>
      </c>
      <c r="V33" s="224">
        <f t="shared" si="21"/>
        <v>55240956.243573949</v>
      </c>
      <c r="W33" s="224">
        <f t="shared" si="21"/>
        <v>55240956.243573949</v>
      </c>
      <c r="X33" s="226">
        <v>55321549.197505437</v>
      </c>
      <c r="Y33" s="226">
        <f t="shared" si="18"/>
        <v>55321549.197505437</v>
      </c>
      <c r="Z33" s="226">
        <f t="shared" si="18"/>
        <v>55321549.197505437</v>
      </c>
      <c r="AA33" s="224">
        <v>54425505.847533055</v>
      </c>
      <c r="AB33" s="224">
        <v>55182376.747459128</v>
      </c>
      <c r="AC33" s="224">
        <v>52961325.69467748</v>
      </c>
      <c r="AD33" s="224">
        <f t="shared" si="8"/>
        <v>52961325.69467748</v>
      </c>
      <c r="AE33" s="226">
        <v>54590980.593382791</v>
      </c>
      <c r="AF33" s="224"/>
      <c r="AG33" s="224">
        <f t="shared" si="9"/>
        <v>0</v>
      </c>
      <c r="AH33" s="226">
        <v>55803546.608283371</v>
      </c>
      <c r="AI33" s="226">
        <f t="shared" si="19"/>
        <v>55803546.608283371</v>
      </c>
      <c r="AJ33" s="226">
        <f t="shared" si="19"/>
        <v>55803546.608283371</v>
      </c>
      <c r="AK33" s="226">
        <f t="shared" si="19"/>
        <v>55803546.608283371</v>
      </c>
      <c r="AL33" s="226">
        <f t="shared" si="19"/>
        <v>55803546.608283371</v>
      </c>
      <c r="AM33" s="226">
        <f t="shared" si="19"/>
        <v>55803546.608283371</v>
      </c>
      <c r="AN33" s="235">
        <v>57897182.561820619</v>
      </c>
      <c r="AO33" s="235">
        <f t="shared" si="20"/>
        <v>57897182.561820619</v>
      </c>
      <c r="AP33" s="235">
        <f t="shared" si="20"/>
        <v>57897182.561820619</v>
      </c>
      <c r="AQ33" s="236">
        <f t="shared" si="20"/>
        <v>57897182.561820619</v>
      </c>
      <c r="AR33" s="236">
        <f t="shared" si="20"/>
        <v>57897182.561820619</v>
      </c>
      <c r="AS33" s="236">
        <f t="shared" si="20"/>
        <v>57897182.561820619</v>
      </c>
      <c r="AT33" s="236">
        <f t="shared" si="20"/>
        <v>57897182.561820619</v>
      </c>
      <c r="AU33" s="236">
        <f t="shared" si="20"/>
        <v>57897182.561820619</v>
      </c>
      <c r="AV33" s="236">
        <f t="shared" si="20"/>
        <v>57897182.561820619</v>
      </c>
      <c r="AW33" s="226">
        <v>56866454.610238038</v>
      </c>
      <c r="AX33" s="226">
        <f t="shared" ref="AX33:BB48" si="22">AW33</f>
        <v>56866454.610238038</v>
      </c>
      <c r="AY33" s="226">
        <f t="shared" si="22"/>
        <v>56866454.610238038</v>
      </c>
      <c r="AZ33" s="226">
        <f t="shared" si="22"/>
        <v>56866454.610238038</v>
      </c>
      <c r="BA33" s="226">
        <f t="shared" si="22"/>
        <v>56866454.610238038</v>
      </c>
      <c r="BB33" s="226">
        <f t="shared" si="22"/>
        <v>56866454.610238038</v>
      </c>
      <c r="BC33" s="224">
        <v>58574654.820780434</v>
      </c>
      <c r="BD33" s="224">
        <f t="shared" ref="BD33:BO48" si="23">BC33</f>
        <v>58574654.820780434</v>
      </c>
      <c r="BE33" s="224">
        <f t="shared" si="23"/>
        <v>58574654.820780434</v>
      </c>
      <c r="BF33" s="224">
        <f t="shared" si="23"/>
        <v>58574654.820780434</v>
      </c>
      <c r="BG33" s="224">
        <f t="shared" si="23"/>
        <v>58574654.820780434</v>
      </c>
      <c r="BH33" s="224">
        <f t="shared" si="23"/>
        <v>58574654.820780434</v>
      </c>
      <c r="BI33" s="224">
        <f t="shared" si="23"/>
        <v>58574654.820780434</v>
      </c>
      <c r="BJ33" s="224">
        <f t="shared" si="23"/>
        <v>58574654.820780434</v>
      </c>
      <c r="BK33" s="224">
        <f t="shared" si="23"/>
        <v>58574654.820780434</v>
      </c>
      <c r="BL33" s="224">
        <f t="shared" si="23"/>
        <v>58574654.820780434</v>
      </c>
      <c r="BM33" s="224">
        <f t="shared" si="23"/>
        <v>58574654.820780434</v>
      </c>
      <c r="BN33" s="224">
        <f t="shared" si="23"/>
        <v>58574654.820780434</v>
      </c>
      <c r="BO33" s="224">
        <f t="shared" si="23"/>
        <v>58574654.820780434</v>
      </c>
    </row>
    <row r="34" spans="1:67">
      <c r="A34" s="223">
        <f t="shared" ref="A34:A41" si="24">A33+1</f>
        <v>3</v>
      </c>
      <c r="B34" s="151" t="s">
        <v>174</v>
      </c>
      <c r="C34" s="223">
        <v>32</v>
      </c>
      <c r="D34" s="224">
        <v>38538707.11154265</v>
      </c>
      <c r="E34" s="225">
        <f t="shared" si="15"/>
        <v>38538707.11154265</v>
      </c>
      <c r="F34" s="225">
        <f t="shared" si="15"/>
        <v>38538707.11154265</v>
      </c>
      <c r="G34" s="225">
        <f t="shared" si="15"/>
        <v>38538707.11154265</v>
      </c>
      <c r="H34" s="225">
        <f t="shared" si="15"/>
        <v>38538707.11154265</v>
      </c>
      <c r="I34" s="225">
        <f t="shared" si="15"/>
        <v>38538707.11154265</v>
      </c>
      <c r="J34" s="225">
        <f t="shared" si="15"/>
        <v>38538707.11154265</v>
      </c>
      <c r="K34" s="237">
        <v>36596758.62850406</v>
      </c>
      <c r="L34" s="237">
        <f t="shared" si="17"/>
        <v>36596758.62850406</v>
      </c>
      <c r="M34" s="237">
        <f t="shared" si="17"/>
        <v>36596758.62850406</v>
      </c>
      <c r="N34" s="237">
        <f t="shared" si="17"/>
        <v>36596758.62850406</v>
      </c>
      <c r="O34" s="237">
        <f t="shared" si="17"/>
        <v>36596758.62850406</v>
      </c>
      <c r="P34" s="237">
        <f t="shared" si="17"/>
        <v>36596758.62850406</v>
      </c>
      <c r="Q34" s="237">
        <f t="shared" si="17"/>
        <v>36596758.62850406</v>
      </c>
      <c r="R34" s="237">
        <f t="shared" si="17"/>
        <v>36596758.62850406</v>
      </c>
      <c r="S34" s="237">
        <f t="shared" si="17"/>
        <v>36596758.62850406</v>
      </c>
      <c r="T34" s="224">
        <v>34638591.694285527</v>
      </c>
      <c r="U34" s="224">
        <f t="shared" si="21"/>
        <v>34638591.694285527</v>
      </c>
      <c r="V34" s="224">
        <f t="shared" si="21"/>
        <v>34638591.694285527</v>
      </c>
      <c r="W34" s="224">
        <f t="shared" si="21"/>
        <v>34638591.694285527</v>
      </c>
      <c r="X34" s="226">
        <v>34687899.558828026</v>
      </c>
      <c r="Y34" s="226">
        <f t="shared" si="18"/>
        <v>34687899.558828026</v>
      </c>
      <c r="Z34" s="226">
        <f t="shared" si="18"/>
        <v>34687899.558828026</v>
      </c>
      <c r="AA34" s="224">
        <v>33306334.273649305</v>
      </c>
      <c r="AB34" s="224">
        <v>34138860.665897809</v>
      </c>
      <c r="AC34" s="224">
        <v>32911159.518915661</v>
      </c>
      <c r="AD34" s="224">
        <f t="shared" si="8"/>
        <v>32911159.518915661</v>
      </c>
      <c r="AE34" s="226">
        <v>34290329.252727672</v>
      </c>
      <c r="AF34" s="224">
        <v>35385716.832142115</v>
      </c>
      <c r="AG34" s="224">
        <f t="shared" si="9"/>
        <v>35385716.832142115</v>
      </c>
      <c r="AH34" s="226">
        <v>34144682.426008523</v>
      </c>
      <c r="AI34" s="226">
        <f t="shared" si="19"/>
        <v>34144682.426008523</v>
      </c>
      <c r="AJ34" s="226">
        <f t="shared" si="19"/>
        <v>34144682.426008523</v>
      </c>
      <c r="AK34" s="226">
        <f t="shared" si="19"/>
        <v>34144682.426008523</v>
      </c>
      <c r="AL34" s="226">
        <f t="shared" si="19"/>
        <v>34144682.426008523</v>
      </c>
      <c r="AM34" s="226">
        <f t="shared" si="19"/>
        <v>34144682.426008523</v>
      </c>
      <c r="AN34" s="235">
        <v>36329385.47431571</v>
      </c>
      <c r="AO34" s="235">
        <f t="shared" si="20"/>
        <v>36329385.47431571</v>
      </c>
      <c r="AP34" s="235">
        <f t="shared" si="20"/>
        <v>36329385.47431571</v>
      </c>
      <c r="AQ34" s="236">
        <f t="shared" si="20"/>
        <v>36329385.47431571</v>
      </c>
      <c r="AR34" s="236">
        <f t="shared" si="20"/>
        <v>36329385.47431571</v>
      </c>
      <c r="AS34" s="236">
        <f t="shared" si="20"/>
        <v>36329385.47431571</v>
      </c>
      <c r="AT34" s="236">
        <f t="shared" si="20"/>
        <v>36329385.47431571</v>
      </c>
      <c r="AU34" s="236">
        <f t="shared" si="20"/>
        <v>36329385.47431571</v>
      </c>
      <c r="AV34" s="236">
        <f t="shared" si="20"/>
        <v>36329385.47431571</v>
      </c>
      <c r="AW34" s="226">
        <v>38072732.795944005</v>
      </c>
      <c r="AX34" s="226">
        <f t="shared" si="22"/>
        <v>38072732.795944005</v>
      </c>
      <c r="AY34" s="226">
        <f t="shared" si="22"/>
        <v>38072732.795944005</v>
      </c>
      <c r="AZ34" s="226">
        <f t="shared" si="22"/>
        <v>38072732.795944005</v>
      </c>
      <c r="BA34" s="226">
        <f t="shared" si="22"/>
        <v>38072732.795944005</v>
      </c>
      <c r="BB34" s="226">
        <f t="shared" si="22"/>
        <v>38072732.795944005</v>
      </c>
      <c r="BC34" s="224">
        <v>36443496.55395472</v>
      </c>
      <c r="BD34" s="224">
        <f t="shared" si="23"/>
        <v>36443496.55395472</v>
      </c>
      <c r="BE34" s="224">
        <f t="shared" si="23"/>
        <v>36443496.55395472</v>
      </c>
      <c r="BF34" s="224">
        <f t="shared" si="23"/>
        <v>36443496.55395472</v>
      </c>
      <c r="BG34" s="224">
        <f t="shared" si="23"/>
        <v>36443496.55395472</v>
      </c>
      <c r="BH34" s="224">
        <f t="shared" si="23"/>
        <v>36443496.55395472</v>
      </c>
      <c r="BI34" s="224">
        <f t="shared" si="23"/>
        <v>36443496.55395472</v>
      </c>
      <c r="BJ34" s="224">
        <f t="shared" si="23"/>
        <v>36443496.55395472</v>
      </c>
      <c r="BK34" s="224">
        <f t="shared" si="23"/>
        <v>36443496.55395472</v>
      </c>
      <c r="BL34" s="224">
        <f t="shared" si="23"/>
        <v>36443496.55395472</v>
      </c>
      <c r="BM34" s="224">
        <f t="shared" si="23"/>
        <v>36443496.55395472</v>
      </c>
      <c r="BN34" s="224">
        <f t="shared" si="23"/>
        <v>36443496.55395472</v>
      </c>
      <c r="BO34" s="224">
        <f t="shared" si="23"/>
        <v>36443496.55395472</v>
      </c>
    </row>
    <row r="35" spans="1:67">
      <c r="A35" s="223">
        <f t="shared" si="24"/>
        <v>4</v>
      </c>
      <c r="B35" s="151" t="s">
        <v>175</v>
      </c>
      <c r="C35" s="223">
        <v>33</v>
      </c>
      <c r="D35" s="224">
        <v>38538707.11154265</v>
      </c>
      <c r="E35" s="225">
        <f t="shared" si="15"/>
        <v>38538707.11154265</v>
      </c>
      <c r="F35" s="225">
        <f t="shared" si="15"/>
        <v>38538707.11154265</v>
      </c>
      <c r="G35" s="225">
        <f t="shared" si="15"/>
        <v>38538707.11154265</v>
      </c>
      <c r="H35" s="225">
        <f t="shared" si="15"/>
        <v>38538707.11154265</v>
      </c>
      <c r="I35" s="225">
        <f t="shared" si="15"/>
        <v>38538707.11154265</v>
      </c>
      <c r="J35" s="225">
        <f t="shared" si="15"/>
        <v>38538707.11154265</v>
      </c>
      <c r="K35" s="237">
        <v>36596758.62850406</v>
      </c>
      <c r="L35" s="237">
        <f t="shared" si="17"/>
        <v>36596758.62850406</v>
      </c>
      <c r="M35" s="237">
        <f t="shared" si="17"/>
        <v>36596758.62850406</v>
      </c>
      <c r="N35" s="237">
        <f t="shared" si="17"/>
        <v>36596758.62850406</v>
      </c>
      <c r="O35" s="237">
        <f t="shared" si="17"/>
        <v>36596758.62850406</v>
      </c>
      <c r="P35" s="237">
        <f t="shared" si="17"/>
        <v>36596758.62850406</v>
      </c>
      <c r="Q35" s="237">
        <f t="shared" si="17"/>
        <v>36596758.62850406</v>
      </c>
      <c r="R35" s="237">
        <f t="shared" si="17"/>
        <v>36596758.62850406</v>
      </c>
      <c r="S35" s="237">
        <f t="shared" si="17"/>
        <v>36596758.62850406</v>
      </c>
      <c r="T35" s="224">
        <v>34638591.694285527</v>
      </c>
      <c r="U35" s="224">
        <f t="shared" si="21"/>
        <v>34638591.694285527</v>
      </c>
      <c r="V35" s="224">
        <f t="shared" si="21"/>
        <v>34638591.694285527</v>
      </c>
      <c r="W35" s="224">
        <f t="shared" si="21"/>
        <v>34638591.694285527</v>
      </c>
      <c r="X35" s="226">
        <v>34687899.558828026</v>
      </c>
      <c r="Y35" s="226">
        <f t="shared" si="18"/>
        <v>34687899.558828026</v>
      </c>
      <c r="Z35" s="226">
        <f t="shared" si="18"/>
        <v>34687899.558828026</v>
      </c>
      <c r="AA35" s="224">
        <v>33306334.273649305</v>
      </c>
      <c r="AB35" s="224">
        <v>34138860.665897809</v>
      </c>
      <c r="AC35" s="224">
        <v>32911159.518915661</v>
      </c>
      <c r="AD35" s="224">
        <f t="shared" si="8"/>
        <v>32911159.518915661</v>
      </c>
      <c r="AE35" s="226">
        <v>34290329.252727672</v>
      </c>
      <c r="AF35" s="224">
        <v>35385716.832142115</v>
      </c>
      <c r="AG35" s="224">
        <f t="shared" si="9"/>
        <v>35385716.832142115</v>
      </c>
      <c r="AH35" s="226">
        <v>34144682.426008523</v>
      </c>
      <c r="AI35" s="226">
        <f t="shared" si="19"/>
        <v>34144682.426008523</v>
      </c>
      <c r="AJ35" s="226">
        <f t="shared" si="19"/>
        <v>34144682.426008523</v>
      </c>
      <c r="AK35" s="226">
        <f t="shared" si="19"/>
        <v>34144682.426008523</v>
      </c>
      <c r="AL35" s="226">
        <f t="shared" si="19"/>
        <v>34144682.426008523</v>
      </c>
      <c r="AM35" s="226">
        <f t="shared" si="19"/>
        <v>34144682.426008523</v>
      </c>
      <c r="AN35" s="235">
        <v>36329385.47431571</v>
      </c>
      <c r="AO35" s="235">
        <f t="shared" si="20"/>
        <v>36329385.47431571</v>
      </c>
      <c r="AP35" s="235">
        <f t="shared" si="20"/>
        <v>36329385.47431571</v>
      </c>
      <c r="AQ35" s="236">
        <f t="shared" si="20"/>
        <v>36329385.47431571</v>
      </c>
      <c r="AR35" s="236">
        <f t="shared" si="20"/>
        <v>36329385.47431571</v>
      </c>
      <c r="AS35" s="236">
        <f t="shared" si="20"/>
        <v>36329385.47431571</v>
      </c>
      <c r="AT35" s="236">
        <f t="shared" si="20"/>
        <v>36329385.47431571</v>
      </c>
      <c r="AU35" s="236">
        <f t="shared" si="20"/>
        <v>36329385.47431571</v>
      </c>
      <c r="AV35" s="236">
        <f t="shared" si="20"/>
        <v>36329385.47431571</v>
      </c>
      <c r="AW35" s="226">
        <v>38072732.795944005</v>
      </c>
      <c r="AX35" s="226">
        <f t="shared" si="22"/>
        <v>38072732.795944005</v>
      </c>
      <c r="AY35" s="226">
        <f t="shared" si="22"/>
        <v>38072732.795944005</v>
      </c>
      <c r="AZ35" s="226">
        <f t="shared" si="22"/>
        <v>38072732.795944005</v>
      </c>
      <c r="BA35" s="226">
        <f t="shared" si="22"/>
        <v>38072732.795944005</v>
      </c>
      <c r="BB35" s="226">
        <f t="shared" si="22"/>
        <v>38072732.795944005</v>
      </c>
      <c r="BC35" s="224">
        <v>36443496.55395472</v>
      </c>
      <c r="BD35" s="224">
        <f t="shared" si="23"/>
        <v>36443496.55395472</v>
      </c>
      <c r="BE35" s="224">
        <f t="shared" si="23"/>
        <v>36443496.55395472</v>
      </c>
      <c r="BF35" s="224">
        <f t="shared" si="23"/>
        <v>36443496.55395472</v>
      </c>
      <c r="BG35" s="224">
        <f t="shared" si="23"/>
        <v>36443496.55395472</v>
      </c>
      <c r="BH35" s="224">
        <f t="shared" si="23"/>
        <v>36443496.55395472</v>
      </c>
      <c r="BI35" s="224">
        <f t="shared" si="23"/>
        <v>36443496.55395472</v>
      </c>
      <c r="BJ35" s="224">
        <f t="shared" si="23"/>
        <v>36443496.55395472</v>
      </c>
      <c r="BK35" s="224">
        <f t="shared" si="23"/>
        <v>36443496.55395472</v>
      </c>
      <c r="BL35" s="224">
        <f t="shared" si="23"/>
        <v>36443496.55395472</v>
      </c>
      <c r="BM35" s="224">
        <f t="shared" si="23"/>
        <v>36443496.55395472</v>
      </c>
      <c r="BN35" s="224">
        <f t="shared" si="23"/>
        <v>36443496.55395472</v>
      </c>
      <c r="BO35" s="224">
        <f t="shared" si="23"/>
        <v>36443496.55395472</v>
      </c>
    </row>
    <row r="36" spans="1:67">
      <c r="A36" s="223">
        <f t="shared" si="24"/>
        <v>5</v>
      </c>
      <c r="B36" s="151" t="s">
        <v>176</v>
      </c>
      <c r="C36" s="223">
        <v>34</v>
      </c>
      <c r="D36" s="224">
        <v>45743782.770996571</v>
      </c>
      <c r="E36" s="225">
        <f t="shared" si="15"/>
        <v>45743782.770996571</v>
      </c>
      <c r="F36" s="225">
        <f t="shared" si="15"/>
        <v>45743782.770996571</v>
      </c>
      <c r="G36" s="225">
        <f t="shared" si="15"/>
        <v>45743782.770996571</v>
      </c>
      <c r="H36" s="225">
        <f t="shared" si="15"/>
        <v>45743782.770996571</v>
      </c>
      <c r="I36" s="225">
        <f t="shared" si="15"/>
        <v>45743782.770996571</v>
      </c>
      <c r="J36" s="225">
        <f t="shared" si="15"/>
        <v>45743782.770996571</v>
      </c>
      <c r="K36" s="237">
        <v>43500576.035524562</v>
      </c>
      <c r="L36" s="237">
        <f t="shared" si="17"/>
        <v>43500576.035524562</v>
      </c>
      <c r="M36" s="237">
        <f t="shared" si="17"/>
        <v>43500576.035524562</v>
      </c>
      <c r="N36" s="237">
        <f t="shared" si="17"/>
        <v>43500576.035524562</v>
      </c>
      <c r="O36" s="237">
        <f t="shared" si="17"/>
        <v>43500576.035524562</v>
      </c>
      <c r="P36" s="237">
        <f t="shared" si="17"/>
        <v>43500576.035524562</v>
      </c>
      <c r="Q36" s="237">
        <f t="shared" si="17"/>
        <v>43500576.035524562</v>
      </c>
      <c r="R36" s="237">
        <f t="shared" si="17"/>
        <v>43500576.035524562</v>
      </c>
      <c r="S36" s="237">
        <f t="shared" si="17"/>
        <v>43500576.035524562</v>
      </c>
      <c r="T36" s="224">
        <v>41332243.258297071</v>
      </c>
      <c r="U36" s="224">
        <f t="shared" si="21"/>
        <v>41332243.258297071</v>
      </c>
      <c r="V36" s="224">
        <f t="shared" si="21"/>
        <v>41332243.258297071</v>
      </c>
      <c r="W36" s="224">
        <f t="shared" si="21"/>
        <v>41332243.258297071</v>
      </c>
      <c r="X36" s="226">
        <v>41378847.245379075</v>
      </c>
      <c r="Y36" s="226">
        <f t="shared" si="18"/>
        <v>41378847.245379075</v>
      </c>
      <c r="Z36" s="226">
        <f t="shared" si="18"/>
        <v>41378847.245379075</v>
      </c>
      <c r="AA36" s="224">
        <v>39753901.378365353</v>
      </c>
      <c r="AB36" s="224">
        <v>40759860.417953975</v>
      </c>
      <c r="AC36" s="224">
        <v>39103097.940283857</v>
      </c>
      <c r="AD36" s="224">
        <f t="shared" si="8"/>
        <v>39103097.940283857</v>
      </c>
      <c r="AE36" s="226">
        <v>40827450.3692687</v>
      </c>
      <c r="AF36" s="224">
        <v>42028417.411252238</v>
      </c>
      <c r="AG36" s="224">
        <f t="shared" si="9"/>
        <v>42028417.411252238</v>
      </c>
      <c r="AH36" s="226">
        <v>40910071.955194697</v>
      </c>
      <c r="AI36" s="226">
        <f t="shared" si="19"/>
        <v>40910071.955194697</v>
      </c>
      <c r="AJ36" s="226">
        <f t="shared" si="19"/>
        <v>40910071.955194697</v>
      </c>
      <c r="AK36" s="226">
        <f t="shared" si="19"/>
        <v>40910071.955194697</v>
      </c>
      <c r="AL36" s="226">
        <f t="shared" si="19"/>
        <v>40910071.955194697</v>
      </c>
      <c r="AM36" s="226">
        <f t="shared" si="19"/>
        <v>40910071.955194697</v>
      </c>
      <c r="AN36" s="235">
        <v>43415942.539695106</v>
      </c>
      <c r="AO36" s="235">
        <f t="shared" si="20"/>
        <v>43415942.539695106</v>
      </c>
      <c r="AP36" s="235">
        <f t="shared" si="20"/>
        <v>43415942.539695106</v>
      </c>
      <c r="AQ36" s="236">
        <f t="shared" si="20"/>
        <v>43415942.539695106</v>
      </c>
      <c r="AR36" s="236">
        <f t="shared" si="20"/>
        <v>43415942.539695106</v>
      </c>
      <c r="AS36" s="236">
        <f t="shared" si="20"/>
        <v>43415942.539695106</v>
      </c>
      <c r="AT36" s="236">
        <f t="shared" si="20"/>
        <v>43415942.539695106</v>
      </c>
      <c r="AU36" s="236">
        <f t="shared" si="20"/>
        <v>43415942.539695106</v>
      </c>
      <c r="AV36" s="236">
        <f t="shared" si="20"/>
        <v>43415942.539695106</v>
      </c>
      <c r="AW36" s="226">
        <v>45052232.969203256</v>
      </c>
      <c r="AX36" s="226">
        <f t="shared" si="22"/>
        <v>45052232.969203256</v>
      </c>
      <c r="AY36" s="226">
        <f t="shared" si="22"/>
        <v>45052232.969203256</v>
      </c>
      <c r="AZ36" s="226">
        <f t="shared" si="22"/>
        <v>45052232.969203256</v>
      </c>
      <c r="BA36" s="226">
        <f t="shared" si="22"/>
        <v>45052232.969203256</v>
      </c>
      <c r="BB36" s="226">
        <f t="shared" si="22"/>
        <v>45052232.969203256</v>
      </c>
      <c r="BC36" s="224">
        <v>43709762.83696001</v>
      </c>
      <c r="BD36" s="224">
        <f t="shared" si="23"/>
        <v>43709762.83696001</v>
      </c>
      <c r="BE36" s="224">
        <f t="shared" si="23"/>
        <v>43709762.83696001</v>
      </c>
      <c r="BF36" s="224">
        <f t="shared" si="23"/>
        <v>43709762.83696001</v>
      </c>
      <c r="BG36" s="224">
        <f t="shared" si="23"/>
        <v>43709762.83696001</v>
      </c>
      <c r="BH36" s="224">
        <f t="shared" si="23"/>
        <v>43709762.83696001</v>
      </c>
      <c r="BI36" s="224">
        <f t="shared" si="23"/>
        <v>43709762.83696001</v>
      </c>
      <c r="BJ36" s="224">
        <f t="shared" si="23"/>
        <v>43709762.83696001</v>
      </c>
      <c r="BK36" s="224">
        <f t="shared" si="23"/>
        <v>43709762.83696001</v>
      </c>
      <c r="BL36" s="224">
        <f t="shared" si="23"/>
        <v>43709762.83696001</v>
      </c>
      <c r="BM36" s="224">
        <f t="shared" si="23"/>
        <v>43709762.83696001</v>
      </c>
      <c r="BN36" s="224">
        <f t="shared" si="23"/>
        <v>43709762.83696001</v>
      </c>
      <c r="BO36" s="224">
        <f t="shared" si="23"/>
        <v>43709762.83696001</v>
      </c>
    </row>
    <row r="37" spans="1:67">
      <c r="A37" s="223">
        <f t="shared" si="24"/>
        <v>6</v>
      </c>
      <c r="B37" s="151" t="s">
        <v>177</v>
      </c>
      <c r="C37" s="223">
        <v>35</v>
      </c>
      <c r="D37" s="224">
        <v>45743782.770996571</v>
      </c>
      <c r="E37" s="225">
        <f t="shared" si="15"/>
        <v>45743782.770996571</v>
      </c>
      <c r="F37" s="225">
        <f t="shared" si="15"/>
        <v>45743782.770996571</v>
      </c>
      <c r="G37" s="225">
        <f t="shared" si="15"/>
        <v>45743782.770996571</v>
      </c>
      <c r="H37" s="225">
        <f t="shared" si="15"/>
        <v>45743782.770996571</v>
      </c>
      <c r="I37" s="225">
        <f t="shared" si="15"/>
        <v>45743782.770996571</v>
      </c>
      <c r="J37" s="225">
        <f t="shared" si="15"/>
        <v>45743782.770996571</v>
      </c>
      <c r="K37" s="237">
        <v>43500576.035524562</v>
      </c>
      <c r="L37" s="237">
        <f t="shared" si="17"/>
        <v>43500576.035524562</v>
      </c>
      <c r="M37" s="237">
        <f t="shared" si="17"/>
        <v>43500576.035524562</v>
      </c>
      <c r="N37" s="237">
        <f t="shared" si="17"/>
        <v>43500576.035524562</v>
      </c>
      <c r="O37" s="237">
        <f t="shared" si="17"/>
        <v>43500576.035524562</v>
      </c>
      <c r="P37" s="237">
        <f t="shared" si="17"/>
        <v>43500576.035524562</v>
      </c>
      <c r="Q37" s="237">
        <f t="shared" si="17"/>
        <v>43500576.035524562</v>
      </c>
      <c r="R37" s="237">
        <f t="shared" si="17"/>
        <v>43500576.035524562</v>
      </c>
      <c r="S37" s="237">
        <f t="shared" si="17"/>
        <v>43500576.035524562</v>
      </c>
      <c r="T37" s="224">
        <v>41332243.258297071</v>
      </c>
      <c r="U37" s="224">
        <f t="shared" si="21"/>
        <v>41332243.258297071</v>
      </c>
      <c r="V37" s="224">
        <f t="shared" si="21"/>
        <v>41332243.258297071</v>
      </c>
      <c r="W37" s="224">
        <f t="shared" si="21"/>
        <v>41332243.258297071</v>
      </c>
      <c r="X37" s="226">
        <v>41378847.245379075</v>
      </c>
      <c r="Y37" s="226">
        <f t="shared" si="18"/>
        <v>41378847.245379075</v>
      </c>
      <c r="Z37" s="226">
        <f t="shared" si="18"/>
        <v>41378847.245379075</v>
      </c>
      <c r="AA37" s="224">
        <v>39753901.378365353</v>
      </c>
      <c r="AB37" s="224">
        <v>40759860.417953975</v>
      </c>
      <c r="AC37" s="224">
        <v>39103097.940283857</v>
      </c>
      <c r="AD37" s="224">
        <f t="shared" si="8"/>
        <v>39103097.940283857</v>
      </c>
      <c r="AE37" s="226">
        <v>40827450.3692687</v>
      </c>
      <c r="AF37" s="224">
        <v>42028417.411252238</v>
      </c>
      <c r="AG37" s="224">
        <f t="shared" si="9"/>
        <v>42028417.411252238</v>
      </c>
      <c r="AH37" s="226">
        <v>40910071.955194697</v>
      </c>
      <c r="AI37" s="226">
        <f t="shared" si="19"/>
        <v>40910071.955194697</v>
      </c>
      <c r="AJ37" s="226">
        <f t="shared" si="19"/>
        <v>40910071.955194697</v>
      </c>
      <c r="AK37" s="226">
        <f t="shared" si="19"/>
        <v>40910071.955194697</v>
      </c>
      <c r="AL37" s="226">
        <f t="shared" si="19"/>
        <v>40910071.955194697</v>
      </c>
      <c r="AM37" s="226">
        <f t="shared" si="19"/>
        <v>40910071.955194697</v>
      </c>
      <c r="AN37" s="235">
        <v>43415942.539695106</v>
      </c>
      <c r="AO37" s="235">
        <f t="shared" si="20"/>
        <v>43415942.539695106</v>
      </c>
      <c r="AP37" s="235">
        <f t="shared" si="20"/>
        <v>43415942.539695106</v>
      </c>
      <c r="AQ37" s="236">
        <f t="shared" si="20"/>
        <v>43415942.539695106</v>
      </c>
      <c r="AR37" s="236">
        <f t="shared" si="20"/>
        <v>43415942.539695106</v>
      </c>
      <c r="AS37" s="236">
        <f t="shared" si="20"/>
        <v>43415942.539695106</v>
      </c>
      <c r="AT37" s="236">
        <f t="shared" si="20"/>
        <v>43415942.539695106</v>
      </c>
      <c r="AU37" s="236">
        <f t="shared" si="20"/>
        <v>43415942.539695106</v>
      </c>
      <c r="AV37" s="236">
        <f t="shared" si="20"/>
        <v>43415942.539695106</v>
      </c>
      <c r="AW37" s="226">
        <v>45052232.969203256</v>
      </c>
      <c r="AX37" s="226">
        <f t="shared" si="22"/>
        <v>45052232.969203256</v>
      </c>
      <c r="AY37" s="226">
        <f t="shared" si="22"/>
        <v>45052232.969203256</v>
      </c>
      <c r="AZ37" s="226">
        <f t="shared" si="22"/>
        <v>45052232.969203256</v>
      </c>
      <c r="BA37" s="226">
        <f t="shared" si="22"/>
        <v>45052232.969203256</v>
      </c>
      <c r="BB37" s="226">
        <f t="shared" si="22"/>
        <v>45052232.969203256</v>
      </c>
      <c r="BC37" s="224">
        <v>43709762.83696001</v>
      </c>
      <c r="BD37" s="224">
        <f t="shared" si="23"/>
        <v>43709762.83696001</v>
      </c>
      <c r="BE37" s="224">
        <f t="shared" si="23"/>
        <v>43709762.83696001</v>
      </c>
      <c r="BF37" s="224">
        <f t="shared" si="23"/>
        <v>43709762.83696001</v>
      </c>
      <c r="BG37" s="224">
        <f t="shared" si="23"/>
        <v>43709762.83696001</v>
      </c>
      <c r="BH37" s="224">
        <f t="shared" si="23"/>
        <v>43709762.83696001</v>
      </c>
      <c r="BI37" s="224">
        <f t="shared" si="23"/>
        <v>43709762.83696001</v>
      </c>
      <c r="BJ37" s="224">
        <f t="shared" si="23"/>
        <v>43709762.83696001</v>
      </c>
      <c r="BK37" s="224">
        <f t="shared" si="23"/>
        <v>43709762.83696001</v>
      </c>
      <c r="BL37" s="224">
        <f t="shared" si="23"/>
        <v>43709762.83696001</v>
      </c>
      <c r="BM37" s="224">
        <f t="shared" si="23"/>
        <v>43709762.83696001</v>
      </c>
      <c r="BN37" s="224">
        <f t="shared" si="23"/>
        <v>43709762.83696001</v>
      </c>
      <c r="BO37" s="224">
        <f t="shared" si="23"/>
        <v>43709762.83696001</v>
      </c>
    </row>
    <row r="38" spans="1:67">
      <c r="A38" s="223">
        <f t="shared" si="24"/>
        <v>7</v>
      </c>
      <c r="B38" s="151" t="s">
        <v>178</v>
      </c>
      <c r="C38" s="223">
        <v>36</v>
      </c>
      <c r="D38" s="224">
        <v>38538707.11154265</v>
      </c>
      <c r="E38" s="225">
        <f t="shared" si="15"/>
        <v>38538707.11154265</v>
      </c>
      <c r="F38" s="225">
        <f t="shared" si="15"/>
        <v>38538707.11154265</v>
      </c>
      <c r="G38" s="225">
        <f t="shared" si="15"/>
        <v>38538707.11154265</v>
      </c>
      <c r="H38" s="225">
        <f t="shared" si="15"/>
        <v>38538707.11154265</v>
      </c>
      <c r="I38" s="225">
        <f t="shared" si="15"/>
        <v>38538707.11154265</v>
      </c>
      <c r="J38" s="225">
        <f t="shared" si="15"/>
        <v>38538707.11154265</v>
      </c>
      <c r="K38" s="237">
        <v>36596758.62850406</v>
      </c>
      <c r="L38" s="237">
        <f t="shared" si="17"/>
        <v>36596758.62850406</v>
      </c>
      <c r="M38" s="237">
        <f t="shared" si="17"/>
        <v>36596758.62850406</v>
      </c>
      <c r="N38" s="237">
        <f t="shared" si="17"/>
        <v>36596758.62850406</v>
      </c>
      <c r="O38" s="237">
        <f t="shared" si="17"/>
        <v>36596758.62850406</v>
      </c>
      <c r="P38" s="237">
        <f t="shared" si="17"/>
        <v>36596758.62850406</v>
      </c>
      <c r="Q38" s="237">
        <f t="shared" si="17"/>
        <v>36596758.62850406</v>
      </c>
      <c r="R38" s="237">
        <f t="shared" si="17"/>
        <v>36596758.62850406</v>
      </c>
      <c r="S38" s="237">
        <f t="shared" si="17"/>
        <v>36596758.62850406</v>
      </c>
      <c r="T38" s="224">
        <v>34638591.694285527</v>
      </c>
      <c r="U38" s="224">
        <f t="shared" si="21"/>
        <v>34638591.694285527</v>
      </c>
      <c r="V38" s="224">
        <f t="shared" si="21"/>
        <v>34638591.694285527</v>
      </c>
      <c r="W38" s="224">
        <f t="shared" si="21"/>
        <v>34638591.694285527</v>
      </c>
      <c r="X38" s="226">
        <v>34687899.558828026</v>
      </c>
      <c r="Y38" s="226">
        <f t="shared" si="18"/>
        <v>34687899.558828026</v>
      </c>
      <c r="Z38" s="226">
        <f t="shared" si="18"/>
        <v>34687899.558828026</v>
      </c>
      <c r="AA38" s="224">
        <v>33306334.273649305</v>
      </c>
      <c r="AB38" s="224">
        <v>34138860.665897809</v>
      </c>
      <c r="AC38" s="224">
        <v>32911159.518915661</v>
      </c>
      <c r="AD38" s="224">
        <f t="shared" si="8"/>
        <v>32911159.518915661</v>
      </c>
      <c r="AE38" s="226">
        <v>34290329.252727672</v>
      </c>
      <c r="AF38" s="224">
        <v>35385716.832142115</v>
      </c>
      <c r="AG38" s="224">
        <f t="shared" si="9"/>
        <v>35385716.832142115</v>
      </c>
      <c r="AH38" s="226">
        <v>34144682.426008523</v>
      </c>
      <c r="AI38" s="226">
        <f t="shared" si="19"/>
        <v>34144682.426008523</v>
      </c>
      <c r="AJ38" s="226">
        <f t="shared" si="19"/>
        <v>34144682.426008523</v>
      </c>
      <c r="AK38" s="226">
        <f t="shared" si="19"/>
        <v>34144682.426008523</v>
      </c>
      <c r="AL38" s="226">
        <f t="shared" si="19"/>
        <v>34144682.426008523</v>
      </c>
      <c r="AM38" s="226">
        <f t="shared" si="19"/>
        <v>34144682.426008523</v>
      </c>
      <c r="AN38" s="235">
        <v>36329385.47431571</v>
      </c>
      <c r="AO38" s="235">
        <f t="shared" si="20"/>
        <v>36329385.47431571</v>
      </c>
      <c r="AP38" s="235">
        <f t="shared" si="20"/>
        <v>36329385.47431571</v>
      </c>
      <c r="AQ38" s="236">
        <f t="shared" si="20"/>
        <v>36329385.47431571</v>
      </c>
      <c r="AR38" s="236">
        <f t="shared" si="20"/>
        <v>36329385.47431571</v>
      </c>
      <c r="AS38" s="236">
        <f t="shared" si="20"/>
        <v>36329385.47431571</v>
      </c>
      <c r="AT38" s="236">
        <f t="shared" si="20"/>
        <v>36329385.47431571</v>
      </c>
      <c r="AU38" s="236">
        <f t="shared" si="20"/>
        <v>36329385.47431571</v>
      </c>
      <c r="AV38" s="236">
        <f t="shared" si="20"/>
        <v>36329385.47431571</v>
      </c>
      <c r="AW38" s="226">
        <v>38072732.795944005</v>
      </c>
      <c r="AX38" s="226">
        <f t="shared" si="22"/>
        <v>38072732.795944005</v>
      </c>
      <c r="AY38" s="226">
        <f t="shared" si="22"/>
        <v>38072732.795944005</v>
      </c>
      <c r="AZ38" s="226">
        <f t="shared" si="22"/>
        <v>38072732.795944005</v>
      </c>
      <c r="BA38" s="226">
        <f t="shared" si="22"/>
        <v>38072732.795944005</v>
      </c>
      <c r="BB38" s="226">
        <f t="shared" si="22"/>
        <v>38072732.795944005</v>
      </c>
      <c r="BC38" s="224">
        <v>36443496.55395472</v>
      </c>
      <c r="BD38" s="224">
        <f t="shared" si="23"/>
        <v>36443496.55395472</v>
      </c>
      <c r="BE38" s="224">
        <f t="shared" si="23"/>
        <v>36443496.55395472</v>
      </c>
      <c r="BF38" s="224">
        <f t="shared" si="23"/>
        <v>36443496.55395472</v>
      </c>
      <c r="BG38" s="224">
        <f t="shared" si="23"/>
        <v>36443496.55395472</v>
      </c>
      <c r="BH38" s="224">
        <f t="shared" si="23"/>
        <v>36443496.55395472</v>
      </c>
      <c r="BI38" s="224">
        <f t="shared" si="23"/>
        <v>36443496.55395472</v>
      </c>
      <c r="BJ38" s="224">
        <f t="shared" si="23"/>
        <v>36443496.55395472</v>
      </c>
      <c r="BK38" s="224">
        <f t="shared" si="23"/>
        <v>36443496.55395472</v>
      </c>
      <c r="BL38" s="224">
        <f t="shared" si="23"/>
        <v>36443496.55395472</v>
      </c>
      <c r="BM38" s="224">
        <f t="shared" si="23"/>
        <v>36443496.55395472</v>
      </c>
      <c r="BN38" s="224">
        <f t="shared" si="23"/>
        <v>36443496.55395472</v>
      </c>
      <c r="BO38" s="224">
        <f t="shared" si="23"/>
        <v>36443496.55395472</v>
      </c>
    </row>
    <row r="39" spans="1:67">
      <c r="A39" s="223">
        <f t="shared" si="24"/>
        <v>8</v>
      </c>
      <c r="B39" s="151" t="s">
        <v>179</v>
      </c>
      <c r="C39" s="223">
        <v>37</v>
      </c>
      <c r="D39" s="224">
        <v>39798211.351224579</v>
      </c>
      <c r="E39" s="225">
        <f t="shared" si="15"/>
        <v>39798211.351224579</v>
      </c>
      <c r="F39" s="225">
        <f t="shared" si="15"/>
        <v>39798211.351224579</v>
      </c>
      <c r="G39" s="225">
        <f t="shared" si="15"/>
        <v>39798211.351224579</v>
      </c>
      <c r="H39" s="225">
        <f t="shared" si="15"/>
        <v>39798211.351224579</v>
      </c>
      <c r="I39" s="225">
        <f t="shared" si="15"/>
        <v>39798211.351224579</v>
      </c>
      <c r="J39" s="225">
        <f t="shared" si="15"/>
        <v>39798211.351224579</v>
      </c>
      <c r="K39" s="237">
        <v>39650793.657445967</v>
      </c>
      <c r="L39" s="237">
        <f t="shared" si="17"/>
        <v>39650793.657445967</v>
      </c>
      <c r="M39" s="237">
        <f t="shared" si="17"/>
        <v>39650793.657445967</v>
      </c>
      <c r="N39" s="237">
        <f t="shared" si="17"/>
        <v>39650793.657445967</v>
      </c>
      <c r="O39" s="237">
        <f t="shared" si="17"/>
        <v>39650793.657445967</v>
      </c>
      <c r="P39" s="237">
        <f t="shared" si="17"/>
        <v>39650793.657445967</v>
      </c>
      <c r="Q39" s="237">
        <f t="shared" si="17"/>
        <v>39650793.657445967</v>
      </c>
      <c r="R39" s="237">
        <f t="shared" si="17"/>
        <v>39650793.657445967</v>
      </c>
      <c r="S39" s="237">
        <f t="shared" si="17"/>
        <v>39650793.657445967</v>
      </c>
      <c r="T39" s="224">
        <v>39366240.064383134</v>
      </c>
      <c r="U39" s="224">
        <f t="shared" si="21"/>
        <v>39366240.064383134</v>
      </c>
      <c r="V39" s="224">
        <f t="shared" si="21"/>
        <v>39366240.064383134</v>
      </c>
      <c r="W39" s="224">
        <f t="shared" si="21"/>
        <v>39366240.064383134</v>
      </c>
      <c r="X39" s="226">
        <v>39484204.024193577</v>
      </c>
      <c r="Y39" s="226">
        <f t="shared" si="18"/>
        <v>39484204.024193577</v>
      </c>
      <c r="Z39" s="226">
        <f t="shared" si="18"/>
        <v>39484204.024193577</v>
      </c>
      <c r="AA39" s="224">
        <v>37417500.260171302</v>
      </c>
      <c r="AB39" s="224">
        <v>38273917.052586369</v>
      </c>
      <c r="AC39" s="224">
        <v>37394922.210804515</v>
      </c>
      <c r="AD39" s="224">
        <f t="shared" si="8"/>
        <v>37394922.210804515</v>
      </c>
      <c r="AE39" s="226">
        <v>38900598.166946016</v>
      </c>
      <c r="AF39" s="224">
        <v>39798211.351224579</v>
      </c>
      <c r="AG39" s="224">
        <f t="shared" si="9"/>
        <v>39798211.351224579</v>
      </c>
      <c r="AH39" s="226">
        <v>39603612.604001708</v>
      </c>
      <c r="AI39" s="226">
        <f t="shared" si="19"/>
        <v>39603612.604001708</v>
      </c>
      <c r="AJ39" s="226">
        <f t="shared" si="19"/>
        <v>39603612.604001708</v>
      </c>
      <c r="AK39" s="226">
        <f t="shared" si="19"/>
        <v>39603612.604001708</v>
      </c>
      <c r="AL39" s="226">
        <f t="shared" si="19"/>
        <v>39603612.604001708</v>
      </c>
      <c r="AM39" s="226">
        <f t="shared" si="19"/>
        <v>39603612.604001708</v>
      </c>
      <c r="AN39" s="235">
        <v>40208857.372764453</v>
      </c>
      <c r="AO39" s="235">
        <f t="shared" si="20"/>
        <v>40208857.372764453</v>
      </c>
      <c r="AP39" s="235">
        <f t="shared" si="20"/>
        <v>40208857.372764453</v>
      </c>
      <c r="AQ39" s="236">
        <f t="shared" si="20"/>
        <v>40208857.372764453</v>
      </c>
      <c r="AR39" s="236">
        <f t="shared" si="20"/>
        <v>40208857.372764453</v>
      </c>
      <c r="AS39" s="236">
        <f t="shared" si="20"/>
        <v>40208857.372764453</v>
      </c>
      <c r="AT39" s="236">
        <f t="shared" si="20"/>
        <v>40208857.372764453</v>
      </c>
      <c r="AU39" s="236">
        <f t="shared" si="20"/>
        <v>40208857.372764453</v>
      </c>
      <c r="AV39" s="236">
        <f t="shared" si="20"/>
        <v>40208857.372764453</v>
      </c>
      <c r="AW39" s="226">
        <v>41805187.54138878</v>
      </c>
      <c r="AX39" s="226">
        <f t="shared" si="22"/>
        <v>41805187.54138878</v>
      </c>
      <c r="AY39" s="226">
        <f t="shared" si="22"/>
        <v>41805187.54138878</v>
      </c>
      <c r="AZ39" s="226">
        <f t="shared" si="22"/>
        <v>41805187.54138878</v>
      </c>
      <c r="BA39" s="226">
        <f t="shared" si="22"/>
        <v>41805187.54138878</v>
      </c>
      <c r="BB39" s="226">
        <f t="shared" si="22"/>
        <v>41805187.54138878</v>
      </c>
      <c r="BC39" s="224">
        <v>40755137.003851123</v>
      </c>
      <c r="BD39" s="224">
        <f t="shared" si="23"/>
        <v>40755137.003851123</v>
      </c>
      <c r="BE39" s="224">
        <f t="shared" si="23"/>
        <v>40755137.003851123</v>
      </c>
      <c r="BF39" s="224">
        <f t="shared" si="23"/>
        <v>40755137.003851123</v>
      </c>
      <c r="BG39" s="224">
        <f t="shared" si="23"/>
        <v>40755137.003851123</v>
      </c>
      <c r="BH39" s="224">
        <f t="shared" si="23"/>
        <v>40755137.003851123</v>
      </c>
      <c r="BI39" s="224">
        <f t="shared" si="23"/>
        <v>40755137.003851123</v>
      </c>
      <c r="BJ39" s="224">
        <f t="shared" si="23"/>
        <v>40755137.003851123</v>
      </c>
      <c r="BK39" s="224">
        <f t="shared" si="23"/>
        <v>40755137.003851123</v>
      </c>
      <c r="BL39" s="224">
        <f t="shared" si="23"/>
        <v>40755137.003851123</v>
      </c>
      <c r="BM39" s="224">
        <f t="shared" si="23"/>
        <v>40755137.003851123</v>
      </c>
      <c r="BN39" s="224">
        <f t="shared" si="23"/>
        <v>40755137.003851123</v>
      </c>
      <c r="BO39" s="224">
        <f t="shared" si="23"/>
        <v>40755137.003851123</v>
      </c>
    </row>
    <row r="40" spans="1:67">
      <c r="A40" s="223">
        <f t="shared" si="24"/>
        <v>9</v>
      </c>
      <c r="B40" s="151" t="s">
        <v>180</v>
      </c>
      <c r="C40" s="223">
        <v>38</v>
      </c>
      <c r="D40" s="224">
        <v>38538707.11154265</v>
      </c>
      <c r="E40" s="225">
        <f t="shared" si="15"/>
        <v>38538707.11154265</v>
      </c>
      <c r="F40" s="225">
        <f t="shared" si="15"/>
        <v>38538707.11154265</v>
      </c>
      <c r="G40" s="225">
        <f t="shared" si="15"/>
        <v>38538707.11154265</v>
      </c>
      <c r="H40" s="225">
        <f t="shared" si="15"/>
        <v>38538707.11154265</v>
      </c>
      <c r="I40" s="225">
        <f t="shared" si="15"/>
        <v>38538707.11154265</v>
      </c>
      <c r="J40" s="225">
        <f t="shared" si="15"/>
        <v>38538707.11154265</v>
      </c>
      <c r="K40" s="237">
        <v>36596758.62850406</v>
      </c>
      <c r="L40" s="237">
        <f t="shared" si="17"/>
        <v>36596758.62850406</v>
      </c>
      <c r="M40" s="237">
        <f t="shared" si="17"/>
        <v>36596758.62850406</v>
      </c>
      <c r="N40" s="237">
        <f t="shared" si="17"/>
        <v>36596758.62850406</v>
      </c>
      <c r="O40" s="237">
        <f t="shared" si="17"/>
        <v>36596758.62850406</v>
      </c>
      <c r="P40" s="237">
        <f t="shared" si="17"/>
        <v>36596758.62850406</v>
      </c>
      <c r="Q40" s="237">
        <f t="shared" si="17"/>
        <v>36596758.62850406</v>
      </c>
      <c r="R40" s="237">
        <f t="shared" si="17"/>
        <v>36596758.62850406</v>
      </c>
      <c r="S40" s="237">
        <f t="shared" si="17"/>
        <v>36596758.62850406</v>
      </c>
      <c r="T40" s="224">
        <v>34638591.694285527</v>
      </c>
      <c r="U40" s="224">
        <f t="shared" si="21"/>
        <v>34638591.694285527</v>
      </c>
      <c r="V40" s="224">
        <f t="shared" si="21"/>
        <v>34638591.694285527</v>
      </c>
      <c r="W40" s="224">
        <f t="shared" si="21"/>
        <v>34638591.694285527</v>
      </c>
      <c r="X40" s="226">
        <v>34687899.558828026</v>
      </c>
      <c r="Y40" s="226">
        <f t="shared" si="18"/>
        <v>34687899.558828026</v>
      </c>
      <c r="Z40" s="226">
        <f t="shared" si="18"/>
        <v>34687899.558828026</v>
      </c>
      <c r="AA40" s="224">
        <v>33306334.273649305</v>
      </c>
      <c r="AB40" s="224">
        <v>34138860.665897809</v>
      </c>
      <c r="AC40" s="224">
        <v>32911159.518915661</v>
      </c>
      <c r="AD40" s="224">
        <f t="shared" si="8"/>
        <v>32911159.518915661</v>
      </c>
      <c r="AE40" s="226">
        <v>34290329.252727672</v>
      </c>
      <c r="AF40" s="224">
        <v>35385716.832142115</v>
      </c>
      <c r="AG40" s="224">
        <f t="shared" si="9"/>
        <v>35385716.832142115</v>
      </c>
      <c r="AH40" s="226">
        <v>34144682.426008523</v>
      </c>
      <c r="AI40" s="226">
        <f t="shared" si="19"/>
        <v>34144682.426008523</v>
      </c>
      <c r="AJ40" s="226">
        <f t="shared" si="19"/>
        <v>34144682.426008523</v>
      </c>
      <c r="AK40" s="226">
        <f t="shared" si="19"/>
        <v>34144682.426008523</v>
      </c>
      <c r="AL40" s="226">
        <f t="shared" si="19"/>
        <v>34144682.426008523</v>
      </c>
      <c r="AM40" s="226">
        <f t="shared" si="19"/>
        <v>34144682.426008523</v>
      </c>
      <c r="AN40" s="235">
        <v>36329385.47431571</v>
      </c>
      <c r="AO40" s="235">
        <f t="shared" si="20"/>
        <v>36329385.47431571</v>
      </c>
      <c r="AP40" s="235">
        <f t="shared" si="20"/>
        <v>36329385.47431571</v>
      </c>
      <c r="AQ40" s="236">
        <f t="shared" si="20"/>
        <v>36329385.47431571</v>
      </c>
      <c r="AR40" s="236">
        <f t="shared" si="20"/>
        <v>36329385.47431571</v>
      </c>
      <c r="AS40" s="236">
        <f t="shared" si="20"/>
        <v>36329385.47431571</v>
      </c>
      <c r="AT40" s="236">
        <f t="shared" si="20"/>
        <v>36329385.47431571</v>
      </c>
      <c r="AU40" s="236">
        <f t="shared" si="20"/>
        <v>36329385.47431571</v>
      </c>
      <c r="AV40" s="236">
        <f t="shared" si="20"/>
        <v>36329385.47431571</v>
      </c>
      <c r="AW40" s="226">
        <v>38072732.795944005</v>
      </c>
      <c r="AX40" s="226">
        <f t="shared" si="22"/>
        <v>38072732.795944005</v>
      </c>
      <c r="AY40" s="226">
        <f t="shared" si="22"/>
        <v>38072732.795944005</v>
      </c>
      <c r="AZ40" s="226">
        <f t="shared" si="22"/>
        <v>38072732.795944005</v>
      </c>
      <c r="BA40" s="226">
        <f t="shared" si="22"/>
        <v>38072732.795944005</v>
      </c>
      <c r="BB40" s="226">
        <f t="shared" si="22"/>
        <v>38072732.795944005</v>
      </c>
      <c r="BC40" s="224">
        <v>36443496.55395472</v>
      </c>
      <c r="BD40" s="224">
        <f t="shared" si="23"/>
        <v>36443496.55395472</v>
      </c>
      <c r="BE40" s="224">
        <f t="shared" si="23"/>
        <v>36443496.55395472</v>
      </c>
      <c r="BF40" s="224">
        <f t="shared" si="23"/>
        <v>36443496.55395472</v>
      </c>
      <c r="BG40" s="224">
        <f t="shared" si="23"/>
        <v>36443496.55395472</v>
      </c>
      <c r="BH40" s="224">
        <f t="shared" si="23"/>
        <v>36443496.55395472</v>
      </c>
      <c r="BI40" s="224">
        <f t="shared" si="23"/>
        <v>36443496.55395472</v>
      </c>
      <c r="BJ40" s="224">
        <f t="shared" si="23"/>
        <v>36443496.55395472</v>
      </c>
      <c r="BK40" s="224">
        <f t="shared" si="23"/>
        <v>36443496.55395472</v>
      </c>
      <c r="BL40" s="224">
        <f t="shared" si="23"/>
        <v>36443496.55395472</v>
      </c>
      <c r="BM40" s="224">
        <f t="shared" si="23"/>
        <v>36443496.55395472</v>
      </c>
      <c r="BN40" s="224">
        <f t="shared" si="23"/>
        <v>36443496.55395472</v>
      </c>
      <c r="BO40" s="224">
        <f t="shared" si="23"/>
        <v>36443496.55395472</v>
      </c>
    </row>
    <row r="41" spans="1:67">
      <c r="A41" s="223">
        <f t="shared" si="24"/>
        <v>10</v>
      </c>
      <c r="B41" s="151" t="s">
        <v>181</v>
      </c>
      <c r="C41" s="223">
        <v>39</v>
      </c>
      <c r="D41" s="224">
        <v>39798211.351224579</v>
      </c>
      <c r="E41" s="225">
        <f t="shared" si="15"/>
        <v>39798211.351224579</v>
      </c>
      <c r="F41" s="225">
        <f t="shared" si="15"/>
        <v>39798211.351224579</v>
      </c>
      <c r="G41" s="225">
        <f t="shared" si="15"/>
        <v>39798211.351224579</v>
      </c>
      <c r="H41" s="225">
        <f t="shared" si="15"/>
        <v>39798211.351224579</v>
      </c>
      <c r="I41" s="225">
        <f t="shared" si="15"/>
        <v>39798211.351224579</v>
      </c>
      <c r="J41" s="225">
        <f t="shared" si="15"/>
        <v>39798211.351224579</v>
      </c>
      <c r="K41" s="237">
        <v>39650793.657445967</v>
      </c>
      <c r="L41" s="237">
        <f t="shared" si="17"/>
        <v>39650793.657445967</v>
      </c>
      <c r="M41" s="237">
        <f t="shared" si="17"/>
        <v>39650793.657445967</v>
      </c>
      <c r="N41" s="237">
        <f t="shared" si="17"/>
        <v>39650793.657445967</v>
      </c>
      <c r="O41" s="237">
        <f t="shared" si="17"/>
        <v>39650793.657445967</v>
      </c>
      <c r="P41" s="237">
        <f t="shared" si="17"/>
        <v>39650793.657445967</v>
      </c>
      <c r="Q41" s="237">
        <f t="shared" si="17"/>
        <v>39650793.657445967</v>
      </c>
      <c r="R41" s="237">
        <f t="shared" si="17"/>
        <v>39650793.657445967</v>
      </c>
      <c r="S41" s="237">
        <f t="shared" si="17"/>
        <v>39650793.657445967</v>
      </c>
      <c r="T41" s="224">
        <v>39366240.064383134</v>
      </c>
      <c r="U41" s="224">
        <f t="shared" si="21"/>
        <v>39366240.064383134</v>
      </c>
      <c r="V41" s="224">
        <f t="shared" si="21"/>
        <v>39366240.064383134</v>
      </c>
      <c r="W41" s="224">
        <f t="shared" si="21"/>
        <v>39366240.064383134</v>
      </c>
      <c r="X41" s="226">
        <v>39484204.024193577</v>
      </c>
      <c r="Y41" s="226">
        <f t="shared" si="18"/>
        <v>39484204.024193577</v>
      </c>
      <c r="Z41" s="226">
        <f t="shared" si="18"/>
        <v>39484204.024193577</v>
      </c>
      <c r="AA41" s="224">
        <v>37417500.260171302</v>
      </c>
      <c r="AB41" s="224">
        <v>38273917.052586369</v>
      </c>
      <c r="AC41" s="224">
        <v>37394922.210804515</v>
      </c>
      <c r="AD41" s="224">
        <f t="shared" si="8"/>
        <v>37394922.210804515</v>
      </c>
      <c r="AE41" s="226">
        <v>38900598.166946016</v>
      </c>
      <c r="AF41" s="224">
        <v>39798211.351224579</v>
      </c>
      <c r="AG41" s="224">
        <f t="shared" si="9"/>
        <v>39798211.351224579</v>
      </c>
      <c r="AH41" s="226">
        <v>39603612.604001708</v>
      </c>
      <c r="AI41" s="226">
        <f t="shared" si="19"/>
        <v>39603612.604001708</v>
      </c>
      <c r="AJ41" s="226">
        <f t="shared" si="19"/>
        <v>39603612.604001708</v>
      </c>
      <c r="AK41" s="226">
        <f t="shared" si="19"/>
        <v>39603612.604001708</v>
      </c>
      <c r="AL41" s="226">
        <f t="shared" si="19"/>
        <v>39603612.604001708</v>
      </c>
      <c r="AM41" s="226">
        <f t="shared" si="19"/>
        <v>39603612.604001708</v>
      </c>
      <c r="AN41" s="235">
        <v>40208857.372764453</v>
      </c>
      <c r="AO41" s="235">
        <f t="shared" si="20"/>
        <v>40208857.372764453</v>
      </c>
      <c r="AP41" s="235">
        <f t="shared" si="20"/>
        <v>40208857.372764453</v>
      </c>
      <c r="AQ41" s="236">
        <f t="shared" si="20"/>
        <v>40208857.372764453</v>
      </c>
      <c r="AR41" s="236">
        <f t="shared" si="20"/>
        <v>40208857.372764453</v>
      </c>
      <c r="AS41" s="236">
        <f t="shared" si="20"/>
        <v>40208857.372764453</v>
      </c>
      <c r="AT41" s="236">
        <f t="shared" si="20"/>
        <v>40208857.372764453</v>
      </c>
      <c r="AU41" s="236">
        <f t="shared" si="20"/>
        <v>40208857.372764453</v>
      </c>
      <c r="AV41" s="236">
        <f t="shared" si="20"/>
        <v>40208857.372764453</v>
      </c>
      <c r="AW41" s="226">
        <v>41805187.54138878</v>
      </c>
      <c r="AX41" s="226">
        <f t="shared" si="22"/>
        <v>41805187.54138878</v>
      </c>
      <c r="AY41" s="226">
        <f t="shared" si="22"/>
        <v>41805187.54138878</v>
      </c>
      <c r="AZ41" s="226">
        <f t="shared" si="22"/>
        <v>41805187.54138878</v>
      </c>
      <c r="BA41" s="226">
        <f t="shared" si="22"/>
        <v>41805187.54138878</v>
      </c>
      <c r="BB41" s="226">
        <f t="shared" si="22"/>
        <v>41805187.54138878</v>
      </c>
      <c r="BC41" s="224">
        <v>40755137.003851123</v>
      </c>
      <c r="BD41" s="224">
        <f t="shared" si="23"/>
        <v>40755137.003851123</v>
      </c>
      <c r="BE41" s="224">
        <f t="shared" si="23"/>
        <v>40755137.003851123</v>
      </c>
      <c r="BF41" s="224">
        <f t="shared" si="23"/>
        <v>40755137.003851123</v>
      </c>
      <c r="BG41" s="224">
        <f t="shared" si="23"/>
        <v>40755137.003851123</v>
      </c>
      <c r="BH41" s="224">
        <f t="shared" si="23"/>
        <v>40755137.003851123</v>
      </c>
      <c r="BI41" s="224">
        <f t="shared" si="23"/>
        <v>40755137.003851123</v>
      </c>
      <c r="BJ41" s="224">
        <f t="shared" si="23"/>
        <v>40755137.003851123</v>
      </c>
      <c r="BK41" s="224">
        <f t="shared" si="23"/>
        <v>40755137.003851123</v>
      </c>
      <c r="BL41" s="224">
        <f t="shared" si="23"/>
        <v>40755137.003851123</v>
      </c>
      <c r="BM41" s="224">
        <f t="shared" si="23"/>
        <v>40755137.003851123</v>
      </c>
      <c r="BN41" s="224">
        <f t="shared" si="23"/>
        <v>40755137.003851123</v>
      </c>
      <c r="BO41" s="224">
        <f t="shared" si="23"/>
        <v>40755137.003851123</v>
      </c>
    </row>
    <row r="42" spans="1:67">
      <c r="A42" s="223" t="s">
        <v>31</v>
      </c>
      <c r="B42" s="230" t="s">
        <v>194</v>
      </c>
      <c r="C42" s="223">
        <v>40</v>
      </c>
      <c r="D42" s="224"/>
      <c r="E42" s="225">
        <f t="shared" si="15"/>
        <v>0</v>
      </c>
      <c r="F42" s="225">
        <f t="shared" si="15"/>
        <v>0</v>
      </c>
      <c r="G42" s="225">
        <f t="shared" si="15"/>
        <v>0</v>
      </c>
      <c r="H42" s="225">
        <f t="shared" si="15"/>
        <v>0</v>
      </c>
      <c r="I42" s="225">
        <f t="shared" si="15"/>
        <v>0</v>
      </c>
      <c r="J42" s="225">
        <f t="shared" si="15"/>
        <v>0</v>
      </c>
      <c r="K42" s="237"/>
      <c r="L42" s="237">
        <f t="shared" si="17"/>
        <v>0</v>
      </c>
      <c r="M42" s="237">
        <f t="shared" si="17"/>
        <v>0</v>
      </c>
      <c r="N42" s="237">
        <f t="shared" si="17"/>
        <v>0</v>
      </c>
      <c r="O42" s="237">
        <f t="shared" si="17"/>
        <v>0</v>
      </c>
      <c r="P42" s="237">
        <f t="shared" si="17"/>
        <v>0</v>
      </c>
      <c r="Q42" s="237">
        <f t="shared" si="17"/>
        <v>0</v>
      </c>
      <c r="R42" s="237">
        <f t="shared" si="17"/>
        <v>0</v>
      </c>
      <c r="S42" s="237">
        <f t="shared" si="17"/>
        <v>0</v>
      </c>
      <c r="T42" s="224"/>
      <c r="U42" s="224">
        <f t="shared" si="21"/>
        <v>0</v>
      </c>
      <c r="V42" s="224">
        <f t="shared" si="21"/>
        <v>0</v>
      </c>
      <c r="W42" s="224">
        <f t="shared" si="21"/>
        <v>0</v>
      </c>
      <c r="X42" s="226"/>
      <c r="Y42" s="226">
        <f t="shared" si="18"/>
        <v>0</v>
      </c>
      <c r="Z42" s="226">
        <f t="shared" si="18"/>
        <v>0</v>
      </c>
      <c r="AA42" s="224"/>
      <c r="AB42" s="224"/>
      <c r="AC42" s="224"/>
      <c r="AD42" s="224">
        <f t="shared" si="8"/>
        <v>0</v>
      </c>
      <c r="AE42" s="226"/>
      <c r="AF42" s="224"/>
      <c r="AG42" s="224">
        <f t="shared" si="9"/>
        <v>0</v>
      </c>
      <c r="AH42" s="226"/>
      <c r="AI42" s="226">
        <f t="shared" si="19"/>
        <v>0</v>
      </c>
      <c r="AJ42" s="226">
        <f t="shared" si="19"/>
        <v>0</v>
      </c>
      <c r="AK42" s="226">
        <f t="shared" si="19"/>
        <v>0</v>
      </c>
      <c r="AL42" s="226">
        <f t="shared" si="19"/>
        <v>0</v>
      </c>
      <c r="AM42" s="226">
        <f t="shared" si="19"/>
        <v>0</v>
      </c>
      <c r="AN42" s="235"/>
      <c r="AO42" s="235">
        <f t="shared" si="20"/>
        <v>0</v>
      </c>
      <c r="AP42" s="235">
        <f t="shared" si="20"/>
        <v>0</v>
      </c>
      <c r="AQ42" s="236">
        <f t="shared" si="20"/>
        <v>0</v>
      </c>
      <c r="AR42" s="236">
        <f t="shared" si="20"/>
        <v>0</v>
      </c>
      <c r="AS42" s="236">
        <f t="shared" si="20"/>
        <v>0</v>
      </c>
      <c r="AT42" s="236">
        <f t="shared" si="20"/>
        <v>0</v>
      </c>
      <c r="AU42" s="236">
        <f t="shared" si="20"/>
        <v>0</v>
      </c>
      <c r="AV42" s="236">
        <f t="shared" si="20"/>
        <v>0</v>
      </c>
      <c r="AW42" s="226"/>
      <c r="AX42" s="226">
        <f t="shared" si="22"/>
        <v>0</v>
      </c>
      <c r="AY42" s="226">
        <f t="shared" si="22"/>
        <v>0</v>
      </c>
      <c r="AZ42" s="226">
        <f t="shared" si="22"/>
        <v>0</v>
      </c>
      <c r="BA42" s="226">
        <f t="shared" si="22"/>
        <v>0</v>
      </c>
      <c r="BB42" s="226">
        <f t="shared" si="22"/>
        <v>0</v>
      </c>
      <c r="BC42" s="224"/>
      <c r="BD42" s="224">
        <f t="shared" si="23"/>
        <v>0</v>
      </c>
      <c r="BE42" s="224">
        <f t="shared" si="23"/>
        <v>0</v>
      </c>
      <c r="BF42" s="224">
        <f t="shared" si="23"/>
        <v>0</v>
      </c>
      <c r="BG42" s="224">
        <f t="shared" si="23"/>
        <v>0</v>
      </c>
      <c r="BH42" s="224">
        <f t="shared" si="23"/>
        <v>0</v>
      </c>
      <c r="BI42" s="224">
        <f t="shared" si="23"/>
        <v>0</v>
      </c>
      <c r="BJ42" s="224">
        <f t="shared" si="23"/>
        <v>0</v>
      </c>
      <c r="BK42" s="224">
        <f t="shared" si="23"/>
        <v>0</v>
      </c>
      <c r="BL42" s="224">
        <f t="shared" si="23"/>
        <v>0</v>
      </c>
      <c r="BM42" s="224">
        <f t="shared" si="23"/>
        <v>0</v>
      </c>
      <c r="BN42" s="224">
        <f t="shared" si="23"/>
        <v>0</v>
      </c>
      <c r="BO42" s="224">
        <f t="shared" si="23"/>
        <v>0</v>
      </c>
    </row>
    <row r="43" spans="1:67">
      <c r="A43" s="223">
        <v>1</v>
      </c>
      <c r="B43" s="151" t="s">
        <v>195</v>
      </c>
      <c r="C43" s="223">
        <v>41</v>
      </c>
      <c r="D43" s="224">
        <v>522837.73241257615</v>
      </c>
      <c r="E43" s="225">
        <f t="shared" si="15"/>
        <v>522837.73241257615</v>
      </c>
      <c r="F43" s="225">
        <f t="shared" si="15"/>
        <v>522837.73241257615</v>
      </c>
      <c r="G43" s="225">
        <f t="shared" si="15"/>
        <v>522837.73241257615</v>
      </c>
      <c r="H43" s="225">
        <f t="shared" si="15"/>
        <v>522837.73241257615</v>
      </c>
      <c r="I43" s="225">
        <f t="shared" si="15"/>
        <v>522837.73241257615</v>
      </c>
      <c r="J43" s="225">
        <f t="shared" si="15"/>
        <v>522837.73241257615</v>
      </c>
      <c r="K43" s="226">
        <v>522837.73241257615</v>
      </c>
      <c r="L43" s="237">
        <f t="shared" si="17"/>
        <v>522837.73241257615</v>
      </c>
      <c r="M43" s="237">
        <f t="shared" si="17"/>
        <v>522837.73241257615</v>
      </c>
      <c r="N43" s="237">
        <f t="shared" si="17"/>
        <v>522837.73241257615</v>
      </c>
      <c r="O43" s="237">
        <f t="shared" si="17"/>
        <v>522837.73241257615</v>
      </c>
      <c r="P43" s="237">
        <f t="shared" si="17"/>
        <v>522837.73241257615</v>
      </c>
      <c r="Q43" s="237">
        <f t="shared" si="17"/>
        <v>522837.73241257615</v>
      </c>
      <c r="R43" s="237">
        <f t="shared" si="17"/>
        <v>522837.73241257615</v>
      </c>
      <c r="S43" s="237">
        <f t="shared" si="17"/>
        <v>522837.73241257615</v>
      </c>
      <c r="T43" s="224">
        <v>522837.73241257615</v>
      </c>
      <c r="U43" s="224">
        <f t="shared" si="21"/>
        <v>522837.73241257615</v>
      </c>
      <c r="V43" s="224">
        <f t="shared" si="21"/>
        <v>522837.73241257615</v>
      </c>
      <c r="W43" s="224">
        <f t="shared" si="21"/>
        <v>522837.73241257615</v>
      </c>
      <c r="X43" s="226">
        <v>522837.73241257615</v>
      </c>
      <c r="Y43" s="226">
        <f t="shared" si="18"/>
        <v>522837.73241257615</v>
      </c>
      <c r="Z43" s="226">
        <f t="shared" si="18"/>
        <v>522837.73241257615</v>
      </c>
      <c r="AA43" s="224">
        <v>522837.73241257615</v>
      </c>
      <c r="AB43" s="224">
        <v>522837.73241257615</v>
      </c>
      <c r="AC43" s="224">
        <v>522837.73241257615</v>
      </c>
      <c r="AD43" s="224">
        <f t="shared" si="8"/>
        <v>522837.73241257615</v>
      </c>
      <c r="AE43" s="224">
        <v>522837.73241257615</v>
      </c>
      <c r="AF43" s="224">
        <v>522837.73241257615</v>
      </c>
      <c r="AG43" s="224">
        <f t="shared" si="9"/>
        <v>522837.73241257615</v>
      </c>
      <c r="AH43" s="226">
        <v>522837.73241257615</v>
      </c>
      <c r="AI43" s="226">
        <f t="shared" si="19"/>
        <v>522837.73241257615</v>
      </c>
      <c r="AJ43" s="226">
        <f t="shared" si="19"/>
        <v>522837.73241257615</v>
      </c>
      <c r="AK43" s="226">
        <f t="shared" si="19"/>
        <v>522837.73241257615</v>
      </c>
      <c r="AL43" s="226">
        <f t="shared" si="19"/>
        <v>522837.73241257615</v>
      </c>
      <c r="AM43" s="226">
        <f t="shared" si="19"/>
        <v>522837.73241257615</v>
      </c>
      <c r="AN43" s="235">
        <v>522837.73241257615</v>
      </c>
      <c r="AO43" s="235">
        <f t="shared" si="20"/>
        <v>522837.73241257615</v>
      </c>
      <c r="AP43" s="235">
        <f t="shared" si="20"/>
        <v>522837.73241257615</v>
      </c>
      <c r="AQ43" s="236">
        <f t="shared" si="20"/>
        <v>522837.73241257615</v>
      </c>
      <c r="AR43" s="236">
        <f t="shared" si="20"/>
        <v>522837.73241257615</v>
      </c>
      <c r="AS43" s="236">
        <f t="shared" si="20"/>
        <v>522837.73241257615</v>
      </c>
      <c r="AT43" s="236">
        <f t="shared" si="20"/>
        <v>522837.73241257615</v>
      </c>
      <c r="AU43" s="236">
        <f t="shared" si="20"/>
        <v>522837.73241257615</v>
      </c>
      <c r="AV43" s="236">
        <f t="shared" si="20"/>
        <v>522837.73241257615</v>
      </c>
      <c r="AW43" s="226">
        <v>522837.73241257615</v>
      </c>
      <c r="AX43" s="226">
        <f t="shared" si="22"/>
        <v>522837.73241257615</v>
      </c>
      <c r="AY43" s="226">
        <f t="shared" si="22"/>
        <v>522837.73241257615</v>
      </c>
      <c r="AZ43" s="226">
        <f t="shared" si="22"/>
        <v>522837.73241257615</v>
      </c>
      <c r="BA43" s="226">
        <f t="shared" si="22"/>
        <v>522837.73241257615</v>
      </c>
      <c r="BB43" s="226">
        <f t="shared" si="22"/>
        <v>522837.73241257615</v>
      </c>
      <c r="BC43" s="224">
        <v>522837.73241257615</v>
      </c>
      <c r="BD43" s="224">
        <f t="shared" si="23"/>
        <v>522837.73241257615</v>
      </c>
      <c r="BE43" s="224">
        <f t="shared" si="23"/>
        <v>522837.73241257615</v>
      </c>
      <c r="BF43" s="224">
        <f t="shared" si="23"/>
        <v>522837.73241257615</v>
      </c>
      <c r="BG43" s="224">
        <f t="shared" si="23"/>
        <v>522837.73241257615</v>
      </c>
      <c r="BH43" s="224">
        <f t="shared" si="23"/>
        <v>522837.73241257615</v>
      </c>
      <c r="BI43" s="224">
        <f t="shared" si="23"/>
        <v>522837.73241257615</v>
      </c>
      <c r="BJ43" s="224">
        <f t="shared" si="23"/>
        <v>522837.73241257615</v>
      </c>
      <c r="BK43" s="224">
        <f t="shared" si="23"/>
        <v>522837.73241257615</v>
      </c>
      <c r="BL43" s="224">
        <f t="shared" si="23"/>
        <v>522837.73241257615</v>
      </c>
      <c r="BM43" s="224">
        <f t="shared" si="23"/>
        <v>522837.73241257615</v>
      </c>
      <c r="BN43" s="224">
        <f t="shared" si="23"/>
        <v>522837.73241257615</v>
      </c>
      <c r="BO43" s="224">
        <f t="shared" si="23"/>
        <v>522837.73241257615</v>
      </c>
    </row>
    <row r="44" spans="1:67">
      <c r="A44" s="223">
        <f>A43+1</f>
        <v>2</v>
      </c>
      <c r="B44" s="151" t="s">
        <v>196</v>
      </c>
      <c r="C44" s="223">
        <v>42</v>
      </c>
      <c r="D44" s="224">
        <v>522837.73241257615</v>
      </c>
      <c r="E44" s="225">
        <f t="shared" si="15"/>
        <v>522837.73241257615</v>
      </c>
      <c r="F44" s="225">
        <f t="shared" si="15"/>
        <v>522837.73241257615</v>
      </c>
      <c r="G44" s="225">
        <f t="shared" si="15"/>
        <v>522837.73241257615</v>
      </c>
      <c r="H44" s="225">
        <f t="shared" si="15"/>
        <v>522837.73241257615</v>
      </c>
      <c r="I44" s="225">
        <f t="shared" si="15"/>
        <v>522837.73241257615</v>
      </c>
      <c r="J44" s="225">
        <f t="shared" si="15"/>
        <v>522837.73241257615</v>
      </c>
      <c r="K44" s="226">
        <v>522837.73241257615</v>
      </c>
      <c r="L44" s="237">
        <f t="shared" si="17"/>
        <v>522837.73241257615</v>
      </c>
      <c r="M44" s="237">
        <f t="shared" si="17"/>
        <v>522837.73241257615</v>
      </c>
      <c r="N44" s="237">
        <f t="shared" si="17"/>
        <v>522837.73241257615</v>
      </c>
      <c r="O44" s="237">
        <f t="shared" si="17"/>
        <v>522837.73241257615</v>
      </c>
      <c r="P44" s="237">
        <f t="shared" si="17"/>
        <v>522837.73241257615</v>
      </c>
      <c r="Q44" s="237">
        <f t="shared" si="17"/>
        <v>522837.73241257615</v>
      </c>
      <c r="R44" s="237">
        <f t="shared" si="17"/>
        <v>522837.73241257615</v>
      </c>
      <c r="S44" s="237">
        <f t="shared" si="17"/>
        <v>522837.73241257615</v>
      </c>
      <c r="T44" s="224">
        <v>522837.73241257615</v>
      </c>
      <c r="U44" s="224">
        <f t="shared" si="21"/>
        <v>522837.73241257615</v>
      </c>
      <c r="V44" s="224">
        <f t="shared" si="21"/>
        <v>522837.73241257615</v>
      </c>
      <c r="W44" s="224">
        <f t="shared" si="21"/>
        <v>522837.73241257615</v>
      </c>
      <c r="X44" s="226">
        <v>522837.73241257615</v>
      </c>
      <c r="Y44" s="226">
        <f t="shared" si="18"/>
        <v>522837.73241257615</v>
      </c>
      <c r="Z44" s="226">
        <f t="shared" si="18"/>
        <v>522837.73241257615</v>
      </c>
      <c r="AA44" s="224">
        <v>522837.73241257615</v>
      </c>
      <c r="AB44" s="224">
        <v>522837.73241257615</v>
      </c>
      <c r="AC44" s="224">
        <v>522837.73241257615</v>
      </c>
      <c r="AD44" s="224">
        <f t="shared" si="8"/>
        <v>522837.73241257615</v>
      </c>
      <c r="AE44" s="224">
        <v>522837.73241257615</v>
      </c>
      <c r="AF44" s="224">
        <v>522837.73241257615</v>
      </c>
      <c r="AG44" s="224">
        <f t="shared" si="9"/>
        <v>522837.73241257615</v>
      </c>
      <c r="AH44" s="226">
        <v>522837.73241257615</v>
      </c>
      <c r="AI44" s="226">
        <f t="shared" si="19"/>
        <v>522837.73241257615</v>
      </c>
      <c r="AJ44" s="226">
        <f t="shared" si="19"/>
        <v>522837.73241257615</v>
      </c>
      <c r="AK44" s="226">
        <f t="shared" si="19"/>
        <v>522837.73241257615</v>
      </c>
      <c r="AL44" s="226">
        <f t="shared" si="19"/>
        <v>522837.73241257615</v>
      </c>
      <c r="AM44" s="226">
        <f t="shared" si="19"/>
        <v>522837.73241257615</v>
      </c>
      <c r="AN44" s="235">
        <v>522837.73241257615</v>
      </c>
      <c r="AO44" s="235">
        <f t="shared" si="20"/>
        <v>522837.73241257615</v>
      </c>
      <c r="AP44" s="235">
        <f t="shared" si="20"/>
        <v>522837.73241257615</v>
      </c>
      <c r="AQ44" s="236">
        <f t="shared" si="20"/>
        <v>522837.73241257615</v>
      </c>
      <c r="AR44" s="236">
        <f t="shared" si="20"/>
        <v>522837.73241257615</v>
      </c>
      <c r="AS44" s="236">
        <f t="shared" si="20"/>
        <v>522837.73241257615</v>
      </c>
      <c r="AT44" s="236">
        <f t="shared" si="20"/>
        <v>522837.73241257615</v>
      </c>
      <c r="AU44" s="236">
        <f t="shared" si="20"/>
        <v>522837.73241257615</v>
      </c>
      <c r="AV44" s="236">
        <f t="shared" si="20"/>
        <v>522837.73241257615</v>
      </c>
      <c r="AW44" s="226">
        <v>522837.73241257615</v>
      </c>
      <c r="AX44" s="226">
        <f t="shared" si="22"/>
        <v>522837.73241257615</v>
      </c>
      <c r="AY44" s="226">
        <f t="shared" si="22"/>
        <v>522837.73241257615</v>
      </c>
      <c r="AZ44" s="226">
        <f t="shared" si="22"/>
        <v>522837.73241257615</v>
      </c>
      <c r="BA44" s="226">
        <f t="shared" si="22"/>
        <v>522837.73241257615</v>
      </c>
      <c r="BB44" s="226">
        <f t="shared" si="22"/>
        <v>522837.73241257615</v>
      </c>
      <c r="BC44" s="224">
        <v>522837.73241257615</v>
      </c>
      <c r="BD44" s="224">
        <f t="shared" si="23"/>
        <v>522837.73241257615</v>
      </c>
      <c r="BE44" s="224">
        <f t="shared" si="23"/>
        <v>522837.73241257615</v>
      </c>
      <c r="BF44" s="224">
        <f t="shared" si="23"/>
        <v>522837.73241257615</v>
      </c>
      <c r="BG44" s="224">
        <f t="shared" si="23"/>
        <v>522837.73241257615</v>
      </c>
      <c r="BH44" s="224">
        <f t="shared" si="23"/>
        <v>522837.73241257615</v>
      </c>
      <c r="BI44" s="224">
        <f t="shared" si="23"/>
        <v>522837.73241257615</v>
      </c>
      <c r="BJ44" s="224">
        <f t="shared" si="23"/>
        <v>522837.73241257615</v>
      </c>
      <c r="BK44" s="224">
        <f t="shared" si="23"/>
        <v>522837.73241257615</v>
      </c>
      <c r="BL44" s="224">
        <f t="shared" si="23"/>
        <v>522837.73241257615</v>
      </c>
      <c r="BM44" s="224">
        <f t="shared" si="23"/>
        <v>522837.73241257615</v>
      </c>
      <c r="BN44" s="224">
        <f t="shared" si="23"/>
        <v>522837.73241257615</v>
      </c>
      <c r="BO44" s="224">
        <f t="shared" si="23"/>
        <v>522837.73241257615</v>
      </c>
    </row>
    <row r="45" spans="1:67">
      <c r="A45" s="223">
        <f t="shared" ref="A45:A50" si="25">A44+1</f>
        <v>3</v>
      </c>
      <c r="B45" s="151" t="s">
        <v>197</v>
      </c>
      <c r="C45" s="223">
        <v>43</v>
      </c>
      <c r="D45" s="224">
        <v>522837.73241257615</v>
      </c>
      <c r="E45" s="225">
        <f t="shared" si="15"/>
        <v>522837.73241257615</v>
      </c>
      <c r="F45" s="225">
        <f t="shared" si="15"/>
        <v>522837.73241257615</v>
      </c>
      <c r="G45" s="225">
        <f t="shared" si="15"/>
        <v>522837.73241257615</v>
      </c>
      <c r="H45" s="225">
        <f t="shared" si="15"/>
        <v>522837.73241257615</v>
      </c>
      <c r="I45" s="225">
        <f t="shared" si="15"/>
        <v>522837.73241257615</v>
      </c>
      <c r="J45" s="225">
        <f t="shared" si="15"/>
        <v>522837.73241257615</v>
      </c>
      <c r="K45" s="226">
        <v>522837.73241257615</v>
      </c>
      <c r="L45" s="237">
        <f t="shared" si="17"/>
        <v>522837.73241257615</v>
      </c>
      <c r="M45" s="237">
        <f t="shared" si="17"/>
        <v>522837.73241257615</v>
      </c>
      <c r="N45" s="237">
        <f t="shared" si="17"/>
        <v>522837.73241257615</v>
      </c>
      <c r="O45" s="237">
        <f t="shared" si="17"/>
        <v>522837.73241257615</v>
      </c>
      <c r="P45" s="237">
        <f t="shared" si="17"/>
        <v>522837.73241257615</v>
      </c>
      <c r="Q45" s="237">
        <f t="shared" si="17"/>
        <v>522837.73241257615</v>
      </c>
      <c r="R45" s="237">
        <f t="shared" si="17"/>
        <v>522837.73241257615</v>
      </c>
      <c r="S45" s="237">
        <f t="shared" si="17"/>
        <v>522837.73241257615</v>
      </c>
      <c r="T45" s="224">
        <v>522837.73241257615</v>
      </c>
      <c r="U45" s="224">
        <f t="shared" si="21"/>
        <v>522837.73241257615</v>
      </c>
      <c r="V45" s="224">
        <f t="shared" si="21"/>
        <v>522837.73241257615</v>
      </c>
      <c r="W45" s="224">
        <f t="shared" si="21"/>
        <v>522837.73241257615</v>
      </c>
      <c r="X45" s="226">
        <v>522837.73241257615</v>
      </c>
      <c r="Y45" s="226">
        <f t="shared" si="18"/>
        <v>522837.73241257615</v>
      </c>
      <c r="Z45" s="226">
        <f t="shared" si="18"/>
        <v>522837.73241257615</v>
      </c>
      <c r="AA45" s="224">
        <v>522837.73241257615</v>
      </c>
      <c r="AB45" s="224">
        <v>522837.73241257615</v>
      </c>
      <c r="AC45" s="224">
        <v>522837.73241257615</v>
      </c>
      <c r="AD45" s="224">
        <f t="shared" si="8"/>
        <v>522837.73241257615</v>
      </c>
      <c r="AE45" s="224">
        <v>522837.73241257615</v>
      </c>
      <c r="AF45" s="224">
        <v>522837.73241257615</v>
      </c>
      <c r="AG45" s="224">
        <f t="shared" si="9"/>
        <v>522837.73241257615</v>
      </c>
      <c r="AH45" s="226">
        <v>522837.73241257615</v>
      </c>
      <c r="AI45" s="226">
        <f t="shared" si="19"/>
        <v>522837.73241257615</v>
      </c>
      <c r="AJ45" s="226">
        <f t="shared" si="19"/>
        <v>522837.73241257615</v>
      </c>
      <c r="AK45" s="226">
        <f t="shared" si="19"/>
        <v>522837.73241257615</v>
      </c>
      <c r="AL45" s="226">
        <f t="shared" si="19"/>
        <v>522837.73241257615</v>
      </c>
      <c r="AM45" s="226">
        <f t="shared" si="19"/>
        <v>522837.73241257615</v>
      </c>
      <c r="AN45" s="235">
        <v>522837.73241257615</v>
      </c>
      <c r="AO45" s="235">
        <f t="shared" si="20"/>
        <v>522837.73241257615</v>
      </c>
      <c r="AP45" s="235">
        <f t="shared" si="20"/>
        <v>522837.73241257615</v>
      </c>
      <c r="AQ45" s="236">
        <f t="shared" si="20"/>
        <v>522837.73241257615</v>
      </c>
      <c r="AR45" s="236">
        <f t="shared" si="20"/>
        <v>522837.73241257615</v>
      </c>
      <c r="AS45" s="236">
        <f t="shared" si="20"/>
        <v>522837.73241257615</v>
      </c>
      <c r="AT45" s="236">
        <f t="shared" si="20"/>
        <v>522837.73241257615</v>
      </c>
      <c r="AU45" s="236">
        <f t="shared" si="20"/>
        <v>522837.73241257615</v>
      </c>
      <c r="AV45" s="236">
        <f t="shared" si="20"/>
        <v>522837.73241257615</v>
      </c>
      <c r="AW45" s="226">
        <v>522837.73241257615</v>
      </c>
      <c r="AX45" s="226">
        <f t="shared" si="22"/>
        <v>522837.73241257615</v>
      </c>
      <c r="AY45" s="226">
        <f t="shared" si="22"/>
        <v>522837.73241257615</v>
      </c>
      <c r="AZ45" s="226">
        <f t="shared" si="22"/>
        <v>522837.73241257615</v>
      </c>
      <c r="BA45" s="226">
        <f t="shared" si="22"/>
        <v>522837.73241257615</v>
      </c>
      <c r="BB45" s="226">
        <f t="shared" si="22"/>
        <v>522837.73241257615</v>
      </c>
      <c r="BC45" s="224">
        <v>522837.73241257615</v>
      </c>
      <c r="BD45" s="224">
        <f t="shared" si="23"/>
        <v>522837.73241257615</v>
      </c>
      <c r="BE45" s="224">
        <f t="shared" si="23"/>
        <v>522837.73241257615</v>
      </c>
      <c r="BF45" s="224">
        <f t="shared" si="23"/>
        <v>522837.73241257615</v>
      </c>
      <c r="BG45" s="224">
        <f t="shared" si="23"/>
        <v>522837.73241257615</v>
      </c>
      <c r="BH45" s="224">
        <f t="shared" si="23"/>
        <v>522837.73241257615</v>
      </c>
      <c r="BI45" s="224">
        <f t="shared" si="23"/>
        <v>522837.73241257615</v>
      </c>
      <c r="BJ45" s="224">
        <f t="shared" si="23"/>
        <v>522837.73241257615</v>
      </c>
      <c r="BK45" s="224">
        <f t="shared" si="23"/>
        <v>522837.73241257615</v>
      </c>
      <c r="BL45" s="224">
        <f t="shared" si="23"/>
        <v>522837.73241257615</v>
      </c>
      <c r="BM45" s="224">
        <f t="shared" si="23"/>
        <v>522837.73241257615</v>
      </c>
      <c r="BN45" s="224">
        <f t="shared" si="23"/>
        <v>522837.73241257615</v>
      </c>
      <c r="BO45" s="224">
        <f t="shared" si="23"/>
        <v>522837.73241257615</v>
      </c>
    </row>
    <row r="46" spans="1:67">
      <c r="A46" s="223">
        <f t="shared" si="25"/>
        <v>4</v>
      </c>
      <c r="B46" s="151" t="s">
        <v>198</v>
      </c>
      <c r="C46" s="223">
        <v>44</v>
      </c>
      <c r="D46" s="224">
        <v>522837.73241257615</v>
      </c>
      <c r="E46" s="225">
        <f t="shared" ref="E46:J63" si="26">D46</f>
        <v>522837.73241257615</v>
      </c>
      <c r="F46" s="225">
        <f t="shared" si="26"/>
        <v>522837.73241257615</v>
      </c>
      <c r="G46" s="225">
        <f t="shared" si="26"/>
        <v>522837.73241257615</v>
      </c>
      <c r="H46" s="225">
        <f t="shared" si="26"/>
        <v>522837.73241257615</v>
      </c>
      <c r="I46" s="225">
        <f t="shared" si="26"/>
        <v>522837.73241257615</v>
      </c>
      <c r="J46" s="225">
        <f t="shared" si="26"/>
        <v>522837.73241257615</v>
      </c>
      <c r="K46" s="226">
        <v>522837.73241257615</v>
      </c>
      <c r="L46" s="237">
        <f t="shared" si="17"/>
        <v>522837.73241257615</v>
      </c>
      <c r="M46" s="237">
        <f t="shared" si="17"/>
        <v>522837.73241257615</v>
      </c>
      <c r="N46" s="237">
        <f t="shared" si="17"/>
        <v>522837.73241257615</v>
      </c>
      <c r="O46" s="237">
        <f t="shared" si="17"/>
        <v>522837.73241257615</v>
      </c>
      <c r="P46" s="237">
        <f t="shared" si="17"/>
        <v>522837.73241257615</v>
      </c>
      <c r="Q46" s="237">
        <f t="shared" si="17"/>
        <v>522837.73241257615</v>
      </c>
      <c r="R46" s="237">
        <f t="shared" si="17"/>
        <v>522837.73241257615</v>
      </c>
      <c r="S46" s="237">
        <f t="shared" si="17"/>
        <v>522837.73241257615</v>
      </c>
      <c r="T46" s="224">
        <v>522837.73241257615</v>
      </c>
      <c r="U46" s="224">
        <f t="shared" si="21"/>
        <v>522837.73241257615</v>
      </c>
      <c r="V46" s="224">
        <f t="shared" si="21"/>
        <v>522837.73241257615</v>
      </c>
      <c r="W46" s="224">
        <f t="shared" si="21"/>
        <v>522837.73241257615</v>
      </c>
      <c r="X46" s="226">
        <v>522837.73241257615</v>
      </c>
      <c r="Y46" s="226">
        <f t="shared" si="18"/>
        <v>522837.73241257615</v>
      </c>
      <c r="Z46" s="226">
        <f t="shared" si="18"/>
        <v>522837.73241257615</v>
      </c>
      <c r="AA46" s="224">
        <v>522837.73241257615</v>
      </c>
      <c r="AB46" s="224">
        <v>522837.73241257615</v>
      </c>
      <c r="AC46" s="224">
        <v>522837.73241257615</v>
      </c>
      <c r="AD46" s="224">
        <f t="shared" si="8"/>
        <v>522837.73241257615</v>
      </c>
      <c r="AE46" s="224">
        <v>522837.73241257615</v>
      </c>
      <c r="AF46" s="224">
        <v>522837.73241257615</v>
      </c>
      <c r="AG46" s="224">
        <f t="shared" si="9"/>
        <v>522837.73241257615</v>
      </c>
      <c r="AH46" s="226">
        <v>522837.73241257615</v>
      </c>
      <c r="AI46" s="226">
        <f t="shared" si="19"/>
        <v>522837.73241257615</v>
      </c>
      <c r="AJ46" s="226">
        <f t="shared" si="19"/>
        <v>522837.73241257615</v>
      </c>
      <c r="AK46" s="226">
        <f t="shared" si="19"/>
        <v>522837.73241257615</v>
      </c>
      <c r="AL46" s="226">
        <f t="shared" si="19"/>
        <v>522837.73241257615</v>
      </c>
      <c r="AM46" s="226">
        <f t="shared" si="19"/>
        <v>522837.73241257615</v>
      </c>
      <c r="AN46" s="235">
        <v>522837.73241257615</v>
      </c>
      <c r="AO46" s="235">
        <f t="shared" si="20"/>
        <v>522837.73241257615</v>
      </c>
      <c r="AP46" s="235">
        <f t="shared" si="20"/>
        <v>522837.73241257615</v>
      </c>
      <c r="AQ46" s="236">
        <f t="shared" si="20"/>
        <v>522837.73241257615</v>
      </c>
      <c r="AR46" s="236">
        <f t="shared" si="20"/>
        <v>522837.73241257615</v>
      </c>
      <c r="AS46" s="236">
        <f t="shared" si="20"/>
        <v>522837.73241257615</v>
      </c>
      <c r="AT46" s="236">
        <f t="shared" si="20"/>
        <v>522837.73241257615</v>
      </c>
      <c r="AU46" s="236">
        <f t="shared" si="20"/>
        <v>522837.73241257615</v>
      </c>
      <c r="AV46" s="236">
        <f t="shared" si="20"/>
        <v>522837.73241257615</v>
      </c>
      <c r="AW46" s="226">
        <v>522837.73241257615</v>
      </c>
      <c r="AX46" s="226">
        <f t="shared" si="22"/>
        <v>522837.73241257615</v>
      </c>
      <c r="AY46" s="226">
        <f t="shared" si="22"/>
        <v>522837.73241257615</v>
      </c>
      <c r="AZ46" s="226">
        <f t="shared" si="22"/>
        <v>522837.73241257615</v>
      </c>
      <c r="BA46" s="226">
        <f t="shared" si="22"/>
        <v>522837.73241257615</v>
      </c>
      <c r="BB46" s="226">
        <f t="shared" si="22"/>
        <v>522837.73241257615</v>
      </c>
      <c r="BC46" s="224">
        <v>522837.73241257615</v>
      </c>
      <c r="BD46" s="224">
        <f t="shared" si="23"/>
        <v>522837.73241257615</v>
      </c>
      <c r="BE46" s="224">
        <f t="shared" si="23"/>
        <v>522837.73241257615</v>
      </c>
      <c r="BF46" s="224">
        <f t="shared" si="23"/>
        <v>522837.73241257615</v>
      </c>
      <c r="BG46" s="224">
        <f t="shared" si="23"/>
        <v>522837.73241257615</v>
      </c>
      <c r="BH46" s="224">
        <f t="shared" si="23"/>
        <v>522837.73241257615</v>
      </c>
      <c r="BI46" s="224">
        <f t="shared" si="23"/>
        <v>522837.73241257615</v>
      </c>
      <c r="BJ46" s="224">
        <f t="shared" si="23"/>
        <v>522837.73241257615</v>
      </c>
      <c r="BK46" s="224">
        <f t="shared" si="23"/>
        <v>522837.73241257615</v>
      </c>
      <c r="BL46" s="224">
        <f t="shared" si="23"/>
        <v>522837.73241257615</v>
      </c>
      <c r="BM46" s="224">
        <f t="shared" si="23"/>
        <v>522837.73241257615</v>
      </c>
      <c r="BN46" s="224">
        <f t="shared" si="23"/>
        <v>522837.73241257615</v>
      </c>
      <c r="BO46" s="224">
        <f t="shared" si="23"/>
        <v>522837.73241257615</v>
      </c>
    </row>
    <row r="47" spans="1:67">
      <c r="A47" s="223">
        <f t="shared" si="25"/>
        <v>5</v>
      </c>
      <c r="B47" s="151" t="s">
        <v>200</v>
      </c>
      <c r="C47" s="223">
        <v>45</v>
      </c>
      <c r="D47" s="224">
        <v>1060915.640617772</v>
      </c>
      <c r="E47" s="225">
        <f t="shared" si="26"/>
        <v>1060915.640617772</v>
      </c>
      <c r="F47" s="225">
        <f t="shared" si="26"/>
        <v>1060915.640617772</v>
      </c>
      <c r="G47" s="225">
        <f t="shared" si="26"/>
        <v>1060915.640617772</v>
      </c>
      <c r="H47" s="225">
        <f t="shared" si="26"/>
        <v>1060915.640617772</v>
      </c>
      <c r="I47" s="225">
        <f t="shared" si="26"/>
        <v>1060915.640617772</v>
      </c>
      <c r="J47" s="225">
        <f t="shared" si="26"/>
        <v>1060915.640617772</v>
      </c>
      <c r="K47" s="226">
        <v>1060915.640617772</v>
      </c>
      <c r="L47" s="237">
        <f t="shared" si="17"/>
        <v>1060915.640617772</v>
      </c>
      <c r="M47" s="237">
        <f t="shared" si="17"/>
        <v>1060915.640617772</v>
      </c>
      <c r="N47" s="237">
        <f t="shared" si="17"/>
        <v>1060915.640617772</v>
      </c>
      <c r="O47" s="237">
        <f t="shared" si="17"/>
        <v>1060915.640617772</v>
      </c>
      <c r="P47" s="237">
        <f t="shared" si="17"/>
        <v>1060915.640617772</v>
      </c>
      <c r="Q47" s="237">
        <f t="shared" si="17"/>
        <v>1060915.640617772</v>
      </c>
      <c r="R47" s="237">
        <f t="shared" si="17"/>
        <v>1060915.640617772</v>
      </c>
      <c r="S47" s="237">
        <f t="shared" si="17"/>
        <v>1060915.640617772</v>
      </c>
      <c r="T47" s="224">
        <v>1060915.640617772</v>
      </c>
      <c r="U47" s="224">
        <f t="shared" si="21"/>
        <v>1060915.640617772</v>
      </c>
      <c r="V47" s="224">
        <f t="shared" si="21"/>
        <v>1060915.640617772</v>
      </c>
      <c r="W47" s="224">
        <f t="shared" si="21"/>
        <v>1060915.640617772</v>
      </c>
      <c r="X47" s="226">
        <v>1060915.640617772</v>
      </c>
      <c r="Y47" s="226">
        <f t="shared" si="18"/>
        <v>1060915.640617772</v>
      </c>
      <c r="Z47" s="226">
        <f t="shared" si="18"/>
        <v>1060915.640617772</v>
      </c>
      <c r="AA47" s="224">
        <v>1060915.640617772</v>
      </c>
      <c r="AB47" s="224">
        <v>1060915.640617772</v>
      </c>
      <c r="AC47" s="224">
        <v>1060915.640617772</v>
      </c>
      <c r="AD47" s="224">
        <f t="shared" si="8"/>
        <v>1060915.640617772</v>
      </c>
      <c r="AE47" s="224">
        <v>1060915.640617772</v>
      </c>
      <c r="AF47" s="224">
        <v>1060915.640617772</v>
      </c>
      <c r="AG47" s="224">
        <f t="shared" si="9"/>
        <v>1060915.640617772</v>
      </c>
      <c r="AH47" s="226">
        <v>1060915.640617772</v>
      </c>
      <c r="AI47" s="226">
        <f t="shared" si="19"/>
        <v>1060915.640617772</v>
      </c>
      <c r="AJ47" s="226">
        <f t="shared" si="19"/>
        <v>1060915.640617772</v>
      </c>
      <c r="AK47" s="226">
        <f t="shared" si="19"/>
        <v>1060915.640617772</v>
      </c>
      <c r="AL47" s="226">
        <f t="shared" si="19"/>
        <v>1060915.640617772</v>
      </c>
      <c r="AM47" s="226">
        <f t="shared" si="19"/>
        <v>1060915.640617772</v>
      </c>
      <c r="AN47" s="235">
        <v>1060915.640617772</v>
      </c>
      <c r="AO47" s="235">
        <f t="shared" si="20"/>
        <v>1060915.640617772</v>
      </c>
      <c r="AP47" s="235">
        <f t="shared" si="20"/>
        <v>1060915.640617772</v>
      </c>
      <c r="AQ47" s="236">
        <f t="shared" si="20"/>
        <v>1060915.640617772</v>
      </c>
      <c r="AR47" s="236">
        <f t="shared" si="20"/>
        <v>1060915.640617772</v>
      </c>
      <c r="AS47" s="236">
        <f t="shared" si="20"/>
        <v>1060915.640617772</v>
      </c>
      <c r="AT47" s="236">
        <f t="shared" si="20"/>
        <v>1060915.640617772</v>
      </c>
      <c r="AU47" s="236">
        <f t="shared" si="20"/>
        <v>1060915.640617772</v>
      </c>
      <c r="AV47" s="236">
        <f t="shared" si="20"/>
        <v>1060915.640617772</v>
      </c>
      <c r="AW47" s="226">
        <v>1060915.640617772</v>
      </c>
      <c r="AX47" s="226">
        <f t="shared" si="22"/>
        <v>1060915.640617772</v>
      </c>
      <c r="AY47" s="226">
        <f t="shared" si="22"/>
        <v>1060915.640617772</v>
      </c>
      <c r="AZ47" s="226">
        <f t="shared" si="22"/>
        <v>1060915.640617772</v>
      </c>
      <c r="BA47" s="226">
        <f t="shared" si="22"/>
        <v>1060915.640617772</v>
      </c>
      <c r="BB47" s="226">
        <f t="shared" si="22"/>
        <v>1060915.640617772</v>
      </c>
      <c r="BC47" s="224">
        <v>1060915.640617772</v>
      </c>
      <c r="BD47" s="224">
        <f t="shared" si="23"/>
        <v>1060915.640617772</v>
      </c>
      <c r="BE47" s="224">
        <f t="shared" si="23"/>
        <v>1060915.640617772</v>
      </c>
      <c r="BF47" s="224">
        <f t="shared" si="23"/>
        <v>1060915.640617772</v>
      </c>
      <c r="BG47" s="224">
        <f t="shared" si="23"/>
        <v>1060915.640617772</v>
      </c>
      <c r="BH47" s="224">
        <f t="shared" si="23"/>
        <v>1060915.640617772</v>
      </c>
      <c r="BI47" s="224">
        <f t="shared" si="23"/>
        <v>1060915.640617772</v>
      </c>
      <c r="BJ47" s="224">
        <f t="shared" si="23"/>
        <v>1060915.640617772</v>
      </c>
      <c r="BK47" s="224">
        <f t="shared" si="23"/>
        <v>1060915.640617772</v>
      </c>
      <c r="BL47" s="224">
        <f t="shared" si="23"/>
        <v>1060915.640617772</v>
      </c>
      <c r="BM47" s="224">
        <f t="shared" si="23"/>
        <v>1060915.640617772</v>
      </c>
      <c r="BN47" s="224">
        <f t="shared" si="23"/>
        <v>1060915.640617772</v>
      </c>
      <c r="BO47" s="224">
        <f t="shared" si="23"/>
        <v>1060915.640617772</v>
      </c>
    </row>
    <row r="48" spans="1:67">
      <c r="A48" s="223">
        <f t="shared" si="25"/>
        <v>6</v>
      </c>
      <c r="B48" s="151" t="s">
        <v>199</v>
      </c>
      <c r="C48" s="223">
        <v>46</v>
      </c>
      <c r="D48" s="224">
        <v>1060915.640617772</v>
      </c>
      <c r="E48" s="225">
        <f t="shared" si="26"/>
        <v>1060915.640617772</v>
      </c>
      <c r="F48" s="225">
        <f t="shared" si="26"/>
        <v>1060915.640617772</v>
      </c>
      <c r="G48" s="225">
        <f t="shared" si="26"/>
        <v>1060915.640617772</v>
      </c>
      <c r="H48" s="225">
        <f t="shared" si="26"/>
        <v>1060915.640617772</v>
      </c>
      <c r="I48" s="225">
        <f t="shared" si="26"/>
        <v>1060915.640617772</v>
      </c>
      <c r="J48" s="225">
        <f t="shared" si="26"/>
        <v>1060915.640617772</v>
      </c>
      <c r="K48" s="226">
        <v>1060915.640617772</v>
      </c>
      <c r="L48" s="237">
        <f t="shared" ref="L48:S65" si="27">K48</f>
        <v>1060915.640617772</v>
      </c>
      <c r="M48" s="237">
        <f t="shared" si="27"/>
        <v>1060915.640617772</v>
      </c>
      <c r="N48" s="237">
        <f t="shared" si="27"/>
        <v>1060915.640617772</v>
      </c>
      <c r="O48" s="237">
        <f t="shared" si="27"/>
        <v>1060915.640617772</v>
      </c>
      <c r="P48" s="237">
        <f t="shared" si="27"/>
        <v>1060915.640617772</v>
      </c>
      <c r="Q48" s="237">
        <f t="shared" si="27"/>
        <v>1060915.640617772</v>
      </c>
      <c r="R48" s="237">
        <f t="shared" si="27"/>
        <v>1060915.640617772</v>
      </c>
      <c r="S48" s="237">
        <f t="shared" si="27"/>
        <v>1060915.640617772</v>
      </c>
      <c r="T48" s="224">
        <v>1060915.640617772</v>
      </c>
      <c r="U48" s="224">
        <f t="shared" si="21"/>
        <v>1060915.640617772</v>
      </c>
      <c r="V48" s="224">
        <f t="shared" si="21"/>
        <v>1060915.640617772</v>
      </c>
      <c r="W48" s="224">
        <f t="shared" si="21"/>
        <v>1060915.640617772</v>
      </c>
      <c r="X48" s="226">
        <v>1060915.640617772</v>
      </c>
      <c r="Y48" s="226">
        <f t="shared" ref="Y48:Z65" si="28">X48</f>
        <v>1060915.640617772</v>
      </c>
      <c r="Z48" s="226">
        <f t="shared" si="28"/>
        <v>1060915.640617772</v>
      </c>
      <c r="AA48" s="224">
        <v>1060915.640617772</v>
      </c>
      <c r="AB48" s="224">
        <v>1060915.640617772</v>
      </c>
      <c r="AC48" s="224">
        <v>1060915.640617772</v>
      </c>
      <c r="AD48" s="224">
        <f t="shared" si="8"/>
        <v>1060915.640617772</v>
      </c>
      <c r="AE48" s="224">
        <v>1060915.640617772</v>
      </c>
      <c r="AF48" s="224">
        <v>1060915.640617772</v>
      </c>
      <c r="AG48" s="224">
        <f t="shared" si="9"/>
        <v>1060915.640617772</v>
      </c>
      <c r="AH48" s="226">
        <v>1060915.640617772</v>
      </c>
      <c r="AI48" s="226">
        <f t="shared" ref="AI48:AM65" si="29">AH48</f>
        <v>1060915.640617772</v>
      </c>
      <c r="AJ48" s="226">
        <f t="shared" si="29"/>
        <v>1060915.640617772</v>
      </c>
      <c r="AK48" s="226">
        <f t="shared" si="29"/>
        <v>1060915.640617772</v>
      </c>
      <c r="AL48" s="226">
        <f t="shared" si="29"/>
        <v>1060915.640617772</v>
      </c>
      <c r="AM48" s="226">
        <f t="shared" si="29"/>
        <v>1060915.640617772</v>
      </c>
      <c r="AN48" s="235">
        <v>1060915.640617772</v>
      </c>
      <c r="AO48" s="235">
        <f t="shared" ref="AO48:AV65" si="30">AN48</f>
        <v>1060915.640617772</v>
      </c>
      <c r="AP48" s="235">
        <f t="shared" si="30"/>
        <v>1060915.640617772</v>
      </c>
      <c r="AQ48" s="236">
        <f t="shared" si="30"/>
        <v>1060915.640617772</v>
      </c>
      <c r="AR48" s="236">
        <f t="shared" si="30"/>
        <v>1060915.640617772</v>
      </c>
      <c r="AS48" s="236">
        <f t="shared" si="30"/>
        <v>1060915.640617772</v>
      </c>
      <c r="AT48" s="236">
        <f t="shared" si="30"/>
        <v>1060915.640617772</v>
      </c>
      <c r="AU48" s="236">
        <f t="shared" si="30"/>
        <v>1060915.640617772</v>
      </c>
      <c r="AV48" s="236">
        <f t="shared" si="30"/>
        <v>1060915.640617772</v>
      </c>
      <c r="AW48" s="226">
        <v>1060915.640617772</v>
      </c>
      <c r="AX48" s="226">
        <f t="shared" si="22"/>
        <v>1060915.640617772</v>
      </c>
      <c r="AY48" s="226">
        <f t="shared" si="22"/>
        <v>1060915.640617772</v>
      </c>
      <c r="AZ48" s="226">
        <f t="shared" si="22"/>
        <v>1060915.640617772</v>
      </c>
      <c r="BA48" s="226">
        <f t="shared" si="22"/>
        <v>1060915.640617772</v>
      </c>
      <c r="BB48" s="226">
        <f t="shared" si="22"/>
        <v>1060915.640617772</v>
      </c>
      <c r="BC48" s="224">
        <v>1060915.640617772</v>
      </c>
      <c r="BD48" s="224">
        <f t="shared" si="23"/>
        <v>1060915.640617772</v>
      </c>
      <c r="BE48" s="224">
        <f t="shared" si="23"/>
        <v>1060915.640617772</v>
      </c>
      <c r="BF48" s="224">
        <f t="shared" si="23"/>
        <v>1060915.640617772</v>
      </c>
      <c r="BG48" s="224">
        <f t="shared" si="23"/>
        <v>1060915.640617772</v>
      </c>
      <c r="BH48" s="224">
        <f t="shared" si="23"/>
        <v>1060915.640617772</v>
      </c>
      <c r="BI48" s="224">
        <f t="shared" si="23"/>
        <v>1060915.640617772</v>
      </c>
      <c r="BJ48" s="224">
        <f t="shared" si="23"/>
        <v>1060915.640617772</v>
      </c>
      <c r="BK48" s="224">
        <f t="shared" si="23"/>
        <v>1060915.640617772</v>
      </c>
      <c r="BL48" s="224">
        <f t="shared" si="23"/>
        <v>1060915.640617772</v>
      </c>
      <c r="BM48" s="224">
        <f t="shared" si="23"/>
        <v>1060915.640617772</v>
      </c>
      <c r="BN48" s="224">
        <f t="shared" si="23"/>
        <v>1060915.640617772</v>
      </c>
      <c r="BO48" s="224">
        <f t="shared" si="23"/>
        <v>1060915.640617772</v>
      </c>
    </row>
    <row r="49" spans="1:67">
      <c r="A49" s="223">
        <f t="shared" si="25"/>
        <v>7</v>
      </c>
      <c r="B49" s="151" t="s">
        <v>193</v>
      </c>
      <c r="C49" s="223">
        <v>47</v>
      </c>
      <c r="D49" s="224">
        <v>8574860.0893754829</v>
      </c>
      <c r="E49" s="225">
        <f t="shared" si="26"/>
        <v>8574860.0893754829</v>
      </c>
      <c r="F49" s="225">
        <f t="shared" si="26"/>
        <v>8574860.0893754829</v>
      </c>
      <c r="G49" s="225">
        <f t="shared" si="26"/>
        <v>8574860.0893754829</v>
      </c>
      <c r="H49" s="225">
        <f t="shared" si="26"/>
        <v>8574860.0893754829</v>
      </c>
      <c r="I49" s="225">
        <f t="shared" si="26"/>
        <v>8574860.0893754829</v>
      </c>
      <c r="J49" s="225">
        <f t="shared" si="26"/>
        <v>8574860.0893754829</v>
      </c>
      <c r="K49" s="237">
        <v>8506692.8433202039</v>
      </c>
      <c r="L49" s="237">
        <f t="shared" si="27"/>
        <v>8506692.8433202039</v>
      </c>
      <c r="M49" s="237">
        <f t="shared" si="27"/>
        <v>8506692.8433202039</v>
      </c>
      <c r="N49" s="237">
        <f t="shared" si="27"/>
        <v>8506692.8433202039</v>
      </c>
      <c r="O49" s="237">
        <f t="shared" si="27"/>
        <v>8506692.8433202039</v>
      </c>
      <c r="P49" s="237">
        <f t="shared" si="27"/>
        <v>8506692.8433202039</v>
      </c>
      <c r="Q49" s="237">
        <f t="shared" si="27"/>
        <v>8506692.8433202039</v>
      </c>
      <c r="R49" s="237">
        <f t="shared" si="27"/>
        <v>8506692.8433202039</v>
      </c>
      <c r="S49" s="237">
        <f t="shared" si="27"/>
        <v>8506692.8433202039</v>
      </c>
      <c r="T49" s="224">
        <v>8506692.8433202039</v>
      </c>
      <c r="U49" s="224">
        <f t="shared" ref="U49:W66" si="31">T49</f>
        <v>8506692.8433202039</v>
      </c>
      <c r="V49" s="224">
        <f t="shared" si="31"/>
        <v>8506692.8433202039</v>
      </c>
      <c r="W49" s="224">
        <f t="shared" si="31"/>
        <v>8506692.8433202039</v>
      </c>
      <c r="X49" s="226">
        <v>8527930.7685298137</v>
      </c>
      <c r="Y49" s="226">
        <f t="shared" si="28"/>
        <v>8527930.7685298137</v>
      </c>
      <c r="Z49" s="226">
        <f t="shared" si="28"/>
        <v>8527930.7685298137</v>
      </c>
      <c r="AA49" s="224">
        <v>8309881.9236936672</v>
      </c>
      <c r="AB49" s="224">
        <v>8435423.8112306967</v>
      </c>
      <c r="AC49" s="224">
        <v>8135472.9121489935</v>
      </c>
      <c r="AD49" s="224">
        <f t="shared" si="8"/>
        <v>8135472.9121489935</v>
      </c>
      <c r="AE49" s="226">
        <v>8397083.2758505028</v>
      </c>
      <c r="AF49" s="224">
        <v>8412631.4385180566</v>
      </c>
      <c r="AG49" s="224">
        <f t="shared" si="9"/>
        <v>8412631.4385180566</v>
      </c>
      <c r="AH49" s="226">
        <v>8575123.3149667457</v>
      </c>
      <c r="AI49" s="226">
        <f t="shared" si="29"/>
        <v>8575123.3149667457</v>
      </c>
      <c r="AJ49" s="226">
        <f t="shared" si="29"/>
        <v>8575123.3149667457</v>
      </c>
      <c r="AK49" s="226">
        <f t="shared" si="29"/>
        <v>8575123.3149667457</v>
      </c>
      <c r="AL49" s="226">
        <f t="shared" si="29"/>
        <v>8575123.3149667457</v>
      </c>
      <c r="AM49" s="226">
        <f t="shared" si="29"/>
        <v>8575123.3149667457</v>
      </c>
      <c r="AN49" s="235">
        <v>8663258.8211442288</v>
      </c>
      <c r="AO49" s="235">
        <f t="shared" si="30"/>
        <v>8663258.8211442288</v>
      </c>
      <c r="AP49" s="235">
        <f t="shared" si="30"/>
        <v>8663258.8211442288</v>
      </c>
      <c r="AQ49" s="236">
        <f t="shared" si="30"/>
        <v>8663258.8211442288</v>
      </c>
      <c r="AR49" s="236">
        <f t="shared" si="30"/>
        <v>8663258.8211442288</v>
      </c>
      <c r="AS49" s="236">
        <f t="shared" si="30"/>
        <v>8663258.8211442288</v>
      </c>
      <c r="AT49" s="236">
        <f t="shared" si="30"/>
        <v>8663258.8211442288</v>
      </c>
      <c r="AU49" s="236">
        <f t="shared" si="30"/>
        <v>8663258.8211442288</v>
      </c>
      <c r="AV49" s="236">
        <f t="shared" si="30"/>
        <v>8663258.8211442288</v>
      </c>
      <c r="AW49" s="226">
        <v>8486618.4784409367</v>
      </c>
      <c r="AX49" s="226">
        <f t="shared" ref="AX49:BB66" si="32">AW49</f>
        <v>8486618.4784409367</v>
      </c>
      <c r="AY49" s="226">
        <f t="shared" si="32"/>
        <v>8486618.4784409367</v>
      </c>
      <c r="AZ49" s="226">
        <f t="shared" si="32"/>
        <v>8486618.4784409367</v>
      </c>
      <c r="BA49" s="226">
        <f t="shared" si="32"/>
        <v>8486618.4784409367</v>
      </c>
      <c r="BB49" s="226">
        <f t="shared" si="32"/>
        <v>8486618.4784409367</v>
      </c>
      <c r="BC49" s="224">
        <v>8957843.0185115561</v>
      </c>
      <c r="BD49" s="224">
        <f t="shared" ref="BD49:BO66" si="33">BC49</f>
        <v>8957843.0185115561</v>
      </c>
      <c r="BE49" s="224">
        <f t="shared" si="33"/>
        <v>8957843.0185115561</v>
      </c>
      <c r="BF49" s="224">
        <f t="shared" si="33"/>
        <v>8957843.0185115561</v>
      </c>
      <c r="BG49" s="224">
        <f t="shared" si="33"/>
        <v>8957843.0185115561</v>
      </c>
      <c r="BH49" s="224">
        <f t="shared" si="33"/>
        <v>8957843.0185115561</v>
      </c>
      <c r="BI49" s="224">
        <f t="shared" si="33"/>
        <v>8957843.0185115561</v>
      </c>
      <c r="BJ49" s="224">
        <f t="shared" si="33"/>
        <v>8957843.0185115561</v>
      </c>
      <c r="BK49" s="224">
        <f t="shared" si="33"/>
        <v>8957843.0185115561</v>
      </c>
      <c r="BL49" s="224">
        <f t="shared" si="33"/>
        <v>8957843.0185115561</v>
      </c>
      <c r="BM49" s="224">
        <f t="shared" si="33"/>
        <v>8957843.0185115561</v>
      </c>
      <c r="BN49" s="224">
        <f t="shared" si="33"/>
        <v>8957843.0185115561</v>
      </c>
      <c r="BO49" s="224">
        <f t="shared" si="33"/>
        <v>8957843.0185115561</v>
      </c>
    </row>
    <row r="50" spans="1:67">
      <c r="A50" s="223">
        <f t="shared" si="25"/>
        <v>8</v>
      </c>
      <c r="B50" s="151" t="s">
        <v>192</v>
      </c>
      <c r="C50" s="223">
        <v>48</v>
      </c>
      <c r="D50" s="224">
        <v>13582472.759147102</v>
      </c>
      <c r="E50" s="225">
        <f t="shared" si="26"/>
        <v>13582472.759147102</v>
      </c>
      <c r="F50" s="225">
        <f t="shared" si="26"/>
        <v>13582472.759147102</v>
      </c>
      <c r="G50" s="225">
        <f t="shared" si="26"/>
        <v>13582472.759147102</v>
      </c>
      <c r="H50" s="225">
        <f t="shared" si="26"/>
        <v>13582472.759147102</v>
      </c>
      <c r="I50" s="225">
        <f t="shared" si="26"/>
        <v>13582472.759147102</v>
      </c>
      <c r="J50" s="225">
        <f t="shared" si="26"/>
        <v>13582472.759147102</v>
      </c>
      <c r="K50" s="237">
        <v>13440171.212271865</v>
      </c>
      <c r="L50" s="237">
        <f t="shared" si="27"/>
        <v>13440171.212271865</v>
      </c>
      <c r="M50" s="237">
        <f t="shared" si="27"/>
        <v>13440171.212271865</v>
      </c>
      <c r="N50" s="237">
        <f t="shared" si="27"/>
        <v>13440171.212271865</v>
      </c>
      <c r="O50" s="237">
        <f t="shared" si="27"/>
        <v>13440171.212271865</v>
      </c>
      <c r="P50" s="237">
        <f t="shared" si="27"/>
        <v>13440171.212271865</v>
      </c>
      <c r="Q50" s="237">
        <f t="shared" si="27"/>
        <v>13440171.212271865</v>
      </c>
      <c r="R50" s="237">
        <f t="shared" si="27"/>
        <v>13440171.212271865</v>
      </c>
      <c r="S50" s="237">
        <f t="shared" si="27"/>
        <v>13440171.212271865</v>
      </c>
      <c r="T50" s="224">
        <v>13440171.212271865</v>
      </c>
      <c r="U50" s="224">
        <f t="shared" si="31"/>
        <v>13440171.212271865</v>
      </c>
      <c r="V50" s="224">
        <f t="shared" si="31"/>
        <v>13440171.212271865</v>
      </c>
      <c r="W50" s="224">
        <f t="shared" si="31"/>
        <v>13440171.212271865</v>
      </c>
      <c r="X50" s="226">
        <v>13466741.008695723</v>
      </c>
      <c r="Y50" s="226">
        <f t="shared" si="28"/>
        <v>13466741.008695723</v>
      </c>
      <c r="Z50" s="226">
        <f t="shared" si="28"/>
        <v>13466741.008695723</v>
      </c>
      <c r="AA50" s="224">
        <v>13039495.669306608</v>
      </c>
      <c r="AB50" s="224">
        <v>13301206.555327026</v>
      </c>
      <c r="AC50" s="224">
        <v>12660456.633089105</v>
      </c>
      <c r="AD50" s="224">
        <f t="shared" si="8"/>
        <v>12660456.633089105</v>
      </c>
      <c r="AE50" s="226">
        <v>13199766.935690489</v>
      </c>
      <c r="AF50" s="224">
        <v>13248408.064196618</v>
      </c>
      <c r="AG50" s="224">
        <f t="shared" si="9"/>
        <v>13248408.064196618</v>
      </c>
      <c r="AH50" s="226">
        <v>13563306.850080587</v>
      </c>
      <c r="AI50" s="226">
        <f t="shared" si="29"/>
        <v>13563306.850080587</v>
      </c>
      <c r="AJ50" s="226">
        <f t="shared" si="29"/>
        <v>13563306.850080587</v>
      </c>
      <c r="AK50" s="226">
        <f t="shared" si="29"/>
        <v>13563306.850080587</v>
      </c>
      <c r="AL50" s="226">
        <f t="shared" si="29"/>
        <v>13563306.850080587</v>
      </c>
      <c r="AM50" s="226">
        <f t="shared" si="29"/>
        <v>13563306.850080587</v>
      </c>
      <c r="AN50" s="235">
        <v>13750156.700544748</v>
      </c>
      <c r="AO50" s="235">
        <f t="shared" si="30"/>
        <v>13750156.700544748</v>
      </c>
      <c r="AP50" s="235">
        <f t="shared" si="30"/>
        <v>13750156.700544748</v>
      </c>
      <c r="AQ50" s="236">
        <f t="shared" si="30"/>
        <v>13750156.700544748</v>
      </c>
      <c r="AR50" s="236">
        <f t="shared" si="30"/>
        <v>13750156.700544748</v>
      </c>
      <c r="AS50" s="236">
        <f t="shared" si="30"/>
        <v>13750156.700544748</v>
      </c>
      <c r="AT50" s="236">
        <f t="shared" si="30"/>
        <v>13750156.700544748</v>
      </c>
      <c r="AU50" s="236">
        <f t="shared" si="30"/>
        <v>13750156.700544748</v>
      </c>
      <c r="AV50" s="236">
        <f t="shared" si="30"/>
        <v>13750156.700544748</v>
      </c>
      <c r="AW50" s="226">
        <v>13358711.940987302</v>
      </c>
      <c r="AX50" s="226">
        <f t="shared" si="32"/>
        <v>13358711.940987302</v>
      </c>
      <c r="AY50" s="226">
        <f t="shared" si="32"/>
        <v>13358711.940987302</v>
      </c>
      <c r="AZ50" s="226">
        <f t="shared" si="32"/>
        <v>13358711.940987302</v>
      </c>
      <c r="BA50" s="226">
        <f t="shared" si="32"/>
        <v>13358711.940987302</v>
      </c>
      <c r="BB50" s="226">
        <f t="shared" si="32"/>
        <v>13358711.940987302</v>
      </c>
      <c r="BC50" s="224">
        <v>14347947.168253735</v>
      </c>
      <c r="BD50" s="224">
        <f t="shared" si="33"/>
        <v>14347947.168253735</v>
      </c>
      <c r="BE50" s="224">
        <f t="shared" si="33"/>
        <v>14347947.168253735</v>
      </c>
      <c r="BF50" s="224">
        <f t="shared" si="33"/>
        <v>14347947.168253735</v>
      </c>
      <c r="BG50" s="224">
        <f t="shared" si="33"/>
        <v>14347947.168253735</v>
      </c>
      <c r="BH50" s="224">
        <f t="shared" si="33"/>
        <v>14347947.168253735</v>
      </c>
      <c r="BI50" s="224">
        <f t="shared" si="33"/>
        <v>14347947.168253735</v>
      </c>
      <c r="BJ50" s="224">
        <f t="shared" si="33"/>
        <v>14347947.168253735</v>
      </c>
      <c r="BK50" s="224">
        <f t="shared" si="33"/>
        <v>14347947.168253735</v>
      </c>
      <c r="BL50" s="224">
        <f t="shared" si="33"/>
        <v>14347947.168253735</v>
      </c>
      <c r="BM50" s="224">
        <f t="shared" si="33"/>
        <v>14347947.168253735</v>
      </c>
      <c r="BN50" s="224">
        <f t="shared" si="33"/>
        <v>14347947.168253735</v>
      </c>
      <c r="BO50" s="224">
        <f t="shared" si="33"/>
        <v>14347947.168253735</v>
      </c>
    </row>
    <row r="51" spans="1:67">
      <c r="A51" s="229" t="s">
        <v>31</v>
      </c>
      <c r="B51" s="230" t="s">
        <v>151</v>
      </c>
      <c r="C51" s="223">
        <v>49</v>
      </c>
      <c r="D51" s="224"/>
      <c r="E51" s="225">
        <f t="shared" si="26"/>
        <v>0</v>
      </c>
      <c r="F51" s="225">
        <f t="shared" si="26"/>
        <v>0</v>
      </c>
      <c r="G51" s="225">
        <f t="shared" si="26"/>
        <v>0</v>
      </c>
      <c r="H51" s="225">
        <f t="shared" si="26"/>
        <v>0</v>
      </c>
      <c r="I51" s="225">
        <f t="shared" si="26"/>
        <v>0</v>
      </c>
      <c r="J51" s="225">
        <f t="shared" si="26"/>
        <v>0</v>
      </c>
      <c r="K51" s="237"/>
      <c r="L51" s="237">
        <f t="shared" si="27"/>
        <v>0</v>
      </c>
      <c r="M51" s="237">
        <f t="shared" si="27"/>
        <v>0</v>
      </c>
      <c r="N51" s="237">
        <f t="shared" si="27"/>
        <v>0</v>
      </c>
      <c r="O51" s="237">
        <f t="shared" si="27"/>
        <v>0</v>
      </c>
      <c r="P51" s="237">
        <f t="shared" si="27"/>
        <v>0</v>
      </c>
      <c r="Q51" s="237">
        <f t="shared" si="27"/>
        <v>0</v>
      </c>
      <c r="R51" s="237">
        <f t="shared" si="27"/>
        <v>0</v>
      </c>
      <c r="S51" s="237">
        <f t="shared" si="27"/>
        <v>0</v>
      </c>
      <c r="T51" s="224"/>
      <c r="U51" s="224">
        <f t="shared" si="31"/>
        <v>0</v>
      </c>
      <c r="V51" s="224">
        <f t="shared" si="31"/>
        <v>0</v>
      </c>
      <c r="W51" s="224">
        <f t="shared" si="31"/>
        <v>0</v>
      </c>
      <c r="X51" s="226"/>
      <c r="Y51" s="226">
        <f t="shared" si="28"/>
        <v>0</v>
      </c>
      <c r="Z51" s="226">
        <f t="shared" si="28"/>
        <v>0</v>
      </c>
      <c r="AA51" s="224"/>
      <c r="AB51" s="224"/>
      <c r="AC51" s="224"/>
      <c r="AD51" s="224">
        <f t="shared" si="8"/>
        <v>0</v>
      </c>
      <c r="AE51" s="226"/>
      <c r="AF51" s="224"/>
      <c r="AG51" s="224">
        <f t="shared" si="9"/>
        <v>0</v>
      </c>
      <c r="AH51" s="226"/>
      <c r="AI51" s="226">
        <f t="shared" si="29"/>
        <v>0</v>
      </c>
      <c r="AJ51" s="226">
        <f t="shared" si="29"/>
        <v>0</v>
      </c>
      <c r="AK51" s="226">
        <f t="shared" si="29"/>
        <v>0</v>
      </c>
      <c r="AL51" s="226">
        <f t="shared" si="29"/>
        <v>0</v>
      </c>
      <c r="AM51" s="226">
        <f t="shared" si="29"/>
        <v>0</v>
      </c>
      <c r="AN51" s="235"/>
      <c r="AO51" s="235">
        <f t="shared" si="30"/>
        <v>0</v>
      </c>
      <c r="AP51" s="235">
        <f t="shared" si="30"/>
        <v>0</v>
      </c>
      <c r="AQ51" s="236">
        <f t="shared" si="30"/>
        <v>0</v>
      </c>
      <c r="AR51" s="236">
        <f t="shared" si="30"/>
        <v>0</v>
      </c>
      <c r="AS51" s="236">
        <f t="shared" si="30"/>
        <v>0</v>
      </c>
      <c r="AT51" s="236">
        <f t="shared" si="30"/>
        <v>0</v>
      </c>
      <c r="AU51" s="236">
        <f t="shared" si="30"/>
        <v>0</v>
      </c>
      <c r="AV51" s="236">
        <f t="shared" si="30"/>
        <v>0</v>
      </c>
      <c r="AW51" s="226"/>
      <c r="AX51" s="226">
        <f t="shared" si="32"/>
        <v>0</v>
      </c>
      <c r="AY51" s="226">
        <f t="shared" si="32"/>
        <v>0</v>
      </c>
      <c r="AZ51" s="226">
        <f t="shared" si="32"/>
        <v>0</v>
      </c>
      <c r="BA51" s="226">
        <f t="shared" si="32"/>
        <v>0</v>
      </c>
      <c r="BB51" s="226">
        <f t="shared" si="32"/>
        <v>0</v>
      </c>
      <c r="BC51" s="224"/>
      <c r="BD51" s="224">
        <f t="shared" si="33"/>
        <v>0</v>
      </c>
      <c r="BE51" s="224">
        <f t="shared" si="33"/>
        <v>0</v>
      </c>
      <c r="BF51" s="224">
        <f t="shared" si="33"/>
        <v>0</v>
      </c>
      <c r="BG51" s="224">
        <f t="shared" si="33"/>
        <v>0</v>
      </c>
      <c r="BH51" s="224">
        <f t="shared" si="33"/>
        <v>0</v>
      </c>
      <c r="BI51" s="224">
        <f t="shared" si="33"/>
        <v>0</v>
      </c>
      <c r="BJ51" s="224">
        <f t="shared" si="33"/>
        <v>0</v>
      </c>
      <c r="BK51" s="224">
        <f t="shared" si="33"/>
        <v>0</v>
      </c>
      <c r="BL51" s="224">
        <f t="shared" si="33"/>
        <v>0</v>
      </c>
      <c r="BM51" s="224">
        <f t="shared" si="33"/>
        <v>0</v>
      </c>
      <c r="BN51" s="224">
        <f t="shared" si="33"/>
        <v>0</v>
      </c>
      <c r="BO51" s="224">
        <f t="shared" si="33"/>
        <v>0</v>
      </c>
    </row>
    <row r="52" spans="1:67">
      <c r="A52" s="223">
        <v>1</v>
      </c>
      <c r="B52" s="151" t="s">
        <v>317</v>
      </c>
      <c r="C52" s="223">
        <v>50</v>
      </c>
      <c r="D52" s="224"/>
      <c r="E52" s="225">
        <f t="shared" si="26"/>
        <v>0</v>
      </c>
      <c r="F52" s="225">
        <f t="shared" si="26"/>
        <v>0</v>
      </c>
      <c r="G52" s="225">
        <f t="shared" si="26"/>
        <v>0</v>
      </c>
      <c r="H52" s="225">
        <f t="shared" si="26"/>
        <v>0</v>
      </c>
      <c r="I52" s="225">
        <f t="shared" si="26"/>
        <v>0</v>
      </c>
      <c r="J52" s="225">
        <f t="shared" si="26"/>
        <v>0</v>
      </c>
      <c r="K52" s="237"/>
      <c r="L52" s="237">
        <f t="shared" si="27"/>
        <v>0</v>
      </c>
      <c r="M52" s="237">
        <f t="shared" si="27"/>
        <v>0</v>
      </c>
      <c r="N52" s="237">
        <f t="shared" si="27"/>
        <v>0</v>
      </c>
      <c r="O52" s="237">
        <f t="shared" si="27"/>
        <v>0</v>
      </c>
      <c r="P52" s="237">
        <f t="shared" si="27"/>
        <v>0</v>
      </c>
      <c r="Q52" s="237">
        <f t="shared" si="27"/>
        <v>0</v>
      </c>
      <c r="R52" s="237">
        <f t="shared" si="27"/>
        <v>0</v>
      </c>
      <c r="S52" s="237">
        <f t="shared" si="27"/>
        <v>0</v>
      </c>
      <c r="T52" s="224"/>
      <c r="U52" s="224">
        <f t="shared" si="31"/>
        <v>0</v>
      </c>
      <c r="V52" s="224">
        <f t="shared" si="31"/>
        <v>0</v>
      </c>
      <c r="W52" s="224">
        <f t="shared" si="31"/>
        <v>0</v>
      </c>
      <c r="X52" s="226"/>
      <c r="Y52" s="226">
        <f t="shared" si="28"/>
        <v>0</v>
      </c>
      <c r="Z52" s="226">
        <f t="shared" si="28"/>
        <v>0</v>
      </c>
      <c r="AA52" s="224"/>
      <c r="AB52" s="224"/>
      <c r="AC52" s="224"/>
      <c r="AD52" s="224">
        <f t="shared" si="8"/>
        <v>0</v>
      </c>
      <c r="AE52" s="226"/>
      <c r="AF52" s="224"/>
      <c r="AG52" s="224">
        <f t="shared" si="9"/>
        <v>0</v>
      </c>
      <c r="AH52" s="226"/>
      <c r="AI52" s="226">
        <f t="shared" si="29"/>
        <v>0</v>
      </c>
      <c r="AJ52" s="226">
        <f t="shared" si="29"/>
        <v>0</v>
      </c>
      <c r="AK52" s="226">
        <f t="shared" si="29"/>
        <v>0</v>
      </c>
      <c r="AL52" s="226">
        <f t="shared" si="29"/>
        <v>0</v>
      </c>
      <c r="AM52" s="226">
        <f t="shared" si="29"/>
        <v>0</v>
      </c>
      <c r="AN52" s="235"/>
      <c r="AO52" s="235">
        <f t="shared" si="30"/>
        <v>0</v>
      </c>
      <c r="AP52" s="235">
        <f t="shared" si="30"/>
        <v>0</v>
      </c>
      <c r="AQ52" s="236">
        <f t="shared" si="30"/>
        <v>0</v>
      </c>
      <c r="AR52" s="236">
        <f t="shared" si="30"/>
        <v>0</v>
      </c>
      <c r="AS52" s="236">
        <f t="shared" si="30"/>
        <v>0</v>
      </c>
      <c r="AT52" s="236">
        <f t="shared" si="30"/>
        <v>0</v>
      </c>
      <c r="AU52" s="236">
        <f t="shared" si="30"/>
        <v>0</v>
      </c>
      <c r="AV52" s="236">
        <f t="shared" si="30"/>
        <v>0</v>
      </c>
      <c r="AW52" s="226"/>
      <c r="AX52" s="226">
        <f t="shared" si="32"/>
        <v>0</v>
      </c>
      <c r="AY52" s="226">
        <f t="shared" si="32"/>
        <v>0</v>
      </c>
      <c r="AZ52" s="226">
        <f t="shared" si="32"/>
        <v>0</v>
      </c>
      <c r="BA52" s="226">
        <f t="shared" si="32"/>
        <v>0</v>
      </c>
      <c r="BB52" s="226">
        <f t="shared" si="32"/>
        <v>0</v>
      </c>
      <c r="BC52" s="224"/>
      <c r="BD52" s="224">
        <f t="shared" si="33"/>
        <v>0</v>
      </c>
      <c r="BE52" s="224">
        <f t="shared" si="33"/>
        <v>0</v>
      </c>
      <c r="BF52" s="224">
        <f t="shared" si="33"/>
        <v>0</v>
      </c>
      <c r="BG52" s="224">
        <f t="shared" si="33"/>
        <v>0</v>
      </c>
      <c r="BH52" s="224">
        <f t="shared" si="33"/>
        <v>0</v>
      </c>
      <c r="BI52" s="224">
        <f t="shared" si="33"/>
        <v>0</v>
      </c>
      <c r="BJ52" s="224">
        <f t="shared" si="33"/>
        <v>0</v>
      </c>
      <c r="BK52" s="224">
        <f t="shared" si="33"/>
        <v>0</v>
      </c>
      <c r="BL52" s="224">
        <f t="shared" si="33"/>
        <v>0</v>
      </c>
      <c r="BM52" s="224">
        <f t="shared" si="33"/>
        <v>0</v>
      </c>
      <c r="BN52" s="224">
        <f t="shared" si="33"/>
        <v>0</v>
      </c>
      <c r="BO52" s="224">
        <f t="shared" si="33"/>
        <v>0</v>
      </c>
    </row>
    <row r="53" spans="1:67">
      <c r="A53" s="223">
        <f>A52+1</f>
        <v>2</v>
      </c>
      <c r="B53" s="151" t="s">
        <v>318</v>
      </c>
      <c r="C53" s="223">
        <v>51</v>
      </c>
      <c r="D53" s="224"/>
      <c r="E53" s="225">
        <f t="shared" si="26"/>
        <v>0</v>
      </c>
      <c r="F53" s="225">
        <f t="shared" si="26"/>
        <v>0</v>
      </c>
      <c r="G53" s="225">
        <f t="shared" si="26"/>
        <v>0</v>
      </c>
      <c r="H53" s="225">
        <f t="shared" si="26"/>
        <v>0</v>
      </c>
      <c r="I53" s="225">
        <f t="shared" si="26"/>
        <v>0</v>
      </c>
      <c r="J53" s="225">
        <f t="shared" si="26"/>
        <v>0</v>
      </c>
      <c r="K53" s="237"/>
      <c r="L53" s="237">
        <f t="shared" si="27"/>
        <v>0</v>
      </c>
      <c r="M53" s="237">
        <f t="shared" si="27"/>
        <v>0</v>
      </c>
      <c r="N53" s="237">
        <f t="shared" si="27"/>
        <v>0</v>
      </c>
      <c r="O53" s="237">
        <f t="shared" si="27"/>
        <v>0</v>
      </c>
      <c r="P53" s="237">
        <f t="shared" si="27"/>
        <v>0</v>
      </c>
      <c r="Q53" s="237">
        <f t="shared" si="27"/>
        <v>0</v>
      </c>
      <c r="R53" s="237">
        <f t="shared" si="27"/>
        <v>0</v>
      </c>
      <c r="S53" s="237">
        <f t="shared" si="27"/>
        <v>0</v>
      </c>
      <c r="T53" s="224"/>
      <c r="U53" s="224">
        <f t="shared" si="31"/>
        <v>0</v>
      </c>
      <c r="V53" s="224">
        <f t="shared" si="31"/>
        <v>0</v>
      </c>
      <c r="W53" s="224">
        <f t="shared" si="31"/>
        <v>0</v>
      </c>
      <c r="X53" s="226"/>
      <c r="Y53" s="226">
        <f t="shared" si="28"/>
        <v>0</v>
      </c>
      <c r="Z53" s="226">
        <f t="shared" si="28"/>
        <v>0</v>
      </c>
      <c r="AA53" s="224"/>
      <c r="AB53" s="224"/>
      <c r="AC53" s="224"/>
      <c r="AD53" s="224">
        <f t="shared" si="8"/>
        <v>0</v>
      </c>
      <c r="AE53" s="226"/>
      <c r="AF53" s="224"/>
      <c r="AG53" s="224">
        <f t="shared" si="9"/>
        <v>0</v>
      </c>
      <c r="AH53" s="226"/>
      <c r="AI53" s="226">
        <f t="shared" si="29"/>
        <v>0</v>
      </c>
      <c r="AJ53" s="226">
        <f t="shared" si="29"/>
        <v>0</v>
      </c>
      <c r="AK53" s="226">
        <f t="shared" si="29"/>
        <v>0</v>
      </c>
      <c r="AL53" s="226">
        <f t="shared" si="29"/>
        <v>0</v>
      </c>
      <c r="AM53" s="226">
        <f t="shared" si="29"/>
        <v>0</v>
      </c>
      <c r="AN53" s="235"/>
      <c r="AO53" s="235">
        <f t="shared" si="30"/>
        <v>0</v>
      </c>
      <c r="AP53" s="235">
        <f t="shared" si="30"/>
        <v>0</v>
      </c>
      <c r="AQ53" s="236">
        <f t="shared" si="30"/>
        <v>0</v>
      </c>
      <c r="AR53" s="236">
        <f t="shared" si="30"/>
        <v>0</v>
      </c>
      <c r="AS53" s="236">
        <f t="shared" si="30"/>
        <v>0</v>
      </c>
      <c r="AT53" s="236">
        <f t="shared" si="30"/>
        <v>0</v>
      </c>
      <c r="AU53" s="236">
        <f t="shared" si="30"/>
        <v>0</v>
      </c>
      <c r="AV53" s="236">
        <f t="shared" si="30"/>
        <v>0</v>
      </c>
      <c r="AW53" s="226"/>
      <c r="AX53" s="226">
        <f t="shared" si="32"/>
        <v>0</v>
      </c>
      <c r="AY53" s="226">
        <f t="shared" si="32"/>
        <v>0</v>
      </c>
      <c r="AZ53" s="226">
        <f t="shared" si="32"/>
        <v>0</v>
      </c>
      <c r="BA53" s="226">
        <f t="shared" si="32"/>
        <v>0</v>
      </c>
      <c r="BB53" s="226">
        <f t="shared" si="32"/>
        <v>0</v>
      </c>
      <c r="BC53" s="224"/>
      <c r="BD53" s="224">
        <f t="shared" si="33"/>
        <v>0</v>
      </c>
      <c r="BE53" s="224">
        <f t="shared" si="33"/>
        <v>0</v>
      </c>
      <c r="BF53" s="224">
        <f t="shared" si="33"/>
        <v>0</v>
      </c>
      <c r="BG53" s="224">
        <f t="shared" si="33"/>
        <v>0</v>
      </c>
      <c r="BH53" s="224">
        <f t="shared" si="33"/>
        <v>0</v>
      </c>
      <c r="BI53" s="224">
        <f t="shared" si="33"/>
        <v>0</v>
      </c>
      <c r="BJ53" s="224">
        <f t="shared" si="33"/>
        <v>0</v>
      </c>
      <c r="BK53" s="224">
        <f t="shared" si="33"/>
        <v>0</v>
      </c>
      <c r="BL53" s="224">
        <f t="shared" si="33"/>
        <v>0</v>
      </c>
      <c r="BM53" s="224">
        <f t="shared" si="33"/>
        <v>0</v>
      </c>
      <c r="BN53" s="224">
        <f t="shared" si="33"/>
        <v>0</v>
      </c>
      <c r="BO53" s="224">
        <f t="shared" si="33"/>
        <v>0</v>
      </c>
    </row>
    <row r="54" spans="1:67">
      <c r="A54" s="223">
        <v>2</v>
      </c>
      <c r="B54" s="151" t="s">
        <v>1557</v>
      </c>
      <c r="C54" s="223">
        <v>52</v>
      </c>
      <c r="D54" s="258">
        <v>158348527</v>
      </c>
      <c r="E54" s="259">
        <v>158348527</v>
      </c>
      <c r="F54" s="259">
        <v>158348527</v>
      </c>
      <c r="G54" s="259">
        <v>158348527</v>
      </c>
      <c r="H54" s="259">
        <v>158348527</v>
      </c>
      <c r="I54" s="259">
        <v>158348527</v>
      </c>
      <c r="J54" s="259">
        <v>158348527</v>
      </c>
      <c r="K54" s="260">
        <v>158348527</v>
      </c>
      <c r="L54" s="260">
        <v>158348527</v>
      </c>
      <c r="M54" s="260">
        <v>158348527</v>
      </c>
      <c r="N54" s="260">
        <v>158348527</v>
      </c>
      <c r="O54" s="260">
        <v>158348527</v>
      </c>
      <c r="P54" s="260">
        <v>158348527</v>
      </c>
      <c r="Q54" s="260">
        <v>158348527</v>
      </c>
      <c r="R54" s="260">
        <v>158348527</v>
      </c>
      <c r="S54" s="260">
        <v>158348527</v>
      </c>
      <c r="T54" s="258">
        <v>158348527</v>
      </c>
      <c r="U54" s="258">
        <v>158348527</v>
      </c>
      <c r="V54" s="258">
        <v>158348527</v>
      </c>
      <c r="W54" s="258">
        <v>158348527</v>
      </c>
      <c r="X54" s="261">
        <v>158348527</v>
      </c>
      <c r="Y54" s="261">
        <v>158348527</v>
      </c>
      <c r="Z54" s="261">
        <v>158348527</v>
      </c>
      <c r="AA54" s="258">
        <v>158348527</v>
      </c>
      <c r="AB54" s="258">
        <v>158348527</v>
      </c>
      <c r="AC54" s="258">
        <v>158348527</v>
      </c>
      <c r="AD54" s="258">
        <v>158348527</v>
      </c>
      <c r="AE54" s="261">
        <v>158348527</v>
      </c>
      <c r="AF54" s="258">
        <v>158348527</v>
      </c>
      <c r="AG54" s="258">
        <v>158348527</v>
      </c>
      <c r="AH54" s="261">
        <v>158348527</v>
      </c>
      <c r="AI54" s="261">
        <v>158348527</v>
      </c>
      <c r="AJ54" s="261">
        <v>158348527</v>
      </c>
      <c r="AK54" s="261">
        <v>158348527</v>
      </c>
      <c r="AL54" s="261">
        <v>158348527</v>
      </c>
      <c r="AM54" s="261">
        <v>158348527</v>
      </c>
      <c r="AN54" s="262">
        <v>158348527</v>
      </c>
      <c r="AO54" s="262">
        <v>158348527</v>
      </c>
      <c r="AP54" s="262">
        <v>158348527</v>
      </c>
      <c r="AQ54" s="263">
        <v>158348527</v>
      </c>
      <c r="AR54" s="263">
        <v>158348527</v>
      </c>
      <c r="AS54" s="263">
        <v>158348527</v>
      </c>
      <c r="AT54" s="263">
        <v>158348527</v>
      </c>
      <c r="AU54" s="263">
        <v>158348527</v>
      </c>
      <c r="AV54" s="263">
        <v>158348527</v>
      </c>
      <c r="AW54" s="261">
        <v>158348527</v>
      </c>
      <c r="AX54" s="261">
        <v>158348527</v>
      </c>
      <c r="AY54" s="261">
        <v>158348527</v>
      </c>
      <c r="AZ54" s="261">
        <v>158348527</v>
      </c>
      <c r="BA54" s="261">
        <v>158348527</v>
      </c>
      <c r="BB54" s="261">
        <v>158348527</v>
      </c>
      <c r="BC54" s="258">
        <v>158348527</v>
      </c>
      <c r="BD54" s="258">
        <v>158348527</v>
      </c>
      <c r="BE54" s="258">
        <v>158348527</v>
      </c>
      <c r="BF54" s="258">
        <v>158348527</v>
      </c>
      <c r="BG54" s="258">
        <v>158348527</v>
      </c>
      <c r="BH54" s="258">
        <v>158348527</v>
      </c>
      <c r="BI54" s="258">
        <v>158348527</v>
      </c>
      <c r="BJ54" s="258">
        <v>158348527</v>
      </c>
      <c r="BK54" s="258">
        <v>158348527</v>
      </c>
      <c r="BL54" s="258">
        <v>158348527</v>
      </c>
      <c r="BM54" s="258">
        <v>158348527</v>
      </c>
      <c r="BN54" s="258">
        <v>158348527</v>
      </c>
      <c r="BO54" s="258">
        <v>158348527</v>
      </c>
    </row>
    <row r="55" spans="1:67" s="105" customFormat="1">
      <c r="A55" s="223">
        <f>A54+1</f>
        <v>3</v>
      </c>
      <c r="B55" s="182" t="s">
        <v>315</v>
      </c>
      <c r="C55" s="223">
        <v>53</v>
      </c>
      <c r="D55" s="238">
        <v>124597678.0046615</v>
      </c>
      <c r="E55" s="239">
        <f t="shared" si="26"/>
        <v>124597678.0046615</v>
      </c>
      <c r="F55" s="239">
        <f t="shared" si="26"/>
        <v>124597678.0046615</v>
      </c>
      <c r="G55" s="239">
        <f t="shared" si="26"/>
        <v>124597678.0046615</v>
      </c>
      <c r="H55" s="239">
        <f t="shared" si="26"/>
        <v>124597678.0046615</v>
      </c>
      <c r="I55" s="239">
        <f t="shared" si="26"/>
        <v>124597678.0046615</v>
      </c>
      <c r="J55" s="239">
        <f t="shared" si="26"/>
        <v>124597678.0046615</v>
      </c>
      <c r="K55" s="240">
        <v>119013845.79877692</v>
      </c>
      <c r="L55" s="240">
        <f t="shared" si="27"/>
        <v>119013845.79877692</v>
      </c>
      <c r="M55" s="240">
        <f t="shared" si="27"/>
        <v>119013845.79877692</v>
      </c>
      <c r="N55" s="240">
        <f t="shared" si="27"/>
        <v>119013845.79877692</v>
      </c>
      <c r="O55" s="240">
        <f t="shared" si="27"/>
        <v>119013845.79877692</v>
      </c>
      <c r="P55" s="240">
        <f t="shared" si="27"/>
        <v>119013845.79877692</v>
      </c>
      <c r="Q55" s="240">
        <f t="shared" si="27"/>
        <v>119013845.79877692</v>
      </c>
      <c r="R55" s="240">
        <f t="shared" si="27"/>
        <v>119013845.79877692</v>
      </c>
      <c r="S55" s="240">
        <f t="shared" si="27"/>
        <v>119013845.79877692</v>
      </c>
      <c r="T55" s="238">
        <v>117696417.87770067</v>
      </c>
      <c r="U55" s="238">
        <f t="shared" si="31"/>
        <v>117696417.87770067</v>
      </c>
      <c r="V55" s="238">
        <f t="shared" si="31"/>
        <v>117696417.87770067</v>
      </c>
      <c r="W55" s="238">
        <f t="shared" si="31"/>
        <v>117696417.87770067</v>
      </c>
      <c r="X55" s="226">
        <v>117892638.94083638</v>
      </c>
      <c r="Y55" s="241">
        <f t="shared" si="28"/>
        <v>117892638.94083638</v>
      </c>
      <c r="Z55" s="241">
        <f t="shared" si="28"/>
        <v>117892638.94083638</v>
      </c>
      <c r="AA55" s="238">
        <v>110462685.34018697</v>
      </c>
      <c r="AB55" s="238">
        <v>113372272.84452598</v>
      </c>
      <c r="AC55" s="238">
        <v>111835893.63456354</v>
      </c>
      <c r="AD55" s="238">
        <f t="shared" si="8"/>
        <v>111835893.63456354</v>
      </c>
      <c r="AE55" s="241">
        <v>115931928.77702616</v>
      </c>
      <c r="AF55" s="238">
        <v>119797452.47688919</v>
      </c>
      <c r="AG55" s="238">
        <f t="shared" si="9"/>
        <v>119797452.47688919</v>
      </c>
      <c r="AH55" s="226">
        <v>117125176.58855528</v>
      </c>
      <c r="AI55" s="241">
        <f t="shared" si="29"/>
        <v>117125176.58855528</v>
      </c>
      <c r="AJ55" s="241">
        <f t="shared" si="29"/>
        <v>117125176.58855528</v>
      </c>
      <c r="AK55" s="241">
        <f t="shared" si="29"/>
        <v>117125176.58855528</v>
      </c>
      <c r="AL55" s="241">
        <f t="shared" si="29"/>
        <v>117125176.58855528</v>
      </c>
      <c r="AM55" s="241">
        <f t="shared" si="29"/>
        <v>117125176.58855528</v>
      </c>
      <c r="AN55" s="235">
        <v>118866157.19802128</v>
      </c>
      <c r="AO55" s="235">
        <f t="shared" si="30"/>
        <v>118866157.19802128</v>
      </c>
      <c r="AP55" s="235">
        <f t="shared" si="30"/>
        <v>118866157.19802128</v>
      </c>
      <c r="AQ55" s="242">
        <f t="shared" si="30"/>
        <v>118866157.19802128</v>
      </c>
      <c r="AR55" s="242">
        <f t="shared" si="30"/>
        <v>118866157.19802128</v>
      </c>
      <c r="AS55" s="242">
        <f t="shared" si="30"/>
        <v>118866157.19802128</v>
      </c>
      <c r="AT55" s="242">
        <f t="shared" si="30"/>
        <v>118866157.19802128</v>
      </c>
      <c r="AU55" s="242">
        <f t="shared" si="30"/>
        <v>118866157.19802128</v>
      </c>
      <c r="AV55" s="242">
        <f t="shared" si="30"/>
        <v>118866157.19802128</v>
      </c>
      <c r="AW55" s="241">
        <v>128098522.9013909</v>
      </c>
      <c r="AX55" s="241">
        <f t="shared" si="32"/>
        <v>128098522.9013909</v>
      </c>
      <c r="AY55" s="241">
        <f t="shared" si="32"/>
        <v>128098522.9013909</v>
      </c>
      <c r="AZ55" s="241">
        <f t="shared" si="32"/>
        <v>128098522.9013909</v>
      </c>
      <c r="BA55" s="241">
        <f t="shared" si="32"/>
        <v>128098522.9013909</v>
      </c>
      <c r="BB55" s="241">
        <f t="shared" si="32"/>
        <v>128098522.9013909</v>
      </c>
      <c r="BC55" s="238">
        <v>119266156.57353605</v>
      </c>
      <c r="BD55" s="238">
        <f t="shared" si="33"/>
        <v>119266156.57353605</v>
      </c>
      <c r="BE55" s="238">
        <f t="shared" si="33"/>
        <v>119266156.57353605</v>
      </c>
      <c r="BF55" s="238">
        <f t="shared" si="33"/>
        <v>119266156.57353605</v>
      </c>
      <c r="BG55" s="238">
        <f t="shared" si="33"/>
        <v>119266156.57353605</v>
      </c>
      <c r="BH55" s="238">
        <f t="shared" si="33"/>
        <v>119266156.57353605</v>
      </c>
      <c r="BI55" s="238">
        <f t="shared" si="33"/>
        <v>119266156.57353605</v>
      </c>
      <c r="BJ55" s="238">
        <f t="shared" si="33"/>
        <v>119266156.57353605</v>
      </c>
      <c r="BK55" s="238">
        <f t="shared" si="33"/>
        <v>119266156.57353605</v>
      </c>
      <c r="BL55" s="238">
        <f t="shared" si="33"/>
        <v>119266156.57353605</v>
      </c>
      <c r="BM55" s="238">
        <f t="shared" si="33"/>
        <v>119266156.57353605</v>
      </c>
      <c r="BN55" s="238">
        <f t="shared" si="33"/>
        <v>119266156.57353605</v>
      </c>
      <c r="BO55" s="238">
        <f t="shared" si="33"/>
        <v>119266156.57353605</v>
      </c>
    </row>
    <row r="56" spans="1:67">
      <c r="A56" s="223">
        <v>3</v>
      </c>
      <c r="B56" s="151" t="s">
        <v>316</v>
      </c>
      <c r="C56" s="223">
        <v>54</v>
      </c>
      <c r="D56" s="224"/>
      <c r="E56" s="225">
        <f t="shared" si="26"/>
        <v>0</v>
      </c>
      <c r="F56" s="225">
        <f t="shared" si="26"/>
        <v>0</v>
      </c>
      <c r="G56" s="225">
        <f t="shared" si="26"/>
        <v>0</v>
      </c>
      <c r="H56" s="225">
        <f t="shared" si="26"/>
        <v>0</v>
      </c>
      <c r="I56" s="225">
        <f t="shared" si="26"/>
        <v>0</v>
      </c>
      <c r="J56" s="225">
        <f t="shared" si="26"/>
        <v>0</v>
      </c>
      <c r="K56" s="237"/>
      <c r="L56" s="237">
        <f t="shared" si="27"/>
        <v>0</v>
      </c>
      <c r="M56" s="237">
        <f t="shared" si="27"/>
        <v>0</v>
      </c>
      <c r="N56" s="237">
        <f t="shared" si="27"/>
        <v>0</v>
      </c>
      <c r="O56" s="237">
        <f t="shared" si="27"/>
        <v>0</v>
      </c>
      <c r="P56" s="237">
        <f t="shared" si="27"/>
        <v>0</v>
      </c>
      <c r="Q56" s="237">
        <f t="shared" si="27"/>
        <v>0</v>
      </c>
      <c r="R56" s="237">
        <f t="shared" si="27"/>
        <v>0</v>
      </c>
      <c r="S56" s="237">
        <f t="shared" si="27"/>
        <v>0</v>
      </c>
      <c r="T56" s="224"/>
      <c r="U56" s="224">
        <f t="shared" si="31"/>
        <v>0</v>
      </c>
      <c r="V56" s="224">
        <f t="shared" si="31"/>
        <v>0</v>
      </c>
      <c r="W56" s="224">
        <f t="shared" si="31"/>
        <v>0</v>
      </c>
      <c r="X56" s="226"/>
      <c r="Y56" s="226">
        <f t="shared" si="28"/>
        <v>0</v>
      </c>
      <c r="Z56" s="226">
        <f t="shared" si="28"/>
        <v>0</v>
      </c>
      <c r="AA56" s="224"/>
      <c r="AB56" s="224"/>
      <c r="AC56" s="224"/>
      <c r="AD56" s="224">
        <f t="shared" si="8"/>
        <v>0</v>
      </c>
      <c r="AE56" s="226"/>
      <c r="AF56" s="224"/>
      <c r="AG56" s="224">
        <f t="shared" si="9"/>
        <v>0</v>
      </c>
      <c r="AH56" s="226"/>
      <c r="AI56" s="226">
        <f t="shared" si="29"/>
        <v>0</v>
      </c>
      <c r="AJ56" s="226">
        <f t="shared" si="29"/>
        <v>0</v>
      </c>
      <c r="AK56" s="226">
        <f t="shared" si="29"/>
        <v>0</v>
      </c>
      <c r="AL56" s="226">
        <f t="shared" si="29"/>
        <v>0</v>
      </c>
      <c r="AM56" s="226">
        <f t="shared" si="29"/>
        <v>0</v>
      </c>
      <c r="AN56" s="235"/>
      <c r="AO56" s="235">
        <f t="shared" si="30"/>
        <v>0</v>
      </c>
      <c r="AP56" s="235">
        <f t="shared" si="30"/>
        <v>0</v>
      </c>
      <c r="AQ56" s="236">
        <f t="shared" si="30"/>
        <v>0</v>
      </c>
      <c r="AR56" s="236">
        <f t="shared" si="30"/>
        <v>0</v>
      </c>
      <c r="AS56" s="236">
        <f t="shared" si="30"/>
        <v>0</v>
      </c>
      <c r="AT56" s="236">
        <f t="shared" si="30"/>
        <v>0</v>
      </c>
      <c r="AU56" s="236">
        <f t="shared" si="30"/>
        <v>0</v>
      </c>
      <c r="AV56" s="236">
        <f t="shared" si="30"/>
        <v>0</v>
      </c>
      <c r="AW56" s="226"/>
      <c r="AX56" s="226">
        <f t="shared" si="32"/>
        <v>0</v>
      </c>
      <c r="AY56" s="226">
        <f t="shared" si="32"/>
        <v>0</v>
      </c>
      <c r="AZ56" s="226">
        <f t="shared" si="32"/>
        <v>0</v>
      </c>
      <c r="BA56" s="226">
        <f t="shared" si="32"/>
        <v>0</v>
      </c>
      <c r="BB56" s="226">
        <f t="shared" si="32"/>
        <v>0</v>
      </c>
      <c r="BC56" s="224"/>
      <c r="BD56" s="224">
        <f t="shared" si="33"/>
        <v>0</v>
      </c>
      <c r="BE56" s="224">
        <f t="shared" si="33"/>
        <v>0</v>
      </c>
      <c r="BF56" s="224">
        <f t="shared" si="33"/>
        <v>0</v>
      </c>
      <c r="BG56" s="224">
        <f t="shared" si="33"/>
        <v>0</v>
      </c>
      <c r="BH56" s="224">
        <f t="shared" si="33"/>
        <v>0</v>
      </c>
      <c r="BI56" s="224">
        <f t="shared" si="33"/>
        <v>0</v>
      </c>
      <c r="BJ56" s="224">
        <f t="shared" si="33"/>
        <v>0</v>
      </c>
      <c r="BK56" s="224">
        <f t="shared" si="33"/>
        <v>0</v>
      </c>
      <c r="BL56" s="224">
        <f t="shared" si="33"/>
        <v>0</v>
      </c>
      <c r="BM56" s="224">
        <f t="shared" si="33"/>
        <v>0</v>
      </c>
      <c r="BN56" s="224">
        <f t="shared" si="33"/>
        <v>0</v>
      </c>
      <c r="BO56" s="224">
        <f t="shared" si="33"/>
        <v>0</v>
      </c>
    </row>
    <row r="57" spans="1:67">
      <c r="A57" s="229" t="s">
        <v>219</v>
      </c>
      <c r="B57" s="230" t="s">
        <v>45</v>
      </c>
      <c r="C57" s="223">
        <v>55</v>
      </c>
      <c r="D57" s="224"/>
      <c r="E57" s="225">
        <f t="shared" si="26"/>
        <v>0</v>
      </c>
      <c r="F57" s="225">
        <f t="shared" si="26"/>
        <v>0</v>
      </c>
      <c r="G57" s="225">
        <f t="shared" si="26"/>
        <v>0</v>
      </c>
      <c r="H57" s="225">
        <f t="shared" si="26"/>
        <v>0</v>
      </c>
      <c r="I57" s="225">
        <f t="shared" si="26"/>
        <v>0</v>
      </c>
      <c r="J57" s="225">
        <f t="shared" si="26"/>
        <v>0</v>
      </c>
      <c r="K57" s="237"/>
      <c r="L57" s="237">
        <f t="shared" si="27"/>
        <v>0</v>
      </c>
      <c r="M57" s="237">
        <f t="shared" si="27"/>
        <v>0</v>
      </c>
      <c r="N57" s="237">
        <f t="shared" si="27"/>
        <v>0</v>
      </c>
      <c r="O57" s="237">
        <f t="shared" si="27"/>
        <v>0</v>
      </c>
      <c r="P57" s="237">
        <f t="shared" si="27"/>
        <v>0</v>
      </c>
      <c r="Q57" s="237">
        <f t="shared" si="27"/>
        <v>0</v>
      </c>
      <c r="R57" s="237">
        <f t="shared" si="27"/>
        <v>0</v>
      </c>
      <c r="S57" s="237">
        <f t="shared" si="27"/>
        <v>0</v>
      </c>
      <c r="T57" s="224"/>
      <c r="U57" s="224">
        <f t="shared" si="31"/>
        <v>0</v>
      </c>
      <c r="V57" s="224">
        <f t="shared" si="31"/>
        <v>0</v>
      </c>
      <c r="W57" s="224">
        <f t="shared" si="31"/>
        <v>0</v>
      </c>
      <c r="X57" s="226"/>
      <c r="Y57" s="226">
        <f t="shared" si="28"/>
        <v>0</v>
      </c>
      <c r="Z57" s="226">
        <f t="shared" si="28"/>
        <v>0</v>
      </c>
      <c r="AA57" s="224"/>
      <c r="AB57" s="224"/>
      <c r="AC57" s="224"/>
      <c r="AD57" s="224">
        <f t="shared" si="8"/>
        <v>0</v>
      </c>
      <c r="AE57" s="226"/>
      <c r="AF57" s="224"/>
      <c r="AG57" s="224">
        <f t="shared" si="9"/>
        <v>0</v>
      </c>
      <c r="AH57" s="226"/>
      <c r="AI57" s="226">
        <f t="shared" si="29"/>
        <v>0</v>
      </c>
      <c r="AJ57" s="226">
        <f t="shared" si="29"/>
        <v>0</v>
      </c>
      <c r="AK57" s="226">
        <f t="shared" si="29"/>
        <v>0</v>
      </c>
      <c r="AL57" s="226">
        <f t="shared" si="29"/>
        <v>0</v>
      </c>
      <c r="AM57" s="226">
        <f t="shared" si="29"/>
        <v>0</v>
      </c>
      <c r="AN57" s="235"/>
      <c r="AO57" s="235">
        <f t="shared" si="30"/>
        <v>0</v>
      </c>
      <c r="AP57" s="235">
        <f t="shared" si="30"/>
        <v>0</v>
      </c>
      <c r="AQ57" s="236">
        <f t="shared" si="30"/>
        <v>0</v>
      </c>
      <c r="AR57" s="236">
        <f t="shared" si="30"/>
        <v>0</v>
      </c>
      <c r="AS57" s="236">
        <f t="shared" si="30"/>
        <v>0</v>
      </c>
      <c r="AT57" s="236">
        <f t="shared" si="30"/>
        <v>0</v>
      </c>
      <c r="AU57" s="236">
        <f t="shared" si="30"/>
        <v>0</v>
      </c>
      <c r="AV57" s="236">
        <f t="shared" si="30"/>
        <v>0</v>
      </c>
      <c r="AW57" s="226"/>
      <c r="AX57" s="226">
        <f t="shared" si="32"/>
        <v>0</v>
      </c>
      <c r="AY57" s="226">
        <f t="shared" si="32"/>
        <v>0</v>
      </c>
      <c r="AZ57" s="226">
        <f t="shared" si="32"/>
        <v>0</v>
      </c>
      <c r="BA57" s="226">
        <f t="shared" si="32"/>
        <v>0</v>
      </c>
      <c r="BB57" s="226">
        <f t="shared" si="32"/>
        <v>0</v>
      </c>
      <c r="BC57" s="224"/>
      <c r="BD57" s="224">
        <f t="shared" si="33"/>
        <v>0</v>
      </c>
      <c r="BE57" s="224">
        <f t="shared" si="33"/>
        <v>0</v>
      </c>
      <c r="BF57" s="224">
        <f t="shared" si="33"/>
        <v>0</v>
      </c>
      <c r="BG57" s="224">
        <f t="shared" si="33"/>
        <v>0</v>
      </c>
      <c r="BH57" s="224">
        <f t="shared" si="33"/>
        <v>0</v>
      </c>
      <c r="BI57" s="224">
        <f t="shared" si="33"/>
        <v>0</v>
      </c>
      <c r="BJ57" s="224">
        <f t="shared" si="33"/>
        <v>0</v>
      </c>
      <c r="BK57" s="224">
        <f t="shared" si="33"/>
        <v>0</v>
      </c>
      <c r="BL57" s="224">
        <f t="shared" si="33"/>
        <v>0</v>
      </c>
      <c r="BM57" s="224">
        <f t="shared" si="33"/>
        <v>0</v>
      </c>
      <c r="BN57" s="224">
        <f t="shared" si="33"/>
        <v>0</v>
      </c>
      <c r="BO57" s="224">
        <f t="shared" si="33"/>
        <v>0</v>
      </c>
    </row>
    <row r="58" spans="1:67">
      <c r="A58" s="223">
        <v>1</v>
      </c>
      <c r="B58" s="151" t="s">
        <v>46</v>
      </c>
      <c r="C58" s="223">
        <v>56</v>
      </c>
      <c r="D58" s="224">
        <v>13033180.089525117</v>
      </c>
      <c r="E58" s="225">
        <f t="shared" si="26"/>
        <v>13033180.089525117</v>
      </c>
      <c r="F58" s="225">
        <f t="shared" si="26"/>
        <v>13033180.089525117</v>
      </c>
      <c r="G58" s="225">
        <f t="shared" si="26"/>
        <v>13033180.089525117</v>
      </c>
      <c r="H58" s="225">
        <f t="shared" si="26"/>
        <v>13033180.089525117</v>
      </c>
      <c r="I58" s="225">
        <f t="shared" si="26"/>
        <v>13033180.089525117</v>
      </c>
      <c r="J58" s="225">
        <f t="shared" si="26"/>
        <v>13033180.089525117</v>
      </c>
      <c r="K58" s="237">
        <v>12690924.146109929</v>
      </c>
      <c r="L58" s="237">
        <f t="shared" si="27"/>
        <v>12690924.146109929</v>
      </c>
      <c r="M58" s="237">
        <f t="shared" si="27"/>
        <v>12690924.146109929</v>
      </c>
      <c r="N58" s="237">
        <f t="shared" si="27"/>
        <v>12690924.146109929</v>
      </c>
      <c r="O58" s="237">
        <f t="shared" si="27"/>
        <v>12690924.146109929</v>
      </c>
      <c r="P58" s="237">
        <f t="shared" si="27"/>
        <v>12690924.146109929</v>
      </c>
      <c r="Q58" s="237">
        <f t="shared" si="27"/>
        <v>12690924.146109929</v>
      </c>
      <c r="R58" s="237">
        <f t="shared" si="27"/>
        <v>12690924.146109929</v>
      </c>
      <c r="S58" s="237">
        <f t="shared" si="27"/>
        <v>12690924.146109929</v>
      </c>
      <c r="T58" s="224">
        <v>12907015.564832732</v>
      </c>
      <c r="U58" s="224">
        <f t="shared" si="31"/>
        <v>12907015.564832732</v>
      </c>
      <c r="V58" s="224">
        <f t="shared" si="31"/>
        <v>12907015.564832732</v>
      </c>
      <c r="W58" s="224">
        <f t="shared" si="31"/>
        <v>12907015.564832732</v>
      </c>
      <c r="X58" s="226">
        <v>13039480.799378447</v>
      </c>
      <c r="Y58" s="226">
        <f t="shared" si="28"/>
        <v>13039480.799378447</v>
      </c>
      <c r="Z58" s="226">
        <f t="shared" si="28"/>
        <v>13039480.799378447</v>
      </c>
      <c r="AA58" s="224">
        <v>12908024.023199197</v>
      </c>
      <c r="AB58" s="224">
        <v>12695939.012778433</v>
      </c>
      <c r="AC58" s="224">
        <v>12322478.833888413</v>
      </c>
      <c r="AD58" s="224">
        <f t="shared" si="8"/>
        <v>12322478.833888413</v>
      </c>
      <c r="AE58" s="226">
        <v>12857349.675410872</v>
      </c>
      <c r="AF58" s="224">
        <v>12805928.652119718</v>
      </c>
      <c r="AG58" s="224">
        <f t="shared" si="9"/>
        <v>12805928.652119718</v>
      </c>
      <c r="AH58" s="226">
        <v>13205612.690230489</v>
      </c>
      <c r="AI58" s="226">
        <f t="shared" si="29"/>
        <v>13205612.690230489</v>
      </c>
      <c r="AJ58" s="226">
        <f t="shared" si="29"/>
        <v>13205612.690230489</v>
      </c>
      <c r="AK58" s="226">
        <f t="shared" si="29"/>
        <v>13205612.690230489</v>
      </c>
      <c r="AL58" s="226">
        <f t="shared" si="29"/>
        <v>13205612.690230489</v>
      </c>
      <c r="AM58" s="226">
        <f t="shared" si="29"/>
        <v>13205612.690230489</v>
      </c>
      <c r="AN58" s="235">
        <v>13363443.132153902</v>
      </c>
      <c r="AO58" s="235">
        <f t="shared" si="30"/>
        <v>13363443.132153902</v>
      </c>
      <c r="AP58" s="235">
        <f t="shared" si="30"/>
        <v>13363443.132153902</v>
      </c>
      <c r="AQ58" s="236">
        <f t="shared" si="30"/>
        <v>13363443.132153902</v>
      </c>
      <c r="AR58" s="236">
        <f t="shared" si="30"/>
        <v>13363443.132153902</v>
      </c>
      <c r="AS58" s="236">
        <f t="shared" si="30"/>
        <v>13363443.132153902</v>
      </c>
      <c r="AT58" s="236">
        <f t="shared" si="30"/>
        <v>13363443.132153902</v>
      </c>
      <c r="AU58" s="236">
        <f t="shared" si="30"/>
        <v>13363443.132153902</v>
      </c>
      <c r="AV58" s="236">
        <f t="shared" si="30"/>
        <v>13363443.132153902</v>
      </c>
      <c r="AW58" s="226">
        <v>13026142.58640559</v>
      </c>
      <c r="AX58" s="226">
        <f t="shared" si="32"/>
        <v>13026142.58640559</v>
      </c>
      <c r="AY58" s="226">
        <f t="shared" si="32"/>
        <v>13026142.58640559</v>
      </c>
      <c r="AZ58" s="226">
        <f t="shared" si="32"/>
        <v>13026142.58640559</v>
      </c>
      <c r="BA58" s="226">
        <f t="shared" si="32"/>
        <v>13026142.58640559</v>
      </c>
      <c r="BB58" s="226">
        <f t="shared" si="32"/>
        <v>13026142.58640559</v>
      </c>
      <c r="BC58" s="224">
        <v>13873677.166714763</v>
      </c>
      <c r="BD58" s="224">
        <f t="shared" si="33"/>
        <v>13873677.166714763</v>
      </c>
      <c r="BE58" s="224">
        <f t="shared" si="33"/>
        <v>13873677.166714763</v>
      </c>
      <c r="BF58" s="224">
        <f t="shared" si="33"/>
        <v>13873677.166714763</v>
      </c>
      <c r="BG58" s="224">
        <f t="shared" si="33"/>
        <v>13873677.166714763</v>
      </c>
      <c r="BH58" s="224">
        <f t="shared" si="33"/>
        <v>13873677.166714763</v>
      </c>
      <c r="BI58" s="224">
        <f t="shared" si="33"/>
        <v>13873677.166714763</v>
      </c>
      <c r="BJ58" s="224">
        <f t="shared" si="33"/>
        <v>13873677.166714763</v>
      </c>
      <c r="BK58" s="224">
        <f t="shared" si="33"/>
        <v>13873677.166714763</v>
      </c>
      <c r="BL58" s="224">
        <f t="shared" si="33"/>
        <v>13873677.166714763</v>
      </c>
      <c r="BM58" s="224">
        <f t="shared" si="33"/>
        <v>13873677.166714763</v>
      </c>
      <c r="BN58" s="224">
        <f t="shared" si="33"/>
        <v>13873677.166714763</v>
      </c>
      <c r="BO58" s="224">
        <f t="shared" si="33"/>
        <v>13873677.166714763</v>
      </c>
    </row>
    <row r="59" spans="1:67">
      <c r="A59" s="223">
        <f>A58+1</f>
        <v>2</v>
      </c>
      <c r="B59" s="151" t="s">
        <v>1459</v>
      </c>
      <c r="C59" s="223">
        <v>57</v>
      </c>
      <c r="D59" s="224">
        <v>3644634.0654095183</v>
      </c>
      <c r="E59" s="225">
        <f t="shared" si="26"/>
        <v>3644634.0654095183</v>
      </c>
      <c r="F59" s="225">
        <f t="shared" si="26"/>
        <v>3644634.0654095183</v>
      </c>
      <c r="G59" s="225">
        <f t="shared" si="26"/>
        <v>3644634.0654095183</v>
      </c>
      <c r="H59" s="225">
        <f t="shared" si="26"/>
        <v>3644634.0654095183</v>
      </c>
      <c r="I59" s="225">
        <f t="shared" si="26"/>
        <v>3644634.0654095183</v>
      </c>
      <c r="J59" s="225">
        <f t="shared" si="26"/>
        <v>3644634.0654095183</v>
      </c>
      <c r="K59" s="237">
        <v>3647233.0989264408</v>
      </c>
      <c r="L59" s="237">
        <f t="shared" si="27"/>
        <v>3647233.0989264408</v>
      </c>
      <c r="M59" s="237">
        <f t="shared" si="27"/>
        <v>3647233.0989264408</v>
      </c>
      <c r="N59" s="237">
        <f t="shared" si="27"/>
        <v>3647233.0989264408</v>
      </c>
      <c r="O59" s="237">
        <f t="shared" si="27"/>
        <v>3647233.0989264408</v>
      </c>
      <c r="P59" s="237">
        <f t="shared" si="27"/>
        <v>3647233.0989264408</v>
      </c>
      <c r="Q59" s="237">
        <f t="shared" si="27"/>
        <v>3647233.0989264408</v>
      </c>
      <c r="R59" s="237">
        <f t="shared" si="27"/>
        <v>3647233.0989264408</v>
      </c>
      <c r="S59" s="237">
        <f t="shared" si="27"/>
        <v>3647233.0989264408</v>
      </c>
      <c r="T59" s="224">
        <v>3633637.9496161877</v>
      </c>
      <c r="U59" s="224">
        <f t="shared" si="31"/>
        <v>3633637.9496161877</v>
      </c>
      <c r="V59" s="224">
        <f t="shared" si="31"/>
        <v>3633637.9496161877</v>
      </c>
      <c r="W59" s="224">
        <f t="shared" si="31"/>
        <v>3633637.9496161877</v>
      </c>
      <c r="X59" s="226">
        <v>3652391.7925950633</v>
      </c>
      <c r="Y59" s="226">
        <f t="shared" si="28"/>
        <v>3652391.7925950633</v>
      </c>
      <c r="Z59" s="226">
        <f t="shared" si="28"/>
        <v>3652391.7925950633</v>
      </c>
      <c r="AA59" s="224">
        <v>3602283.9664106495</v>
      </c>
      <c r="AB59" s="224">
        <v>3599227.1599714616</v>
      </c>
      <c r="AC59" s="224">
        <v>3498184.5297126174</v>
      </c>
      <c r="AD59" s="224">
        <f t="shared" si="8"/>
        <v>3498184.5297126174</v>
      </c>
      <c r="AE59" s="226">
        <v>3614506.2713058493</v>
      </c>
      <c r="AF59" s="224">
        <v>3623737.4145881813</v>
      </c>
      <c r="AG59" s="224">
        <f t="shared" si="9"/>
        <v>3623737.4145881813</v>
      </c>
      <c r="AH59" s="226">
        <v>3650729.8726690859</v>
      </c>
      <c r="AI59" s="226">
        <f t="shared" si="29"/>
        <v>3650729.8726690859</v>
      </c>
      <c r="AJ59" s="226">
        <f t="shared" si="29"/>
        <v>3650729.8726690859</v>
      </c>
      <c r="AK59" s="226">
        <f t="shared" si="29"/>
        <v>3650729.8726690859</v>
      </c>
      <c r="AL59" s="226">
        <f t="shared" si="29"/>
        <v>3650729.8726690859</v>
      </c>
      <c r="AM59" s="226">
        <f t="shared" si="29"/>
        <v>3650729.8726690859</v>
      </c>
      <c r="AN59" s="235">
        <v>3697492.1469973871</v>
      </c>
      <c r="AO59" s="235">
        <f t="shared" si="30"/>
        <v>3697492.1469973871</v>
      </c>
      <c r="AP59" s="235">
        <f t="shared" si="30"/>
        <v>3697492.1469973871</v>
      </c>
      <c r="AQ59" s="236">
        <f t="shared" si="30"/>
        <v>3697492.1469973871</v>
      </c>
      <c r="AR59" s="236">
        <f t="shared" si="30"/>
        <v>3697492.1469973871</v>
      </c>
      <c r="AS59" s="236">
        <f t="shared" si="30"/>
        <v>3697492.1469973871</v>
      </c>
      <c r="AT59" s="236">
        <f t="shared" si="30"/>
        <v>3697492.1469973871</v>
      </c>
      <c r="AU59" s="236">
        <f t="shared" si="30"/>
        <v>3697492.1469973871</v>
      </c>
      <c r="AV59" s="236">
        <f t="shared" si="30"/>
        <v>3697492.1469973871</v>
      </c>
      <c r="AW59" s="226">
        <v>3625873.3169656834</v>
      </c>
      <c r="AX59" s="226">
        <f t="shared" si="32"/>
        <v>3625873.3169656834</v>
      </c>
      <c r="AY59" s="226">
        <f t="shared" si="32"/>
        <v>3625873.3169656834</v>
      </c>
      <c r="AZ59" s="226">
        <f t="shared" si="32"/>
        <v>3625873.3169656834</v>
      </c>
      <c r="BA59" s="226">
        <f t="shared" si="32"/>
        <v>3625873.3169656834</v>
      </c>
      <c r="BB59" s="226">
        <f t="shared" si="32"/>
        <v>3625873.3169656834</v>
      </c>
      <c r="BC59" s="224">
        <v>3829318.4023990962</v>
      </c>
      <c r="BD59" s="224">
        <f t="shared" si="33"/>
        <v>3829318.4023990962</v>
      </c>
      <c r="BE59" s="224">
        <f t="shared" si="33"/>
        <v>3829318.4023990962</v>
      </c>
      <c r="BF59" s="224">
        <f t="shared" si="33"/>
        <v>3829318.4023990962</v>
      </c>
      <c r="BG59" s="224">
        <f t="shared" si="33"/>
        <v>3829318.4023990962</v>
      </c>
      <c r="BH59" s="224">
        <f t="shared" si="33"/>
        <v>3829318.4023990962</v>
      </c>
      <c r="BI59" s="224">
        <f t="shared" si="33"/>
        <v>3829318.4023990962</v>
      </c>
      <c r="BJ59" s="224">
        <f t="shared" si="33"/>
        <v>3829318.4023990962</v>
      </c>
      <c r="BK59" s="224">
        <f t="shared" si="33"/>
        <v>3829318.4023990962</v>
      </c>
      <c r="BL59" s="224">
        <f t="shared" si="33"/>
        <v>3829318.4023990962</v>
      </c>
      <c r="BM59" s="224">
        <f t="shared" si="33"/>
        <v>3829318.4023990962</v>
      </c>
      <c r="BN59" s="224">
        <f t="shared" si="33"/>
        <v>3829318.4023990962</v>
      </c>
      <c r="BO59" s="224">
        <f t="shared" si="33"/>
        <v>3829318.4023990962</v>
      </c>
    </row>
    <row r="60" spans="1:67">
      <c r="A60" s="256">
        <v>3</v>
      </c>
      <c r="B60" s="151" t="s">
        <v>1460</v>
      </c>
      <c r="C60" s="223">
        <v>58</v>
      </c>
      <c r="D60" s="258">
        <v>30152468</v>
      </c>
      <c r="E60" s="259">
        <v>30152468</v>
      </c>
      <c r="F60" s="259">
        <v>30152468</v>
      </c>
      <c r="G60" s="259">
        <v>30152468</v>
      </c>
      <c r="H60" s="259">
        <v>30152468</v>
      </c>
      <c r="I60" s="259">
        <v>30152468</v>
      </c>
      <c r="J60" s="259">
        <v>30152468</v>
      </c>
      <c r="K60" s="260">
        <v>30152468</v>
      </c>
      <c r="L60" s="260">
        <v>30152468</v>
      </c>
      <c r="M60" s="260">
        <v>30152468</v>
      </c>
      <c r="N60" s="260">
        <v>30152468</v>
      </c>
      <c r="O60" s="260">
        <v>30152468</v>
      </c>
      <c r="P60" s="260">
        <v>30152468</v>
      </c>
      <c r="Q60" s="260">
        <v>30152468</v>
      </c>
      <c r="R60" s="260">
        <v>30152468</v>
      </c>
      <c r="S60" s="260">
        <v>30152468</v>
      </c>
      <c r="T60" s="258">
        <v>30152468</v>
      </c>
      <c r="U60" s="258">
        <v>30152468</v>
      </c>
      <c r="V60" s="258">
        <v>30152468</v>
      </c>
      <c r="W60" s="258">
        <v>30152468</v>
      </c>
      <c r="X60" s="261">
        <v>30152468</v>
      </c>
      <c r="Y60" s="261">
        <v>30152468</v>
      </c>
      <c r="Z60" s="261">
        <v>30152468</v>
      </c>
      <c r="AA60" s="258">
        <v>30152468</v>
      </c>
      <c r="AB60" s="258">
        <v>30152468</v>
      </c>
      <c r="AC60" s="258">
        <v>30152468</v>
      </c>
      <c r="AD60" s="258">
        <v>30152468</v>
      </c>
      <c r="AE60" s="261">
        <v>30152468</v>
      </c>
      <c r="AF60" s="258">
        <v>30152468</v>
      </c>
      <c r="AG60" s="258">
        <v>30152468</v>
      </c>
      <c r="AH60" s="261">
        <v>30152468</v>
      </c>
      <c r="AI60" s="261">
        <v>30152468</v>
      </c>
      <c r="AJ60" s="261">
        <v>30152468</v>
      </c>
      <c r="AK60" s="261">
        <v>30152468</v>
      </c>
      <c r="AL60" s="261">
        <v>30152468</v>
      </c>
      <c r="AM60" s="261">
        <v>30152468</v>
      </c>
      <c r="AN60" s="262">
        <v>30152468</v>
      </c>
      <c r="AO60" s="262">
        <v>30152468</v>
      </c>
      <c r="AP60" s="262">
        <v>30152468</v>
      </c>
      <c r="AQ60" s="263">
        <v>30152468</v>
      </c>
      <c r="AR60" s="263">
        <v>30152468</v>
      </c>
      <c r="AS60" s="263">
        <v>30152468</v>
      </c>
      <c r="AT60" s="263">
        <v>30152468</v>
      </c>
      <c r="AU60" s="263">
        <v>30152468</v>
      </c>
      <c r="AV60" s="263">
        <v>30152468</v>
      </c>
      <c r="AW60" s="261">
        <v>30152468</v>
      </c>
      <c r="AX60" s="261">
        <v>30152468</v>
      </c>
      <c r="AY60" s="261">
        <v>30152468</v>
      </c>
      <c r="AZ60" s="261">
        <v>30152468</v>
      </c>
      <c r="BA60" s="261">
        <v>30152468</v>
      </c>
      <c r="BB60" s="261">
        <v>30152468</v>
      </c>
      <c r="BC60" s="258">
        <v>30152468</v>
      </c>
      <c r="BD60" s="258">
        <v>30152468</v>
      </c>
      <c r="BE60" s="258">
        <v>30152468</v>
      </c>
      <c r="BF60" s="258">
        <v>30152468</v>
      </c>
      <c r="BG60" s="258">
        <v>30152468</v>
      </c>
      <c r="BH60" s="258">
        <v>30152468</v>
      </c>
      <c r="BI60" s="258">
        <v>30152468</v>
      </c>
      <c r="BJ60" s="258">
        <v>30152468</v>
      </c>
      <c r="BK60" s="258">
        <v>30152468</v>
      </c>
      <c r="BL60" s="258">
        <v>30152468</v>
      </c>
      <c r="BM60" s="258">
        <v>30152468</v>
      </c>
      <c r="BN60" s="258">
        <v>30152468</v>
      </c>
      <c r="BO60" s="258">
        <v>30152468</v>
      </c>
    </row>
    <row r="61" spans="1:67" ht="20.25" customHeight="1">
      <c r="A61" s="223">
        <v>4</v>
      </c>
      <c r="B61" s="228" t="s">
        <v>147</v>
      </c>
      <c r="C61" s="223">
        <v>59</v>
      </c>
      <c r="D61" s="224">
        <v>3453559.5678698523</v>
      </c>
      <c r="E61" s="225">
        <f t="shared" si="26"/>
        <v>3453559.5678698523</v>
      </c>
      <c r="F61" s="225">
        <f t="shared" si="26"/>
        <v>3453559.5678698523</v>
      </c>
      <c r="G61" s="225">
        <f t="shared" si="26"/>
        <v>3453559.5678698523</v>
      </c>
      <c r="H61" s="225">
        <f t="shared" si="26"/>
        <v>3453559.5678698523</v>
      </c>
      <c r="I61" s="225">
        <f t="shared" si="26"/>
        <v>3453559.5678698523</v>
      </c>
      <c r="J61" s="225">
        <f t="shared" si="26"/>
        <v>3453559.5678698523</v>
      </c>
      <c r="K61" s="237">
        <v>3310588.9997605672</v>
      </c>
      <c r="L61" s="237">
        <f t="shared" si="27"/>
        <v>3310588.9997605672</v>
      </c>
      <c r="M61" s="237">
        <f t="shared" si="27"/>
        <v>3310588.9997605672</v>
      </c>
      <c r="N61" s="237">
        <f t="shared" si="27"/>
        <v>3310588.9997605672</v>
      </c>
      <c r="O61" s="237">
        <f t="shared" si="27"/>
        <v>3310588.9997605672</v>
      </c>
      <c r="P61" s="237">
        <f t="shared" si="27"/>
        <v>3310588.9997605672</v>
      </c>
      <c r="Q61" s="237">
        <f t="shared" si="27"/>
        <v>3310588.9997605672</v>
      </c>
      <c r="R61" s="237">
        <f t="shared" si="27"/>
        <v>3310588.9997605672</v>
      </c>
      <c r="S61" s="237">
        <f t="shared" si="27"/>
        <v>3310588.9997605672</v>
      </c>
      <c r="T61" s="224">
        <v>3419764.1347207562</v>
      </c>
      <c r="U61" s="224">
        <f t="shared" si="31"/>
        <v>3419764.1347207562</v>
      </c>
      <c r="V61" s="224">
        <f t="shared" si="31"/>
        <v>3419764.1347207562</v>
      </c>
      <c r="W61" s="224">
        <f t="shared" si="31"/>
        <v>3419764.1347207562</v>
      </c>
      <c r="X61" s="226">
        <v>3441606.6327893897</v>
      </c>
      <c r="Y61" s="226">
        <f t="shared" si="28"/>
        <v>3441606.6327893897</v>
      </c>
      <c r="Z61" s="226">
        <f t="shared" si="28"/>
        <v>3441606.6327893897</v>
      </c>
      <c r="AA61" s="224">
        <v>3461595.0943414685</v>
      </c>
      <c r="AB61" s="224">
        <v>3383322.8108245707</v>
      </c>
      <c r="AC61" s="224">
        <v>3359888.6212959117</v>
      </c>
      <c r="AD61" s="224">
        <f t="shared" si="8"/>
        <v>3359888.6212959117</v>
      </c>
      <c r="AE61" s="226">
        <v>3407125.4606645857</v>
      </c>
      <c r="AF61" s="224">
        <v>3375291.3614479797</v>
      </c>
      <c r="AG61" s="224">
        <f t="shared" si="9"/>
        <v>3375291.3614479797</v>
      </c>
      <c r="AH61" s="226">
        <v>3531384.9705754812</v>
      </c>
      <c r="AI61" s="226">
        <f t="shared" si="29"/>
        <v>3531384.9705754812</v>
      </c>
      <c r="AJ61" s="226">
        <f t="shared" si="29"/>
        <v>3531384.9705754812</v>
      </c>
      <c r="AK61" s="226">
        <f t="shared" si="29"/>
        <v>3531384.9705754812</v>
      </c>
      <c r="AL61" s="226">
        <f t="shared" si="29"/>
        <v>3531384.9705754812</v>
      </c>
      <c r="AM61" s="226">
        <f t="shared" si="29"/>
        <v>3531384.9705754812</v>
      </c>
      <c r="AN61" s="235">
        <v>3526271.8367122668</v>
      </c>
      <c r="AO61" s="235">
        <f t="shared" si="30"/>
        <v>3526271.8367122668</v>
      </c>
      <c r="AP61" s="235">
        <f t="shared" si="30"/>
        <v>3526271.8367122668</v>
      </c>
      <c r="AQ61" s="236">
        <f t="shared" si="30"/>
        <v>3526271.8367122668</v>
      </c>
      <c r="AR61" s="236">
        <f t="shared" si="30"/>
        <v>3526271.8367122668</v>
      </c>
      <c r="AS61" s="236">
        <f t="shared" si="30"/>
        <v>3526271.8367122668</v>
      </c>
      <c r="AT61" s="236">
        <f t="shared" si="30"/>
        <v>3526271.8367122668</v>
      </c>
      <c r="AU61" s="236">
        <f t="shared" si="30"/>
        <v>3526271.8367122668</v>
      </c>
      <c r="AV61" s="236">
        <f t="shared" si="30"/>
        <v>3526271.8367122668</v>
      </c>
      <c r="AW61" s="226">
        <v>3477233.3466429133</v>
      </c>
      <c r="AX61" s="226">
        <f t="shared" si="32"/>
        <v>3477233.3466429133</v>
      </c>
      <c r="AY61" s="226">
        <f t="shared" si="32"/>
        <v>3477233.3466429133</v>
      </c>
      <c r="AZ61" s="226">
        <f t="shared" si="32"/>
        <v>3477233.3466429133</v>
      </c>
      <c r="BA61" s="226">
        <f t="shared" si="32"/>
        <v>3477233.3466429133</v>
      </c>
      <c r="BB61" s="226">
        <f t="shared" si="32"/>
        <v>3477233.3466429133</v>
      </c>
      <c r="BC61" s="224">
        <v>3530226.8347671037</v>
      </c>
      <c r="BD61" s="224">
        <f t="shared" si="33"/>
        <v>3530226.8347671037</v>
      </c>
      <c r="BE61" s="224">
        <f t="shared" si="33"/>
        <v>3530226.8347671037</v>
      </c>
      <c r="BF61" s="224">
        <f t="shared" si="33"/>
        <v>3530226.8347671037</v>
      </c>
      <c r="BG61" s="224">
        <f t="shared" si="33"/>
        <v>3530226.8347671037</v>
      </c>
      <c r="BH61" s="224">
        <f t="shared" si="33"/>
        <v>3530226.8347671037</v>
      </c>
      <c r="BI61" s="224">
        <f t="shared" si="33"/>
        <v>3530226.8347671037</v>
      </c>
      <c r="BJ61" s="224">
        <f t="shared" si="33"/>
        <v>3530226.8347671037</v>
      </c>
      <c r="BK61" s="224">
        <f t="shared" si="33"/>
        <v>3530226.8347671037</v>
      </c>
      <c r="BL61" s="224">
        <f t="shared" si="33"/>
        <v>3530226.8347671037</v>
      </c>
      <c r="BM61" s="224">
        <f t="shared" si="33"/>
        <v>3530226.8347671037</v>
      </c>
      <c r="BN61" s="224">
        <f t="shared" si="33"/>
        <v>3530226.8347671037</v>
      </c>
      <c r="BO61" s="224">
        <f t="shared" si="33"/>
        <v>3530226.8347671037</v>
      </c>
    </row>
    <row r="62" spans="1:67">
      <c r="A62" s="229" t="s">
        <v>220</v>
      </c>
      <c r="B62" s="230" t="s">
        <v>109</v>
      </c>
      <c r="C62" s="223">
        <v>60</v>
      </c>
      <c r="D62" s="224"/>
      <c r="E62" s="225">
        <f t="shared" si="26"/>
        <v>0</v>
      </c>
      <c r="F62" s="225">
        <f t="shared" si="26"/>
        <v>0</v>
      </c>
      <c r="G62" s="225">
        <f t="shared" si="26"/>
        <v>0</v>
      </c>
      <c r="H62" s="225">
        <f t="shared" si="26"/>
        <v>0</v>
      </c>
      <c r="I62" s="225">
        <f t="shared" si="26"/>
        <v>0</v>
      </c>
      <c r="J62" s="225">
        <f t="shared" si="26"/>
        <v>0</v>
      </c>
      <c r="K62" s="237"/>
      <c r="L62" s="237">
        <f t="shared" si="27"/>
        <v>0</v>
      </c>
      <c r="M62" s="237">
        <f t="shared" si="27"/>
        <v>0</v>
      </c>
      <c r="N62" s="237">
        <f t="shared" si="27"/>
        <v>0</v>
      </c>
      <c r="O62" s="237">
        <f t="shared" si="27"/>
        <v>0</v>
      </c>
      <c r="P62" s="237">
        <f t="shared" si="27"/>
        <v>0</v>
      </c>
      <c r="Q62" s="237">
        <f t="shared" si="27"/>
        <v>0</v>
      </c>
      <c r="R62" s="237">
        <f t="shared" si="27"/>
        <v>0</v>
      </c>
      <c r="S62" s="237">
        <f t="shared" si="27"/>
        <v>0</v>
      </c>
      <c r="T62" s="224"/>
      <c r="U62" s="224">
        <f t="shared" si="31"/>
        <v>0</v>
      </c>
      <c r="V62" s="224">
        <f t="shared" si="31"/>
        <v>0</v>
      </c>
      <c r="W62" s="224">
        <f t="shared" si="31"/>
        <v>0</v>
      </c>
      <c r="X62" s="226"/>
      <c r="Y62" s="226">
        <f t="shared" si="28"/>
        <v>0</v>
      </c>
      <c r="Z62" s="226">
        <f t="shared" si="28"/>
        <v>0</v>
      </c>
      <c r="AA62" s="224"/>
      <c r="AB62" s="224"/>
      <c r="AC62" s="224"/>
      <c r="AD62" s="224">
        <f t="shared" si="8"/>
        <v>0</v>
      </c>
      <c r="AE62" s="226"/>
      <c r="AF62" s="224"/>
      <c r="AG62" s="224">
        <f t="shared" si="9"/>
        <v>0</v>
      </c>
      <c r="AH62" s="226"/>
      <c r="AI62" s="226">
        <f t="shared" si="29"/>
        <v>0</v>
      </c>
      <c r="AJ62" s="226">
        <f t="shared" si="29"/>
        <v>0</v>
      </c>
      <c r="AK62" s="226">
        <f t="shared" si="29"/>
        <v>0</v>
      </c>
      <c r="AL62" s="226">
        <f t="shared" si="29"/>
        <v>0</v>
      </c>
      <c r="AM62" s="226">
        <f t="shared" si="29"/>
        <v>0</v>
      </c>
      <c r="AN62" s="235"/>
      <c r="AO62" s="235">
        <f t="shared" si="30"/>
        <v>0</v>
      </c>
      <c r="AP62" s="235">
        <f t="shared" si="30"/>
        <v>0</v>
      </c>
      <c r="AQ62" s="236">
        <f t="shared" si="30"/>
        <v>0</v>
      </c>
      <c r="AR62" s="236">
        <f t="shared" si="30"/>
        <v>0</v>
      </c>
      <c r="AS62" s="236">
        <f t="shared" si="30"/>
        <v>0</v>
      </c>
      <c r="AT62" s="236">
        <f t="shared" si="30"/>
        <v>0</v>
      </c>
      <c r="AU62" s="236">
        <f t="shared" si="30"/>
        <v>0</v>
      </c>
      <c r="AV62" s="236">
        <f t="shared" si="30"/>
        <v>0</v>
      </c>
      <c r="AW62" s="226"/>
      <c r="AX62" s="226">
        <f t="shared" si="32"/>
        <v>0</v>
      </c>
      <c r="AY62" s="226">
        <f t="shared" si="32"/>
        <v>0</v>
      </c>
      <c r="AZ62" s="226">
        <f t="shared" si="32"/>
        <v>0</v>
      </c>
      <c r="BA62" s="226">
        <f t="shared" si="32"/>
        <v>0</v>
      </c>
      <c r="BB62" s="226">
        <f t="shared" si="32"/>
        <v>0</v>
      </c>
      <c r="BC62" s="224"/>
      <c r="BD62" s="224">
        <f t="shared" si="33"/>
        <v>0</v>
      </c>
      <c r="BE62" s="224">
        <f t="shared" si="33"/>
        <v>0</v>
      </c>
      <c r="BF62" s="224">
        <f t="shared" si="33"/>
        <v>0</v>
      </c>
      <c r="BG62" s="224">
        <f t="shared" si="33"/>
        <v>0</v>
      </c>
      <c r="BH62" s="224">
        <f t="shared" si="33"/>
        <v>0</v>
      </c>
      <c r="BI62" s="224">
        <f t="shared" si="33"/>
        <v>0</v>
      </c>
      <c r="BJ62" s="224">
        <f t="shared" si="33"/>
        <v>0</v>
      </c>
      <c r="BK62" s="224">
        <f t="shared" si="33"/>
        <v>0</v>
      </c>
      <c r="BL62" s="224">
        <f t="shared" si="33"/>
        <v>0</v>
      </c>
      <c r="BM62" s="224">
        <f t="shared" si="33"/>
        <v>0</v>
      </c>
      <c r="BN62" s="224">
        <f t="shared" si="33"/>
        <v>0</v>
      </c>
      <c r="BO62" s="224">
        <f t="shared" si="33"/>
        <v>0</v>
      </c>
    </row>
    <row r="63" spans="1:67">
      <c r="A63" s="223">
        <v>1</v>
      </c>
      <c r="B63" s="228" t="s">
        <v>152</v>
      </c>
      <c r="C63" s="223">
        <v>61</v>
      </c>
      <c r="D63" s="224">
        <f>85514894.9222635+4069911.07417679</f>
        <v>89584805.996440291</v>
      </c>
      <c r="E63" s="225">
        <f t="shared" si="26"/>
        <v>89584805.996440291</v>
      </c>
      <c r="F63" s="225">
        <f t="shared" si="26"/>
        <v>89584805.996440291</v>
      </c>
      <c r="G63" s="225">
        <f t="shared" si="26"/>
        <v>89584805.996440291</v>
      </c>
      <c r="H63" s="225">
        <f t="shared" si="26"/>
        <v>89584805.996440291</v>
      </c>
      <c r="I63" s="225">
        <f t="shared" si="26"/>
        <v>89584805.996440291</v>
      </c>
      <c r="J63" s="225">
        <f t="shared" si="26"/>
        <v>89584805.996440291</v>
      </c>
      <c r="K63" s="237">
        <f>J63</f>
        <v>89584805.996440291</v>
      </c>
      <c r="L63" s="237">
        <f t="shared" si="27"/>
        <v>89584805.996440291</v>
      </c>
      <c r="M63" s="237">
        <f t="shared" si="27"/>
        <v>89584805.996440291</v>
      </c>
      <c r="N63" s="237">
        <f t="shared" si="27"/>
        <v>89584805.996440291</v>
      </c>
      <c r="O63" s="237">
        <f t="shared" si="27"/>
        <v>89584805.996440291</v>
      </c>
      <c r="P63" s="237">
        <f t="shared" si="27"/>
        <v>89584805.996440291</v>
      </c>
      <c r="Q63" s="237">
        <f t="shared" si="27"/>
        <v>89584805.996440291</v>
      </c>
      <c r="R63" s="237">
        <f t="shared" si="27"/>
        <v>89584805.996440291</v>
      </c>
      <c r="S63" s="237">
        <f t="shared" si="27"/>
        <v>89584805.996440291</v>
      </c>
      <c r="T63" s="224">
        <f>85514894.9222635+4069911.07417679</f>
        <v>89584805.996440291</v>
      </c>
      <c r="U63" s="224">
        <f t="shared" si="31"/>
        <v>89584805.996440291</v>
      </c>
      <c r="V63" s="224">
        <f t="shared" si="31"/>
        <v>89584805.996440291</v>
      </c>
      <c r="W63" s="224">
        <f t="shared" si="31"/>
        <v>89584805.996440291</v>
      </c>
      <c r="X63" s="226">
        <f>85514894.9222635+4069911.07417679</f>
        <v>89584805.996440291</v>
      </c>
      <c r="Y63" s="226">
        <f t="shared" si="28"/>
        <v>89584805.996440291</v>
      </c>
      <c r="Z63" s="226">
        <f t="shared" si="28"/>
        <v>89584805.996440291</v>
      </c>
      <c r="AA63" s="224">
        <f>85514894.9222635+4069911.07417679</f>
        <v>89584805.996440291</v>
      </c>
      <c r="AB63" s="224">
        <f>85514894.9222635+4069911.07417679</f>
        <v>89584805.996440291</v>
      </c>
      <c r="AC63" s="224">
        <f>85514894.9222635+4069911.07417679</f>
        <v>89584805.996440291</v>
      </c>
      <c r="AD63" s="224">
        <f t="shared" si="8"/>
        <v>89584805.996440291</v>
      </c>
      <c r="AE63" s="224">
        <f>85514894.9222635+4069911.07417679</f>
        <v>89584805.996440291</v>
      </c>
      <c r="AF63" s="224">
        <f>85514894.9222635+4069911.07417679</f>
        <v>89584805.996440291</v>
      </c>
      <c r="AG63" s="224">
        <f t="shared" si="9"/>
        <v>89584805.996440291</v>
      </c>
      <c r="AH63" s="226">
        <f>85514894.9222635+4069911.07417679</f>
        <v>89584805.996440291</v>
      </c>
      <c r="AI63" s="226">
        <f t="shared" si="29"/>
        <v>89584805.996440291</v>
      </c>
      <c r="AJ63" s="226">
        <f t="shared" si="29"/>
        <v>89584805.996440291</v>
      </c>
      <c r="AK63" s="226">
        <f t="shared" si="29"/>
        <v>89584805.996440291</v>
      </c>
      <c r="AL63" s="226">
        <f t="shared" si="29"/>
        <v>89584805.996440291</v>
      </c>
      <c r="AM63" s="226">
        <f t="shared" si="29"/>
        <v>89584805.996440291</v>
      </c>
      <c r="AN63" s="235">
        <f>85514894.9222635+4069911.07417679</f>
        <v>89584805.996440291</v>
      </c>
      <c r="AO63" s="235">
        <f t="shared" si="30"/>
        <v>89584805.996440291</v>
      </c>
      <c r="AP63" s="235">
        <f t="shared" si="30"/>
        <v>89584805.996440291</v>
      </c>
      <c r="AQ63" s="236">
        <f t="shared" si="30"/>
        <v>89584805.996440291</v>
      </c>
      <c r="AR63" s="236">
        <f t="shared" si="30"/>
        <v>89584805.996440291</v>
      </c>
      <c r="AS63" s="236">
        <f t="shared" si="30"/>
        <v>89584805.996440291</v>
      </c>
      <c r="AT63" s="236">
        <f t="shared" si="30"/>
        <v>89584805.996440291</v>
      </c>
      <c r="AU63" s="236">
        <f t="shared" si="30"/>
        <v>89584805.996440291</v>
      </c>
      <c r="AV63" s="236">
        <f t="shared" si="30"/>
        <v>89584805.996440291</v>
      </c>
      <c r="AW63" s="226">
        <f>85514894.9222635+4069911.07417679</f>
        <v>89584805.996440291</v>
      </c>
      <c r="AX63" s="226">
        <f t="shared" si="32"/>
        <v>89584805.996440291</v>
      </c>
      <c r="AY63" s="226">
        <f t="shared" si="32"/>
        <v>89584805.996440291</v>
      </c>
      <c r="AZ63" s="226">
        <f t="shared" si="32"/>
        <v>89584805.996440291</v>
      </c>
      <c r="BA63" s="226">
        <f t="shared" si="32"/>
        <v>89584805.996440291</v>
      </c>
      <c r="BB63" s="226">
        <f t="shared" si="32"/>
        <v>89584805.996440291</v>
      </c>
      <c r="BC63" s="224">
        <f>85514894.9222635+4069911.07417679</f>
        <v>89584805.996440291</v>
      </c>
      <c r="BD63" s="224">
        <f t="shared" si="33"/>
        <v>89584805.996440291</v>
      </c>
      <c r="BE63" s="224">
        <f t="shared" si="33"/>
        <v>89584805.996440291</v>
      </c>
      <c r="BF63" s="224">
        <f t="shared" si="33"/>
        <v>89584805.996440291</v>
      </c>
      <c r="BG63" s="224">
        <f t="shared" si="33"/>
        <v>89584805.996440291</v>
      </c>
      <c r="BH63" s="224">
        <f t="shared" si="33"/>
        <v>89584805.996440291</v>
      </c>
      <c r="BI63" s="224">
        <f t="shared" si="33"/>
        <v>89584805.996440291</v>
      </c>
      <c r="BJ63" s="224">
        <f t="shared" si="33"/>
        <v>89584805.996440291</v>
      </c>
      <c r="BK63" s="224">
        <f t="shared" si="33"/>
        <v>89584805.996440291</v>
      </c>
      <c r="BL63" s="224">
        <f t="shared" si="33"/>
        <v>89584805.996440291</v>
      </c>
      <c r="BM63" s="224">
        <f t="shared" si="33"/>
        <v>89584805.996440291</v>
      </c>
      <c r="BN63" s="224">
        <f t="shared" si="33"/>
        <v>89584805.996440291</v>
      </c>
      <c r="BO63" s="224">
        <f t="shared" si="33"/>
        <v>89584805.996440291</v>
      </c>
    </row>
    <row r="64" spans="1:67">
      <c r="A64" s="223">
        <f>+A63+1</f>
        <v>2</v>
      </c>
      <c r="B64" s="228" t="s">
        <v>153</v>
      </c>
      <c r="C64" s="223">
        <v>62</v>
      </c>
      <c r="D64" s="224"/>
      <c r="E64" s="225">
        <f t="shared" ref="E64:K84" si="34">D64</f>
        <v>0</v>
      </c>
      <c r="F64" s="225">
        <f t="shared" si="34"/>
        <v>0</v>
      </c>
      <c r="G64" s="225">
        <f t="shared" si="34"/>
        <v>0</v>
      </c>
      <c r="H64" s="225">
        <f t="shared" si="34"/>
        <v>0</v>
      </c>
      <c r="I64" s="225">
        <f t="shared" si="34"/>
        <v>0</v>
      </c>
      <c r="J64" s="225">
        <f t="shared" si="34"/>
        <v>0</v>
      </c>
      <c r="K64" s="237"/>
      <c r="L64" s="237">
        <f t="shared" si="27"/>
        <v>0</v>
      </c>
      <c r="M64" s="237">
        <f t="shared" si="27"/>
        <v>0</v>
      </c>
      <c r="N64" s="237">
        <f t="shared" si="27"/>
        <v>0</v>
      </c>
      <c r="O64" s="237">
        <f t="shared" si="27"/>
        <v>0</v>
      </c>
      <c r="P64" s="237">
        <f t="shared" si="27"/>
        <v>0</v>
      </c>
      <c r="Q64" s="237">
        <f t="shared" si="27"/>
        <v>0</v>
      </c>
      <c r="R64" s="237">
        <f t="shared" si="27"/>
        <v>0</v>
      </c>
      <c r="S64" s="237">
        <f t="shared" si="27"/>
        <v>0</v>
      </c>
      <c r="T64" s="224"/>
      <c r="U64" s="224">
        <f t="shared" si="31"/>
        <v>0</v>
      </c>
      <c r="V64" s="224">
        <f t="shared" si="31"/>
        <v>0</v>
      </c>
      <c r="W64" s="224">
        <f t="shared" si="31"/>
        <v>0</v>
      </c>
      <c r="X64" s="226"/>
      <c r="Y64" s="226">
        <f t="shared" si="28"/>
        <v>0</v>
      </c>
      <c r="Z64" s="226">
        <f t="shared" si="28"/>
        <v>0</v>
      </c>
      <c r="AA64" s="224"/>
      <c r="AB64" s="224"/>
      <c r="AC64" s="224"/>
      <c r="AD64" s="224">
        <f t="shared" si="8"/>
        <v>0</v>
      </c>
      <c r="AE64" s="224"/>
      <c r="AF64" s="224"/>
      <c r="AG64" s="224">
        <f t="shared" si="9"/>
        <v>0</v>
      </c>
      <c r="AH64" s="226"/>
      <c r="AI64" s="226">
        <f t="shared" si="29"/>
        <v>0</v>
      </c>
      <c r="AJ64" s="226">
        <f t="shared" si="29"/>
        <v>0</v>
      </c>
      <c r="AK64" s="226">
        <f t="shared" si="29"/>
        <v>0</v>
      </c>
      <c r="AL64" s="226">
        <f t="shared" si="29"/>
        <v>0</v>
      </c>
      <c r="AM64" s="226">
        <f t="shared" si="29"/>
        <v>0</v>
      </c>
      <c r="AN64" s="235"/>
      <c r="AO64" s="235">
        <f t="shared" si="30"/>
        <v>0</v>
      </c>
      <c r="AP64" s="235">
        <f t="shared" si="30"/>
        <v>0</v>
      </c>
      <c r="AQ64" s="236">
        <f t="shared" si="30"/>
        <v>0</v>
      </c>
      <c r="AR64" s="236">
        <f t="shared" si="30"/>
        <v>0</v>
      </c>
      <c r="AS64" s="236">
        <f t="shared" si="30"/>
        <v>0</v>
      </c>
      <c r="AT64" s="236">
        <f t="shared" si="30"/>
        <v>0</v>
      </c>
      <c r="AU64" s="236">
        <f t="shared" si="30"/>
        <v>0</v>
      </c>
      <c r="AV64" s="236">
        <f t="shared" si="30"/>
        <v>0</v>
      </c>
      <c r="AW64" s="226"/>
      <c r="AX64" s="226">
        <f t="shared" si="32"/>
        <v>0</v>
      </c>
      <c r="AY64" s="226">
        <f t="shared" si="32"/>
        <v>0</v>
      </c>
      <c r="AZ64" s="226">
        <f t="shared" si="32"/>
        <v>0</v>
      </c>
      <c r="BA64" s="226">
        <f t="shared" si="32"/>
        <v>0</v>
      </c>
      <c r="BB64" s="226">
        <f t="shared" si="32"/>
        <v>0</v>
      </c>
      <c r="BC64" s="224"/>
      <c r="BD64" s="224">
        <f t="shared" si="33"/>
        <v>0</v>
      </c>
      <c r="BE64" s="224">
        <f t="shared" si="33"/>
        <v>0</v>
      </c>
      <c r="BF64" s="224">
        <f t="shared" si="33"/>
        <v>0</v>
      </c>
      <c r="BG64" s="224">
        <f t="shared" si="33"/>
        <v>0</v>
      </c>
      <c r="BH64" s="224">
        <f t="shared" si="33"/>
        <v>0</v>
      </c>
      <c r="BI64" s="224">
        <f t="shared" si="33"/>
        <v>0</v>
      </c>
      <c r="BJ64" s="224">
        <f t="shared" si="33"/>
        <v>0</v>
      </c>
      <c r="BK64" s="224">
        <f t="shared" si="33"/>
        <v>0</v>
      </c>
      <c r="BL64" s="224">
        <f t="shared" si="33"/>
        <v>0</v>
      </c>
      <c r="BM64" s="224">
        <f t="shared" si="33"/>
        <v>0</v>
      </c>
      <c r="BN64" s="224">
        <f t="shared" si="33"/>
        <v>0</v>
      </c>
      <c r="BO64" s="224">
        <f t="shared" si="33"/>
        <v>0</v>
      </c>
    </row>
    <row r="65" spans="1:67">
      <c r="A65" s="223">
        <f t="shared" ref="A65:A70" si="35">+A64+1</f>
        <v>3</v>
      </c>
      <c r="B65" s="228" t="s">
        <v>154</v>
      </c>
      <c r="C65" s="223">
        <v>63</v>
      </c>
      <c r="D65" s="224">
        <f>75192924.3992997+5840969.22583183</f>
        <v>81033893.625131533</v>
      </c>
      <c r="E65" s="225">
        <f t="shared" si="34"/>
        <v>81033893.625131533</v>
      </c>
      <c r="F65" s="225">
        <f t="shared" si="34"/>
        <v>81033893.625131533</v>
      </c>
      <c r="G65" s="225">
        <f t="shared" si="34"/>
        <v>81033893.625131533</v>
      </c>
      <c r="H65" s="225">
        <f t="shared" si="34"/>
        <v>81033893.625131533</v>
      </c>
      <c r="I65" s="225">
        <f t="shared" si="34"/>
        <v>81033893.625131533</v>
      </c>
      <c r="J65" s="225">
        <f t="shared" si="34"/>
        <v>81033893.625131533</v>
      </c>
      <c r="K65" s="237">
        <f>J65</f>
        <v>81033893.625131533</v>
      </c>
      <c r="L65" s="237">
        <f t="shared" si="27"/>
        <v>81033893.625131533</v>
      </c>
      <c r="M65" s="237">
        <f t="shared" si="27"/>
        <v>81033893.625131533</v>
      </c>
      <c r="N65" s="237">
        <f t="shared" si="27"/>
        <v>81033893.625131533</v>
      </c>
      <c r="O65" s="237">
        <f t="shared" si="27"/>
        <v>81033893.625131533</v>
      </c>
      <c r="P65" s="237">
        <f t="shared" si="27"/>
        <v>81033893.625131533</v>
      </c>
      <c r="Q65" s="237">
        <f t="shared" si="27"/>
        <v>81033893.625131533</v>
      </c>
      <c r="R65" s="237">
        <f t="shared" si="27"/>
        <v>81033893.625131533</v>
      </c>
      <c r="S65" s="237">
        <f t="shared" si="27"/>
        <v>81033893.625131533</v>
      </c>
      <c r="T65" s="224">
        <f>75192924.3992997+5840969.22583183</f>
        <v>81033893.625131533</v>
      </c>
      <c r="U65" s="224">
        <f t="shared" si="31"/>
        <v>81033893.625131533</v>
      </c>
      <c r="V65" s="224">
        <f t="shared" si="31"/>
        <v>81033893.625131533</v>
      </c>
      <c r="W65" s="224">
        <f t="shared" si="31"/>
        <v>81033893.625131533</v>
      </c>
      <c r="X65" s="226">
        <f>75192924.3992997+5840969.22583183</f>
        <v>81033893.625131533</v>
      </c>
      <c r="Y65" s="226">
        <f t="shared" si="28"/>
        <v>81033893.625131533</v>
      </c>
      <c r="Z65" s="226">
        <f t="shared" si="28"/>
        <v>81033893.625131533</v>
      </c>
      <c r="AA65" s="224">
        <f>75192924.3992997+5840969.22583183</f>
        <v>81033893.625131533</v>
      </c>
      <c r="AB65" s="224">
        <f>75192924.3992997+5840969.22583183</f>
        <v>81033893.625131533</v>
      </c>
      <c r="AC65" s="224">
        <f>75192924.3992997+5840969.22583183</f>
        <v>81033893.625131533</v>
      </c>
      <c r="AD65" s="224">
        <f t="shared" si="8"/>
        <v>81033893.625131533</v>
      </c>
      <c r="AE65" s="224">
        <f>75192924.3992997+5840969.22583183</f>
        <v>81033893.625131533</v>
      </c>
      <c r="AF65" s="224">
        <f>75192924.3992997+5840969.22583183</f>
        <v>81033893.625131533</v>
      </c>
      <c r="AG65" s="224">
        <f t="shared" si="9"/>
        <v>81033893.625131533</v>
      </c>
      <c r="AH65" s="226">
        <f>75192924.3992997+5840969.22583183</f>
        <v>81033893.625131533</v>
      </c>
      <c r="AI65" s="226">
        <f t="shared" si="29"/>
        <v>81033893.625131533</v>
      </c>
      <c r="AJ65" s="226">
        <f t="shared" si="29"/>
        <v>81033893.625131533</v>
      </c>
      <c r="AK65" s="226">
        <f t="shared" si="29"/>
        <v>81033893.625131533</v>
      </c>
      <c r="AL65" s="226">
        <f t="shared" si="29"/>
        <v>81033893.625131533</v>
      </c>
      <c r="AM65" s="226">
        <f t="shared" si="29"/>
        <v>81033893.625131533</v>
      </c>
      <c r="AN65" s="235">
        <f>75192924.3992997+5840969.22583183</f>
        <v>81033893.625131533</v>
      </c>
      <c r="AO65" s="235">
        <f t="shared" si="30"/>
        <v>81033893.625131533</v>
      </c>
      <c r="AP65" s="235">
        <f t="shared" si="30"/>
        <v>81033893.625131533</v>
      </c>
      <c r="AQ65" s="236">
        <f t="shared" si="30"/>
        <v>81033893.625131533</v>
      </c>
      <c r="AR65" s="236">
        <f t="shared" si="30"/>
        <v>81033893.625131533</v>
      </c>
      <c r="AS65" s="236">
        <f t="shared" si="30"/>
        <v>81033893.625131533</v>
      </c>
      <c r="AT65" s="236">
        <f t="shared" si="30"/>
        <v>81033893.625131533</v>
      </c>
      <c r="AU65" s="236">
        <f t="shared" si="30"/>
        <v>81033893.625131533</v>
      </c>
      <c r="AV65" s="236">
        <f t="shared" si="30"/>
        <v>81033893.625131533</v>
      </c>
      <c r="AW65" s="226">
        <f>75192924.3992997+5840969.22583183</f>
        <v>81033893.625131533</v>
      </c>
      <c r="AX65" s="226">
        <f t="shared" si="32"/>
        <v>81033893.625131533</v>
      </c>
      <c r="AY65" s="226">
        <f t="shared" si="32"/>
        <v>81033893.625131533</v>
      </c>
      <c r="AZ65" s="226">
        <f t="shared" si="32"/>
        <v>81033893.625131533</v>
      </c>
      <c r="BA65" s="226">
        <f t="shared" si="32"/>
        <v>81033893.625131533</v>
      </c>
      <c r="BB65" s="226">
        <f t="shared" si="32"/>
        <v>81033893.625131533</v>
      </c>
      <c r="BC65" s="224">
        <f>75192924.3992997+5840969.22583183</f>
        <v>81033893.625131533</v>
      </c>
      <c r="BD65" s="224">
        <f t="shared" si="33"/>
        <v>81033893.625131533</v>
      </c>
      <c r="BE65" s="224">
        <f t="shared" si="33"/>
        <v>81033893.625131533</v>
      </c>
      <c r="BF65" s="224">
        <f t="shared" si="33"/>
        <v>81033893.625131533</v>
      </c>
      <c r="BG65" s="224">
        <f t="shared" si="33"/>
        <v>81033893.625131533</v>
      </c>
      <c r="BH65" s="224">
        <f t="shared" si="33"/>
        <v>81033893.625131533</v>
      </c>
      <c r="BI65" s="224">
        <f t="shared" si="33"/>
        <v>81033893.625131533</v>
      </c>
      <c r="BJ65" s="224">
        <f t="shared" si="33"/>
        <v>81033893.625131533</v>
      </c>
      <c r="BK65" s="224">
        <f t="shared" si="33"/>
        <v>81033893.625131533</v>
      </c>
      <c r="BL65" s="224">
        <f t="shared" si="33"/>
        <v>81033893.625131533</v>
      </c>
      <c r="BM65" s="224">
        <f t="shared" si="33"/>
        <v>81033893.625131533</v>
      </c>
      <c r="BN65" s="224">
        <f t="shared" si="33"/>
        <v>81033893.625131533</v>
      </c>
      <c r="BO65" s="224">
        <f t="shared" si="33"/>
        <v>81033893.625131533</v>
      </c>
    </row>
    <row r="66" spans="1:67">
      <c r="A66" s="223">
        <f t="shared" si="35"/>
        <v>4</v>
      </c>
      <c r="B66" s="228" t="s">
        <v>155</v>
      </c>
      <c r="C66" s="223">
        <v>64</v>
      </c>
      <c r="D66" s="224"/>
      <c r="E66" s="225">
        <f t="shared" si="34"/>
        <v>0</v>
      </c>
      <c r="F66" s="225">
        <f t="shared" si="34"/>
        <v>0</v>
      </c>
      <c r="G66" s="225">
        <f t="shared" si="34"/>
        <v>0</v>
      </c>
      <c r="H66" s="225">
        <f t="shared" si="34"/>
        <v>0</v>
      </c>
      <c r="I66" s="225">
        <f t="shared" si="34"/>
        <v>0</v>
      </c>
      <c r="J66" s="225">
        <f t="shared" si="34"/>
        <v>0</v>
      </c>
      <c r="K66" s="237"/>
      <c r="L66" s="237">
        <f t="shared" ref="L66:S86" si="36">K66</f>
        <v>0</v>
      </c>
      <c r="M66" s="237">
        <f t="shared" si="36"/>
        <v>0</v>
      </c>
      <c r="N66" s="237">
        <f t="shared" si="36"/>
        <v>0</v>
      </c>
      <c r="O66" s="237">
        <f t="shared" si="36"/>
        <v>0</v>
      </c>
      <c r="P66" s="237">
        <f t="shared" si="36"/>
        <v>0</v>
      </c>
      <c r="Q66" s="237">
        <f t="shared" si="36"/>
        <v>0</v>
      </c>
      <c r="R66" s="237">
        <f t="shared" si="36"/>
        <v>0</v>
      </c>
      <c r="S66" s="237">
        <f t="shared" si="36"/>
        <v>0</v>
      </c>
      <c r="T66" s="224"/>
      <c r="U66" s="224">
        <f t="shared" si="31"/>
        <v>0</v>
      </c>
      <c r="V66" s="224">
        <f t="shared" si="31"/>
        <v>0</v>
      </c>
      <c r="W66" s="224">
        <f t="shared" si="31"/>
        <v>0</v>
      </c>
      <c r="X66" s="226"/>
      <c r="Y66" s="226">
        <f t="shared" ref="Y66:Z86" si="37">X66</f>
        <v>0</v>
      </c>
      <c r="Z66" s="226">
        <f t="shared" si="37"/>
        <v>0</v>
      </c>
      <c r="AA66" s="224"/>
      <c r="AB66" s="224"/>
      <c r="AC66" s="224"/>
      <c r="AD66" s="224">
        <f t="shared" si="8"/>
        <v>0</v>
      </c>
      <c r="AE66" s="224"/>
      <c r="AF66" s="224"/>
      <c r="AG66" s="224">
        <f t="shared" si="9"/>
        <v>0</v>
      </c>
      <c r="AH66" s="226"/>
      <c r="AI66" s="226">
        <f t="shared" ref="AI66:AM86" si="38">AH66</f>
        <v>0</v>
      </c>
      <c r="AJ66" s="226">
        <f t="shared" si="38"/>
        <v>0</v>
      </c>
      <c r="AK66" s="226">
        <f t="shared" si="38"/>
        <v>0</v>
      </c>
      <c r="AL66" s="226">
        <f t="shared" si="38"/>
        <v>0</v>
      </c>
      <c r="AM66" s="226">
        <f t="shared" si="38"/>
        <v>0</v>
      </c>
      <c r="AN66" s="235"/>
      <c r="AO66" s="235">
        <f t="shared" ref="AO66:AV86" si="39">AN66</f>
        <v>0</v>
      </c>
      <c r="AP66" s="235">
        <f t="shared" si="39"/>
        <v>0</v>
      </c>
      <c r="AQ66" s="236">
        <f t="shared" si="39"/>
        <v>0</v>
      </c>
      <c r="AR66" s="236">
        <f t="shared" si="39"/>
        <v>0</v>
      </c>
      <c r="AS66" s="236">
        <f t="shared" si="39"/>
        <v>0</v>
      </c>
      <c r="AT66" s="236">
        <f t="shared" si="39"/>
        <v>0</v>
      </c>
      <c r="AU66" s="236">
        <f t="shared" si="39"/>
        <v>0</v>
      </c>
      <c r="AV66" s="236">
        <f t="shared" si="39"/>
        <v>0</v>
      </c>
      <c r="AW66" s="226"/>
      <c r="AX66" s="226">
        <f t="shared" si="32"/>
        <v>0</v>
      </c>
      <c r="AY66" s="226">
        <f t="shared" si="32"/>
        <v>0</v>
      </c>
      <c r="AZ66" s="226">
        <f t="shared" si="32"/>
        <v>0</v>
      </c>
      <c r="BA66" s="226">
        <f t="shared" si="32"/>
        <v>0</v>
      </c>
      <c r="BB66" s="226">
        <f t="shared" si="32"/>
        <v>0</v>
      </c>
      <c r="BC66" s="224"/>
      <c r="BD66" s="224">
        <f t="shared" si="33"/>
        <v>0</v>
      </c>
      <c r="BE66" s="224">
        <f t="shared" si="33"/>
        <v>0</v>
      </c>
      <c r="BF66" s="224">
        <f t="shared" si="33"/>
        <v>0</v>
      </c>
      <c r="BG66" s="224">
        <f t="shared" si="33"/>
        <v>0</v>
      </c>
      <c r="BH66" s="224">
        <f t="shared" si="33"/>
        <v>0</v>
      </c>
      <c r="BI66" s="224">
        <f t="shared" si="33"/>
        <v>0</v>
      </c>
      <c r="BJ66" s="224">
        <f t="shared" si="33"/>
        <v>0</v>
      </c>
      <c r="BK66" s="224">
        <f t="shared" si="33"/>
        <v>0</v>
      </c>
      <c r="BL66" s="224">
        <f t="shared" si="33"/>
        <v>0</v>
      </c>
      <c r="BM66" s="224">
        <f t="shared" si="33"/>
        <v>0</v>
      </c>
      <c r="BN66" s="224">
        <f t="shared" si="33"/>
        <v>0</v>
      </c>
      <c r="BO66" s="224">
        <f t="shared" si="33"/>
        <v>0</v>
      </c>
    </row>
    <row r="67" spans="1:67" ht="30">
      <c r="A67" s="223">
        <f t="shared" si="35"/>
        <v>5</v>
      </c>
      <c r="B67" s="228" t="s">
        <v>156</v>
      </c>
      <c r="C67" s="223">
        <v>65</v>
      </c>
      <c r="D67" s="227">
        <f>94126960.1145585+4406983.25767679</f>
        <v>98533943.372235298</v>
      </c>
      <c r="E67" s="225">
        <f t="shared" si="34"/>
        <v>98533943.372235298</v>
      </c>
      <c r="F67" s="225">
        <f t="shared" si="34"/>
        <v>98533943.372235298</v>
      </c>
      <c r="G67" s="225">
        <f t="shared" si="34"/>
        <v>98533943.372235298</v>
      </c>
      <c r="H67" s="225">
        <f t="shared" si="34"/>
        <v>98533943.372235298</v>
      </c>
      <c r="I67" s="225">
        <f t="shared" si="34"/>
        <v>98533943.372235298</v>
      </c>
      <c r="J67" s="225">
        <f t="shared" si="34"/>
        <v>98533943.372235298</v>
      </c>
      <c r="K67" s="237">
        <f>J67</f>
        <v>98533943.372235298</v>
      </c>
      <c r="L67" s="237">
        <f t="shared" si="36"/>
        <v>98533943.372235298</v>
      </c>
      <c r="M67" s="237">
        <f t="shared" si="36"/>
        <v>98533943.372235298</v>
      </c>
      <c r="N67" s="237">
        <f t="shared" si="36"/>
        <v>98533943.372235298</v>
      </c>
      <c r="O67" s="237">
        <f t="shared" si="36"/>
        <v>98533943.372235298</v>
      </c>
      <c r="P67" s="237">
        <f t="shared" si="36"/>
        <v>98533943.372235298</v>
      </c>
      <c r="Q67" s="237">
        <f t="shared" si="36"/>
        <v>98533943.372235298</v>
      </c>
      <c r="R67" s="237">
        <f t="shared" si="36"/>
        <v>98533943.372235298</v>
      </c>
      <c r="S67" s="237">
        <f t="shared" si="36"/>
        <v>98533943.372235298</v>
      </c>
      <c r="T67" s="227">
        <f>94126960.1145585+4406983.25767679</f>
        <v>98533943.372235298</v>
      </c>
      <c r="U67" s="224">
        <f t="shared" ref="U67:W86" si="40">T67</f>
        <v>98533943.372235298</v>
      </c>
      <c r="V67" s="224">
        <f t="shared" si="40"/>
        <v>98533943.372235298</v>
      </c>
      <c r="W67" s="224">
        <f t="shared" si="40"/>
        <v>98533943.372235298</v>
      </c>
      <c r="X67" s="226">
        <f>94126960.1145585+4406983.25767679</f>
        <v>98533943.372235298</v>
      </c>
      <c r="Y67" s="226">
        <f t="shared" si="37"/>
        <v>98533943.372235298</v>
      </c>
      <c r="Z67" s="226">
        <f t="shared" si="37"/>
        <v>98533943.372235298</v>
      </c>
      <c r="AA67" s="227">
        <f>94126960.1145585+4406983.25767679</f>
        <v>98533943.372235298</v>
      </c>
      <c r="AB67" s="227">
        <f>94126960.1145585+4406983.25767679</f>
        <v>98533943.372235298</v>
      </c>
      <c r="AC67" s="227">
        <f>94126960.1145585+4406983.25767679</f>
        <v>98533943.372235298</v>
      </c>
      <c r="AD67" s="224">
        <f t="shared" si="8"/>
        <v>98533943.372235298</v>
      </c>
      <c r="AE67" s="227">
        <f>94126960.1145585+4406983.25767679</f>
        <v>98533943.372235298</v>
      </c>
      <c r="AF67" s="227">
        <f>94126960.1145585+4406983.25767679</f>
        <v>98533943.372235298</v>
      </c>
      <c r="AG67" s="224">
        <f t="shared" si="9"/>
        <v>98533943.372235298</v>
      </c>
      <c r="AH67" s="226">
        <f>94126960.1145585+4406983.25767679</f>
        <v>98533943.372235298</v>
      </c>
      <c r="AI67" s="226">
        <f t="shared" si="38"/>
        <v>98533943.372235298</v>
      </c>
      <c r="AJ67" s="226">
        <f t="shared" si="38"/>
        <v>98533943.372235298</v>
      </c>
      <c r="AK67" s="226">
        <f t="shared" si="38"/>
        <v>98533943.372235298</v>
      </c>
      <c r="AL67" s="226">
        <f t="shared" si="38"/>
        <v>98533943.372235298</v>
      </c>
      <c r="AM67" s="226">
        <f t="shared" si="38"/>
        <v>98533943.372235298</v>
      </c>
      <c r="AN67" s="235">
        <f>94126960.1145585+4406983.25767679</f>
        <v>98533943.372235298</v>
      </c>
      <c r="AO67" s="235">
        <f t="shared" si="39"/>
        <v>98533943.372235298</v>
      </c>
      <c r="AP67" s="235">
        <f t="shared" si="39"/>
        <v>98533943.372235298</v>
      </c>
      <c r="AQ67" s="236">
        <f t="shared" si="39"/>
        <v>98533943.372235298</v>
      </c>
      <c r="AR67" s="236">
        <f t="shared" si="39"/>
        <v>98533943.372235298</v>
      </c>
      <c r="AS67" s="236">
        <f t="shared" si="39"/>
        <v>98533943.372235298</v>
      </c>
      <c r="AT67" s="236">
        <f t="shared" si="39"/>
        <v>98533943.372235298</v>
      </c>
      <c r="AU67" s="236">
        <f t="shared" si="39"/>
        <v>98533943.372235298</v>
      </c>
      <c r="AV67" s="236">
        <f t="shared" si="39"/>
        <v>98533943.372235298</v>
      </c>
      <c r="AW67" s="243">
        <f>94126960.1145585+4406983.25767679</f>
        <v>98533943.372235298</v>
      </c>
      <c r="AX67" s="226">
        <f t="shared" ref="AX67:BB86" si="41">AW67</f>
        <v>98533943.372235298</v>
      </c>
      <c r="AY67" s="226">
        <f t="shared" si="41"/>
        <v>98533943.372235298</v>
      </c>
      <c r="AZ67" s="226">
        <f t="shared" si="41"/>
        <v>98533943.372235298</v>
      </c>
      <c r="BA67" s="226">
        <f t="shared" si="41"/>
        <v>98533943.372235298</v>
      </c>
      <c r="BB67" s="226">
        <f t="shared" si="41"/>
        <v>98533943.372235298</v>
      </c>
      <c r="BC67" s="227">
        <f>94126960.1145585+4406983.25767679</f>
        <v>98533943.372235298</v>
      </c>
      <c r="BD67" s="224">
        <f t="shared" ref="BD67:BO86" si="42">BC67</f>
        <v>98533943.372235298</v>
      </c>
      <c r="BE67" s="224">
        <f t="shared" si="42"/>
        <v>98533943.372235298</v>
      </c>
      <c r="BF67" s="224">
        <f t="shared" si="42"/>
        <v>98533943.372235298</v>
      </c>
      <c r="BG67" s="224">
        <f t="shared" si="42"/>
        <v>98533943.372235298</v>
      </c>
      <c r="BH67" s="224">
        <f t="shared" si="42"/>
        <v>98533943.372235298</v>
      </c>
      <c r="BI67" s="224">
        <f t="shared" si="42"/>
        <v>98533943.372235298</v>
      </c>
      <c r="BJ67" s="224">
        <f t="shared" si="42"/>
        <v>98533943.372235298</v>
      </c>
      <c r="BK67" s="224">
        <f t="shared" si="42"/>
        <v>98533943.372235298</v>
      </c>
      <c r="BL67" s="224">
        <f t="shared" si="42"/>
        <v>98533943.372235298</v>
      </c>
      <c r="BM67" s="224">
        <f t="shared" si="42"/>
        <v>98533943.372235298</v>
      </c>
      <c r="BN67" s="224">
        <f t="shared" si="42"/>
        <v>98533943.372235298</v>
      </c>
      <c r="BO67" s="224">
        <f t="shared" si="42"/>
        <v>98533943.372235298</v>
      </c>
    </row>
    <row r="68" spans="1:67" ht="30">
      <c r="A68" s="223">
        <f t="shared" si="35"/>
        <v>6</v>
      </c>
      <c r="B68" s="228" t="s">
        <v>157</v>
      </c>
      <c r="C68" s="223">
        <v>66</v>
      </c>
      <c r="D68" s="224"/>
      <c r="E68" s="225">
        <f t="shared" si="34"/>
        <v>0</v>
      </c>
      <c r="F68" s="225">
        <f t="shared" si="34"/>
        <v>0</v>
      </c>
      <c r="G68" s="225">
        <f t="shared" si="34"/>
        <v>0</v>
      </c>
      <c r="H68" s="225">
        <f t="shared" si="34"/>
        <v>0</v>
      </c>
      <c r="I68" s="225">
        <f t="shared" si="34"/>
        <v>0</v>
      </c>
      <c r="J68" s="225">
        <f t="shared" si="34"/>
        <v>0</v>
      </c>
      <c r="K68" s="237"/>
      <c r="L68" s="237">
        <f t="shared" si="36"/>
        <v>0</v>
      </c>
      <c r="M68" s="237">
        <f t="shared" si="36"/>
        <v>0</v>
      </c>
      <c r="N68" s="237">
        <f t="shared" si="36"/>
        <v>0</v>
      </c>
      <c r="O68" s="237">
        <f t="shared" si="36"/>
        <v>0</v>
      </c>
      <c r="P68" s="237">
        <f t="shared" si="36"/>
        <v>0</v>
      </c>
      <c r="Q68" s="237">
        <f t="shared" si="36"/>
        <v>0</v>
      </c>
      <c r="R68" s="237">
        <f t="shared" si="36"/>
        <v>0</v>
      </c>
      <c r="S68" s="237">
        <f t="shared" si="36"/>
        <v>0</v>
      </c>
      <c r="T68" s="224"/>
      <c r="U68" s="224">
        <f t="shared" si="40"/>
        <v>0</v>
      </c>
      <c r="V68" s="224">
        <f t="shared" si="40"/>
        <v>0</v>
      </c>
      <c r="W68" s="224">
        <f t="shared" si="40"/>
        <v>0</v>
      </c>
      <c r="X68" s="226"/>
      <c r="Y68" s="226">
        <f t="shared" si="37"/>
        <v>0</v>
      </c>
      <c r="Z68" s="226">
        <f t="shared" si="37"/>
        <v>0</v>
      </c>
      <c r="AA68" s="224"/>
      <c r="AB68" s="224"/>
      <c r="AC68" s="224"/>
      <c r="AD68" s="224">
        <f t="shared" si="8"/>
        <v>0</v>
      </c>
      <c r="AE68" s="224"/>
      <c r="AF68" s="224"/>
      <c r="AG68" s="224">
        <f t="shared" si="9"/>
        <v>0</v>
      </c>
      <c r="AH68" s="226"/>
      <c r="AI68" s="226">
        <f t="shared" si="38"/>
        <v>0</v>
      </c>
      <c r="AJ68" s="226">
        <f t="shared" si="38"/>
        <v>0</v>
      </c>
      <c r="AK68" s="226">
        <f t="shared" si="38"/>
        <v>0</v>
      </c>
      <c r="AL68" s="226">
        <f t="shared" si="38"/>
        <v>0</v>
      </c>
      <c r="AM68" s="226">
        <f t="shared" si="38"/>
        <v>0</v>
      </c>
      <c r="AN68" s="235"/>
      <c r="AO68" s="235">
        <f t="shared" si="39"/>
        <v>0</v>
      </c>
      <c r="AP68" s="235">
        <f t="shared" si="39"/>
        <v>0</v>
      </c>
      <c r="AQ68" s="236">
        <f t="shared" si="39"/>
        <v>0</v>
      </c>
      <c r="AR68" s="236">
        <f t="shared" si="39"/>
        <v>0</v>
      </c>
      <c r="AS68" s="236">
        <f t="shared" si="39"/>
        <v>0</v>
      </c>
      <c r="AT68" s="236">
        <f t="shared" si="39"/>
        <v>0</v>
      </c>
      <c r="AU68" s="236">
        <f t="shared" si="39"/>
        <v>0</v>
      </c>
      <c r="AV68" s="236">
        <f t="shared" si="39"/>
        <v>0</v>
      </c>
      <c r="AW68" s="226"/>
      <c r="AX68" s="226">
        <f t="shared" si="41"/>
        <v>0</v>
      </c>
      <c r="AY68" s="226">
        <f t="shared" si="41"/>
        <v>0</v>
      </c>
      <c r="AZ68" s="226">
        <f t="shared" si="41"/>
        <v>0</v>
      </c>
      <c r="BA68" s="226">
        <f t="shared" si="41"/>
        <v>0</v>
      </c>
      <c r="BB68" s="226">
        <f t="shared" si="41"/>
        <v>0</v>
      </c>
      <c r="BC68" s="224"/>
      <c r="BD68" s="224">
        <f t="shared" si="42"/>
        <v>0</v>
      </c>
      <c r="BE68" s="224">
        <f t="shared" si="42"/>
        <v>0</v>
      </c>
      <c r="BF68" s="224">
        <f t="shared" si="42"/>
        <v>0</v>
      </c>
      <c r="BG68" s="224">
        <f t="shared" si="42"/>
        <v>0</v>
      </c>
      <c r="BH68" s="224">
        <f t="shared" si="42"/>
        <v>0</v>
      </c>
      <c r="BI68" s="224">
        <f t="shared" si="42"/>
        <v>0</v>
      </c>
      <c r="BJ68" s="224">
        <f t="shared" si="42"/>
        <v>0</v>
      </c>
      <c r="BK68" s="224">
        <f t="shared" si="42"/>
        <v>0</v>
      </c>
      <c r="BL68" s="224">
        <f t="shared" si="42"/>
        <v>0</v>
      </c>
      <c r="BM68" s="224">
        <f t="shared" si="42"/>
        <v>0</v>
      </c>
      <c r="BN68" s="224">
        <f t="shared" si="42"/>
        <v>0</v>
      </c>
      <c r="BO68" s="224">
        <f t="shared" si="42"/>
        <v>0</v>
      </c>
    </row>
    <row r="69" spans="1:67" ht="30">
      <c r="A69" s="223">
        <f t="shared" si="35"/>
        <v>7</v>
      </c>
      <c r="B69" s="228" t="s">
        <v>158</v>
      </c>
      <c r="C69" s="223">
        <v>67</v>
      </c>
      <c r="D69" s="224">
        <f>82975486.4197414+6834554.30827183</f>
        <v>89810040.728013232</v>
      </c>
      <c r="E69" s="225">
        <f t="shared" si="34"/>
        <v>89810040.728013232</v>
      </c>
      <c r="F69" s="225">
        <f t="shared" si="34"/>
        <v>89810040.728013232</v>
      </c>
      <c r="G69" s="225">
        <f t="shared" si="34"/>
        <v>89810040.728013232</v>
      </c>
      <c r="H69" s="225">
        <f t="shared" si="34"/>
        <v>89810040.728013232</v>
      </c>
      <c r="I69" s="225">
        <f t="shared" si="34"/>
        <v>89810040.728013232</v>
      </c>
      <c r="J69" s="225">
        <f t="shared" si="34"/>
        <v>89810040.728013232</v>
      </c>
      <c r="K69" s="237">
        <f>J69</f>
        <v>89810040.728013232</v>
      </c>
      <c r="L69" s="237">
        <f t="shared" si="36"/>
        <v>89810040.728013232</v>
      </c>
      <c r="M69" s="237">
        <f t="shared" si="36"/>
        <v>89810040.728013232</v>
      </c>
      <c r="N69" s="237">
        <f t="shared" si="36"/>
        <v>89810040.728013232</v>
      </c>
      <c r="O69" s="237">
        <f t="shared" si="36"/>
        <v>89810040.728013232</v>
      </c>
      <c r="P69" s="237">
        <f t="shared" si="36"/>
        <v>89810040.728013232</v>
      </c>
      <c r="Q69" s="237">
        <f t="shared" si="36"/>
        <v>89810040.728013232</v>
      </c>
      <c r="R69" s="237">
        <f t="shared" si="36"/>
        <v>89810040.728013232</v>
      </c>
      <c r="S69" s="237">
        <f t="shared" si="36"/>
        <v>89810040.728013232</v>
      </c>
      <c r="T69" s="224">
        <f>82975486.4197414+6834554.30827183</f>
        <v>89810040.728013232</v>
      </c>
      <c r="U69" s="224">
        <f t="shared" si="40"/>
        <v>89810040.728013232</v>
      </c>
      <c r="V69" s="224">
        <f t="shared" si="40"/>
        <v>89810040.728013232</v>
      </c>
      <c r="W69" s="224">
        <f t="shared" si="40"/>
        <v>89810040.728013232</v>
      </c>
      <c r="X69" s="226">
        <f>82975486.4197414+6834554.30827183</f>
        <v>89810040.728013232</v>
      </c>
      <c r="Y69" s="226">
        <f t="shared" si="37"/>
        <v>89810040.728013232</v>
      </c>
      <c r="Z69" s="226">
        <f t="shared" si="37"/>
        <v>89810040.728013232</v>
      </c>
      <c r="AA69" s="224">
        <f>82975486.4197414+6834554.30827183</f>
        <v>89810040.728013232</v>
      </c>
      <c r="AB69" s="224">
        <f>82975486.4197414+6834554.30827183</f>
        <v>89810040.728013232</v>
      </c>
      <c r="AC69" s="224">
        <f>82975486.4197414+6834554.30827183</f>
        <v>89810040.728013232</v>
      </c>
      <c r="AD69" s="224">
        <f t="shared" si="8"/>
        <v>89810040.728013232</v>
      </c>
      <c r="AE69" s="224">
        <f>82975486.4197414+6834554.30827183</f>
        <v>89810040.728013232</v>
      </c>
      <c r="AF69" s="224">
        <f>82975486.4197414+6834554.30827183</f>
        <v>89810040.728013232</v>
      </c>
      <c r="AG69" s="224">
        <f t="shared" si="9"/>
        <v>89810040.728013232</v>
      </c>
      <c r="AH69" s="226">
        <f>82975486.4197414+6834554.30827183</f>
        <v>89810040.728013232</v>
      </c>
      <c r="AI69" s="226">
        <f t="shared" si="38"/>
        <v>89810040.728013232</v>
      </c>
      <c r="AJ69" s="226">
        <f t="shared" si="38"/>
        <v>89810040.728013232</v>
      </c>
      <c r="AK69" s="226">
        <f t="shared" si="38"/>
        <v>89810040.728013232</v>
      </c>
      <c r="AL69" s="226">
        <f t="shared" si="38"/>
        <v>89810040.728013232</v>
      </c>
      <c r="AM69" s="226">
        <f t="shared" si="38"/>
        <v>89810040.728013232</v>
      </c>
      <c r="AN69" s="235">
        <f>82975486.4197414+6834554.30827183</f>
        <v>89810040.728013232</v>
      </c>
      <c r="AO69" s="235">
        <f t="shared" si="39"/>
        <v>89810040.728013232</v>
      </c>
      <c r="AP69" s="235">
        <f t="shared" si="39"/>
        <v>89810040.728013232</v>
      </c>
      <c r="AQ69" s="236">
        <f t="shared" si="39"/>
        <v>89810040.728013232</v>
      </c>
      <c r="AR69" s="236">
        <f t="shared" si="39"/>
        <v>89810040.728013232</v>
      </c>
      <c r="AS69" s="236">
        <f t="shared" si="39"/>
        <v>89810040.728013232</v>
      </c>
      <c r="AT69" s="236">
        <f t="shared" si="39"/>
        <v>89810040.728013232</v>
      </c>
      <c r="AU69" s="236">
        <f t="shared" si="39"/>
        <v>89810040.728013232</v>
      </c>
      <c r="AV69" s="236">
        <f t="shared" si="39"/>
        <v>89810040.728013232</v>
      </c>
      <c r="AW69" s="226">
        <f>82975486.4197414+6834554.30827183</f>
        <v>89810040.728013232</v>
      </c>
      <c r="AX69" s="226">
        <f t="shared" si="41"/>
        <v>89810040.728013232</v>
      </c>
      <c r="AY69" s="226">
        <f t="shared" si="41"/>
        <v>89810040.728013232</v>
      </c>
      <c r="AZ69" s="226">
        <f t="shared" si="41"/>
        <v>89810040.728013232</v>
      </c>
      <c r="BA69" s="226">
        <f t="shared" si="41"/>
        <v>89810040.728013232</v>
      </c>
      <c r="BB69" s="226">
        <f t="shared" si="41"/>
        <v>89810040.728013232</v>
      </c>
      <c r="BC69" s="224">
        <f>82975486.4197414+6834554.30827183</f>
        <v>89810040.728013232</v>
      </c>
      <c r="BD69" s="224">
        <f t="shared" si="42"/>
        <v>89810040.728013232</v>
      </c>
      <c r="BE69" s="224">
        <f t="shared" si="42"/>
        <v>89810040.728013232</v>
      </c>
      <c r="BF69" s="224">
        <f t="shared" si="42"/>
        <v>89810040.728013232</v>
      </c>
      <c r="BG69" s="224">
        <f t="shared" si="42"/>
        <v>89810040.728013232</v>
      </c>
      <c r="BH69" s="224">
        <f t="shared" si="42"/>
        <v>89810040.728013232</v>
      </c>
      <c r="BI69" s="224">
        <f t="shared" si="42"/>
        <v>89810040.728013232</v>
      </c>
      <c r="BJ69" s="224">
        <f t="shared" si="42"/>
        <v>89810040.728013232</v>
      </c>
      <c r="BK69" s="224">
        <f t="shared" si="42"/>
        <v>89810040.728013232</v>
      </c>
      <c r="BL69" s="224">
        <f t="shared" si="42"/>
        <v>89810040.728013232</v>
      </c>
      <c r="BM69" s="224">
        <f t="shared" si="42"/>
        <v>89810040.728013232</v>
      </c>
      <c r="BN69" s="224">
        <f t="shared" si="42"/>
        <v>89810040.728013232</v>
      </c>
      <c r="BO69" s="224">
        <f t="shared" si="42"/>
        <v>89810040.728013232</v>
      </c>
    </row>
    <row r="70" spans="1:67" ht="30">
      <c r="A70" s="223">
        <f t="shared" si="35"/>
        <v>8</v>
      </c>
      <c r="B70" s="228" t="s">
        <v>159</v>
      </c>
      <c r="C70" s="223">
        <v>68</v>
      </c>
      <c r="D70" s="224"/>
      <c r="E70" s="225">
        <f t="shared" si="34"/>
        <v>0</v>
      </c>
      <c r="F70" s="225">
        <f t="shared" si="34"/>
        <v>0</v>
      </c>
      <c r="G70" s="225">
        <f t="shared" si="34"/>
        <v>0</v>
      </c>
      <c r="H70" s="225">
        <f t="shared" si="34"/>
        <v>0</v>
      </c>
      <c r="I70" s="225">
        <f t="shared" si="34"/>
        <v>0</v>
      </c>
      <c r="J70" s="225">
        <f t="shared" si="34"/>
        <v>0</v>
      </c>
      <c r="K70" s="237"/>
      <c r="L70" s="237">
        <f t="shared" si="36"/>
        <v>0</v>
      </c>
      <c r="M70" s="237">
        <f t="shared" si="36"/>
        <v>0</v>
      </c>
      <c r="N70" s="237">
        <f t="shared" si="36"/>
        <v>0</v>
      </c>
      <c r="O70" s="237">
        <f t="shared" si="36"/>
        <v>0</v>
      </c>
      <c r="P70" s="237">
        <f t="shared" si="36"/>
        <v>0</v>
      </c>
      <c r="Q70" s="237">
        <f t="shared" si="36"/>
        <v>0</v>
      </c>
      <c r="R70" s="237">
        <f t="shared" si="36"/>
        <v>0</v>
      </c>
      <c r="S70" s="237">
        <f t="shared" si="36"/>
        <v>0</v>
      </c>
      <c r="T70" s="224"/>
      <c r="U70" s="224">
        <f t="shared" si="40"/>
        <v>0</v>
      </c>
      <c r="V70" s="224">
        <f t="shared" si="40"/>
        <v>0</v>
      </c>
      <c r="W70" s="224">
        <f t="shared" si="40"/>
        <v>0</v>
      </c>
      <c r="X70" s="226"/>
      <c r="Y70" s="226">
        <f t="shared" si="37"/>
        <v>0</v>
      </c>
      <c r="Z70" s="226">
        <f t="shared" si="37"/>
        <v>0</v>
      </c>
      <c r="AA70" s="224"/>
      <c r="AB70" s="224"/>
      <c r="AC70" s="224"/>
      <c r="AD70" s="224">
        <f t="shared" si="8"/>
        <v>0</v>
      </c>
      <c r="AE70" s="224"/>
      <c r="AF70" s="224"/>
      <c r="AG70" s="224">
        <f t="shared" si="9"/>
        <v>0</v>
      </c>
      <c r="AH70" s="226"/>
      <c r="AI70" s="226">
        <f t="shared" si="38"/>
        <v>0</v>
      </c>
      <c r="AJ70" s="226">
        <f t="shared" si="38"/>
        <v>0</v>
      </c>
      <c r="AK70" s="226">
        <f t="shared" si="38"/>
        <v>0</v>
      </c>
      <c r="AL70" s="226">
        <f t="shared" si="38"/>
        <v>0</v>
      </c>
      <c r="AM70" s="226">
        <f t="shared" si="38"/>
        <v>0</v>
      </c>
      <c r="AN70" s="235"/>
      <c r="AO70" s="235">
        <f t="shared" si="39"/>
        <v>0</v>
      </c>
      <c r="AP70" s="235">
        <f t="shared" si="39"/>
        <v>0</v>
      </c>
      <c r="AQ70" s="236">
        <f t="shared" si="39"/>
        <v>0</v>
      </c>
      <c r="AR70" s="236">
        <f t="shared" si="39"/>
        <v>0</v>
      </c>
      <c r="AS70" s="236">
        <f t="shared" si="39"/>
        <v>0</v>
      </c>
      <c r="AT70" s="236">
        <f t="shared" si="39"/>
        <v>0</v>
      </c>
      <c r="AU70" s="236">
        <f t="shared" si="39"/>
        <v>0</v>
      </c>
      <c r="AV70" s="236">
        <f t="shared" si="39"/>
        <v>0</v>
      </c>
      <c r="AW70" s="226"/>
      <c r="AX70" s="226">
        <f t="shared" si="41"/>
        <v>0</v>
      </c>
      <c r="AY70" s="226">
        <f t="shared" si="41"/>
        <v>0</v>
      </c>
      <c r="AZ70" s="226">
        <f t="shared" si="41"/>
        <v>0</v>
      </c>
      <c r="BA70" s="226">
        <f t="shared" si="41"/>
        <v>0</v>
      </c>
      <c r="BB70" s="226">
        <f t="shared" si="41"/>
        <v>0</v>
      </c>
      <c r="BC70" s="224"/>
      <c r="BD70" s="224">
        <f t="shared" si="42"/>
        <v>0</v>
      </c>
      <c r="BE70" s="224">
        <f t="shared" si="42"/>
        <v>0</v>
      </c>
      <c r="BF70" s="224">
        <f t="shared" si="42"/>
        <v>0</v>
      </c>
      <c r="BG70" s="224">
        <f t="shared" si="42"/>
        <v>0</v>
      </c>
      <c r="BH70" s="224">
        <f t="shared" si="42"/>
        <v>0</v>
      </c>
      <c r="BI70" s="224">
        <f t="shared" si="42"/>
        <v>0</v>
      </c>
      <c r="BJ70" s="224">
        <f t="shared" si="42"/>
        <v>0</v>
      </c>
      <c r="BK70" s="224">
        <f t="shared" si="42"/>
        <v>0</v>
      </c>
      <c r="BL70" s="224">
        <f t="shared" si="42"/>
        <v>0</v>
      </c>
      <c r="BM70" s="224">
        <f t="shared" si="42"/>
        <v>0</v>
      </c>
      <c r="BN70" s="224">
        <f t="shared" si="42"/>
        <v>0</v>
      </c>
      <c r="BO70" s="224">
        <f t="shared" si="42"/>
        <v>0</v>
      </c>
    </row>
    <row r="71" spans="1:67">
      <c r="A71" s="223">
        <v>9</v>
      </c>
      <c r="B71" s="151" t="s">
        <v>1453</v>
      </c>
      <c r="C71" s="223">
        <v>69</v>
      </c>
      <c r="D71" s="224">
        <v>27939524</v>
      </c>
      <c r="E71" s="224">
        <v>27939524</v>
      </c>
      <c r="F71" s="224">
        <v>27939524</v>
      </c>
      <c r="G71" s="224">
        <v>27939524</v>
      </c>
      <c r="H71" s="224">
        <v>27939524</v>
      </c>
      <c r="I71" s="224">
        <v>27939524</v>
      </c>
      <c r="J71" s="224">
        <v>27939524</v>
      </c>
      <c r="K71" s="237">
        <v>27939524</v>
      </c>
      <c r="L71" s="237">
        <v>27939524</v>
      </c>
      <c r="M71" s="237">
        <v>27939524</v>
      </c>
      <c r="N71" s="237">
        <v>27939524</v>
      </c>
      <c r="O71" s="237">
        <v>27939524</v>
      </c>
      <c r="P71" s="237">
        <v>27939524</v>
      </c>
      <c r="Q71" s="237">
        <v>27939524</v>
      </c>
      <c r="R71" s="237">
        <v>27939524</v>
      </c>
      <c r="S71" s="237">
        <v>27939524</v>
      </c>
      <c r="T71" s="224">
        <v>27939524</v>
      </c>
      <c r="U71" s="224">
        <v>27939524</v>
      </c>
      <c r="V71" s="224">
        <v>27939524</v>
      </c>
      <c r="W71" s="224">
        <v>27939524</v>
      </c>
      <c r="X71" s="226">
        <v>27939524</v>
      </c>
      <c r="Y71" s="226">
        <v>27939524</v>
      </c>
      <c r="Z71" s="226">
        <v>27939524</v>
      </c>
      <c r="AA71" s="224">
        <v>27939524</v>
      </c>
      <c r="AB71" s="224">
        <v>27939524</v>
      </c>
      <c r="AC71" s="224">
        <v>27939524</v>
      </c>
      <c r="AD71" s="224">
        <v>27939524</v>
      </c>
      <c r="AE71" s="224">
        <v>27939524</v>
      </c>
      <c r="AF71" s="224">
        <v>27939524</v>
      </c>
      <c r="AG71" s="224">
        <v>27939524</v>
      </c>
      <c r="AH71" s="226">
        <v>27939524</v>
      </c>
      <c r="AI71" s="226">
        <v>27939524</v>
      </c>
      <c r="AJ71" s="226">
        <v>27939524</v>
      </c>
      <c r="AK71" s="226">
        <v>27939524</v>
      </c>
      <c r="AL71" s="226">
        <v>27939524</v>
      </c>
      <c r="AM71" s="226">
        <v>27939524</v>
      </c>
      <c r="AN71" s="235">
        <v>27939524</v>
      </c>
      <c r="AO71" s="235">
        <v>27939524</v>
      </c>
      <c r="AP71" s="235">
        <v>27939524</v>
      </c>
      <c r="AQ71" s="244">
        <v>27939524</v>
      </c>
      <c r="AR71" s="244">
        <v>27939524</v>
      </c>
      <c r="AS71" s="244">
        <v>27939524</v>
      </c>
      <c r="AT71" s="244">
        <v>27939524</v>
      </c>
      <c r="AU71" s="244">
        <v>27939524</v>
      </c>
      <c r="AV71" s="244">
        <v>27939524</v>
      </c>
      <c r="AW71" s="226">
        <v>27939524</v>
      </c>
      <c r="AX71" s="226">
        <v>27939524</v>
      </c>
      <c r="AY71" s="226">
        <v>27939524</v>
      </c>
      <c r="AZ71" s="226">
        <v>27939524</v>
      </c>
      <c r="BA71" s="226">
        <v>27939524</v>
      </c>
      <c r="BB71" s="226">
        <v>27939524</v>
      </c>
      <c r="BC71" s="224">
        <v>27939524</v>
      </c>
      <c r="BD71" s="224">
        <v>27939524</v>
      </c>
      <c r="BE71" s="224">
        <v>27939524</v>
      </c>
      <c r="BF71" s="224">
        <v>27939524</v>
      </c>
      <c r="BG71" s="224">
        <v>27939524</v>
      </c>
      <c r="BH71" s="224">
        <v>27939524</v>
      </c>
      <c r="BI71" s="224">
        <v>27939524</v>
      </c>
      <c r="BJ71" s="224">
        <v>27939524</v>
      </c>
      <c r="BK71" s="224">
        <v>27939524</v>
      </c>
      <c r="BL71" s="224">
        <v>27939524</v>
      </c>
      <c r="BM71" s="224">
        <v>27939524</v>
      </c>
      <c r="BN71" s="224">
        <v>27939524</v>
      </c>
      <c r="BO71" s="224">
        <v>27939524</v>
      </c>
    </row>
    <row r="72" spans="1:67">
      <c r="A72" s="223">
        <v>10</v>
      </c>
      <c r="B72" s="255" t="s">
        <v>1452</v>
      </c>
      <c r="C72" s="223">
        <v>70</v>
      </c>
      <c r="D72" s="224">
        <f>+D71*1.5</f>
        <v>41909286</v>
      </c>
      <c r="E72" s="224">
        <v>41909286</v>
      </c>
      <c r="F72" s="224">
        <v>41909286</v>
      </c>
      <c r="G72" s="224">
        <v>41909286</v>
      </c>
      <c r="H72" s="224">
        <v>41909286</v>
      </c>
      <c r="I72" s="224">
        <v>41909286</v>
      </c>
      <c r="J72" s="224">
        <v>41909286</v>
      </c>
      <c r="K72" s="237">
        <v>41909286</v>
      </c>
      <c r="L72" s="237">
        <v>41909286</v>
      </c>
      <c r="M72" s="237">
        <v>41909286</v>
      </c>
      <c r="N72" s="237">
        <v>41909286</v>
      </c>
      <c r="O72" s="237">
        <v>41909286</v>
      </c>
      <c r="P72" s="237">
        <v>41909286</v>
      </c>
      <c r="Q72" s="237">
        <v>41909286</v>
      </c>
      <c r="R72" s="237">
        <v>41909286</v>
      </c>
      <c r="S72" s="237">
        <v>41909286</v>
      </c>
      <c r="T72" s="224">
        <v>41909286</v>
      </c>
      <c r="U72" s="224">
        <v>41909286</v>
      </c>
      <c r="V72" s="224">
        <v>41909286</v>
      </c>
      <c r="W72" s="224">
        <v>41909286</v>
      </c>
      <c r="X72" s="226">
        <v>41909286</v>
      </c>
      <c r="Y72" s="226">
        <v>41909286</v>
      </c>
      <c r="Z72" s="226">
        <v>41909286</v>
      </c>
      <c r="AA72" s="224">
        <v>41909286</v>
      </c>
      <c r="AB72" s="224">
        <v>41909286</v>
      </c>
      <c r="AC72" s="224">
        <v>41909286</v>
      </c>
      <c r="AD72" s="224">
        <v>41909286</v>
      </c>
      <c r="AE72" s="224">
        <v>41909286</v>
      </c>
      <c r="AF72" s="224">
        <v>41909286</v>
      </c>
      <c r="AG72" s="224">
        <v>41909286</v>
      </c>
      <c r="AH72" s="226">
        <v>41909286</v>
      </c>
      <c r="AI72" s="226">
        <v>41909286</v>
      </c>
      <c r="AJ72" s="226">
        <v>41909286</v>
      </c>
      <c r="AK72" s="226">
        <v>41909286</v>
      </c>
      <c r="AL72" s="226">
        <v>41909286</v>
      </c>
      <c r="AM72" s="226">
        <v>41909286</v>
      </c>
      <c r="AN72" s="235">
        <v>41909286</v>
      </c>
      <c r="AO72" s="235">
        <v>41909286</v>
      </c>
      <c r="AP72" s="235">
        <v>41909286</v>
      </c>
      <c r="AQ72" s="244">
        <v>41909286</v>
      </c>
      <c r="AR72" s="244">
        <v>41909286</v>
      </c>
      <c r="AS72" s="244">
        <v>41909286</v>
      </c>
      <c r="AT72" s="244">
        <v>41909286</v>
      </c>
      <c r="AU72" s="244">
        <v>41909286</v>
      </c>
      <c r="AV72" s="244">
        <v>41909286</v>
      </c>
      <c r="AW72" s="226">
        <v>41909286</v>
      </c>
      <c r="AX72" s="226">
        <v>41909286</v>
      </c>
      <c r="AY72" s="226">
        <v>41909286</v>
      </c>
      <c r="AZ72" s="226">
        <v>41909286</v>
      </c>
      <c r="BA72" s="226">
        <v>41909286</v>
      </c>
      <c r="BB72" s="226">
        <v>41909286</v>
      </c>
      <c r="BC72" s="224">
        <v>41909286</v>
      </c>
      <c r="BD72" s="224">
        <v>41909286</v>
      </c>
      <c r="BE72" s="224">
        <v>41909286</v>
      </c>
      <c r="BF72" s="224">
        <v>41909286</v>
      </c>
      <c r="BG72" s="224">
        <v>41909286</v>
      </c>
      <c r="BH72" s="224">
        <v>41909286</v>
      </c>
      <c r="BI72" s="224">
        <v>41909286</v>
      </c>
      <c r="BJ72" s="224">
        <v>41909286</v>
      </c>
      <c r="BK72" s="224">
        <v>41909286</v>
      </c>
      <c r="BL72" s="224">
        <v>41909286</v>
      </c>
      <c r="BM72" s="224">
        <v>41909286</v>
      </c>
      <c r="BN72" s="224">
        <v>41909286</v>
      </c>
      <c r="BO72" s="224">
        <v>41909286</v>
      </c>
    </row>
    <row r="73" spans="1:67">
      <c r="A73" s="223">
        <f>+A72+1</f>
        <v>11</v>
      </c>
      <c r="B73" s="228" t="s">
        <v>1558</v>
      </c>
      <c r="C73" s="223">
        <v>71</v>
      </c>
      <c r="D73" s="224">
        <v>131564059</v>
      </c>
      <c r="E73" s="225">
        <v>131564059</v>
      </c>
      <c r="F73" s="225">
        <v>131564059</v>
      </c>
      <c r="G73" s="225">
        <v>131564059</v>
      </c>
      <c r="H73" s="225">
        <v>131564059</v>
      </c>
      <c r="I73" s="225">
        <v>131564059</v>
      </c>
      <c r="J73" s="225">
        <v>131564059</v>
      </c>
      <c r="K73" s="237">
        <v>131564059</v>
      </c>
      <c r="L73" s="237">
        <v>131564059</v>
      </c>
      <c r="M73" s="237">
        <v>131564059</v>
      </c>
      <c r="N73" s="237">
        <v>131564059</v>
      </c>
      <c r="O73" s="237">
        <v>131564059</v>
      </c>
      <c r="P73" s="237">
        <v>131564059</v>
      </c>
      <c r="Q73" s="237">
        <v>131564059</v>
      </c>
      <c r="R73" s="237">
        <v>131564059</v>
      </c>
      <c r="S73" s="237">
        <v>131564059</v>
      </c>
      <c r="T73" s="224">
        <v>131564059</v>
      </c>
      <c r="U73" s="224">
        <v>131564059</v>
      </c>
      <c r="V73" s="224">
        <v>131564059</v>
      </c>
      <c r="W73" s="224">
        <v>131564059</v>
      </c>
      <c r="X73" s="226">
        <v>131564059</v>
      </c>
      <c r="Y73" s="226">
        <v>131564059</v>
      </c>
      <c r="Z73" s="226">
        <v>131564059</v>
      </c>
      <c r="AA73" s="224">
        <v>131564059</v>
      </c>
      <c r="AB73" s="224">
        <v>131564059</v>
      </c>
      <c r="AC73" s="224">
        <v>131564059</v>
      </c>
      <c r="AD73" s="224">
        <v>131564059</v>
      </c>
      <c r="AE73" s="224">
        <v>131564059</v>
      </c>
      <c r="AF73" s="224">
        <v>131564059</v>
      </c>
      <c r="AG73" s="224">
        <v>131564059</v>
      </c>
      <c r="AH73" s="226">
        <v>131564059</v>
      </c>
      <c r="AI73" s="226">
        <v>131564059</v>
      </c>
      <c r="AJ73" s="226">
        <v>131564059</v>
      </c>
      <c r="AK73" s="226">
        <v>131564059</v>
      </c>
      <c r="AL73" s="226">
        <v>131564059</v>
      </c>
      <c r="AM73" s="226">
        <v>131564059</v>
      </c>
      <c r="AN73" s="235">
        <v>131564059</v>
      </c>
      <c r="AO73" s="235">
        <v>131564059</v>
      </c>
      <c r="AP73" s="235">
        <v>131564059</v>
      </c>
      <c r="AQ73" s="236">
        <v>131564059</v>
      </c>
      <c r="AR73" s="236">
        <v>131564059</v>
      </c>
      <c r="AS73" s="236">
        <v>131564059</v>
      </c>
      <c r="AT73" s="236">
        <v>131564059</v>
      </c>
      <c r="AU73" s="236">
        <v>131564059</v>
      </c>
      <c r="AV73" s="236">
        <v>131564059</v>
      </c>
      <c r="AW73" s="226">
        <v>131564059</v>
      </c>
      <c r="AX73" s="226">
        <v>131564059</v>
      </c>
      <c r="AY73" s="226">
        <v>131564059</v>
      </c>
      <c r="AZ73" s="226">
        <v>131564059</v>
      </c>
      <c r="BA73" s="226">
        <v>131564059</v>
      </c>
      <c r="BB73" s="226">
        <v>131564059</v>
      </c>
      <c r="BC73" s="224">
        <v>131564059</v>
      </c>
      <c r="BD73" s="224">
        <v>131564059</v>
      </c>
      <c r="BE73" s="224">
        <v>131564059</v>
      </c>
      <c r="BF73" s="224">
        <v>131564059</v>
      </c>
      <c r="BG73" s="224">
        <v>131564059</v>
      </c>
      <c r="BH73" s="224">
        <v>131564059</v>
      </c>
      <c r="BI73" s="224">
        <v>131564059</v>
      </c>
      <c r="BJ73" s="224">
        <v>131564059</v>
      </c>
      <c r="BK73" s="224">
        <v>131564059</v>
      </c>
      <c r="BL73" s="224">
        <v>131564059</v>
      </c>
      <c r="BM73" s="224">
        <v>131564059</v>
      </c>
      <c r="BN73" s="224">
        <v>131564059</v>
      </c>
      <c r="BO73" s="224">
        <v>131564059</v>
      </c>
    </row>
    <row r="74" spans="1:67">
      <c r="A74" s="223">
        <f>+A73+1</f>
        <v>12</v>
      </c>
      <c r="B74" s="228" t="s">
        <v>1559</v>
      </c>
      <c r="C74" s="223">
        <v>72</v>
      </c>
      <c r="D74" s="224">
        <v>150121486</v>
      </c>
      <c r="E74" s="225">
        <v>150121486</v>
      </c>
      <c r="F74" s="225">
        <v>150121486</v>
      </c>
      <c r="G74" s="225">
        <v>150121486</v>
      </c>
      <c r="H74" s="225">
        <v>150121486</v>
      </c>
      <c r="I74" s="225">
        <v>150121486</v>
      </c>
      <c r="J74" s="225">
        <v>150121486</v>
      </c>
      <c r="K74" s="237">
        <v>150121486</v>
      </c>
      <c r="L74" s="237">
        <v>150121486</v>
      </c>
      <c r="M74" s="237">
        <v>150121486</v>
      </c>
      <c r="N74" s="237">
        <v>150121486</v>
      </c>
      <c r="O74" s="237">
        <v>150121486</v>
      </c>
      <c r="P74" s="237">
        <v>150121486</v>
      </c>
      <c r="Q74" s="237">
        <v>150121486</v>
      </c>
      <c r="R74" s="237">
        <v>150121486</v>
      </c>
      <c r="S74" s="237">
        <v>150121486</v>
      </c>
      <c r="T74" s="224">
        <v>150121486</v>
      </c>
      <c r="U74" s="224">
        <v>150121486</v>
      </c>
      <c r="V74" s="224">
        <v>150121486</v>
      </c>
      <c r="W74" s="224">
        <v>150121486</v>
      </c>
      <c r="X74" s="226">
        <v>150121486</v>
      </c>
      <c r="Y74" s="226">
        <v>150121486</v>
      </c>
      <c r="Z74" s="226">
        <v>150121486</v>
      </c>
      <c r="AA74" s="224">
        <v>150121486</v>
      </c>
      <c r="AB74" s="224">
        <v>150121486</v>
      </c>
      <c r="AC74" s="224">
        <v>150121486</v>
      </c>
      <c r="AD74" s="224">
        <v>150121486</v>
      </c>
      <c r="AE74" s="224">
        <v>150121486</v>
      </c>
      <c r="AF74" s="224">
        <v>150121486</v>
      </c>
      <c r="AG74" s="224">
        <v>150121486</v>
      </c>
      <c r="AH74" s="226">
        <v>150121486</v>
      </c>
      <c r="AI74" s="226">
        <v>150121486</v>
      </c>
      <c r="AJ74" s="226">
        <v>150121486</v>
      </c>
      <c r="AK74" s="226">
        <v>150121486</v>
      </c>
      <c r="AL74" s="226">
        <v>150121486</v>
      </c>
      <c r="AM74" s="226">
        <v>150121486</v>
      </c>
      <c r="AN74" s="235">
        <v>150121486</v>
      </c>
      <c r="AO74" s="235">
        <v>150121486</v>
      </c>
      <c r="AP74" s="235">
        <v>150121486</v>
      </c>
      <c r="AQ74" s="236">
        <v>150121486</v>
      </c>
      <c r="AR74" s="236">
        <v>150121486</v>
      </c>
      <c r="AS74" s="236">
        <v>150121486</v>
      </c>
      <c r="AT74" s="236">
        <v>150121486</v>
      </c>
      <c r="AU74" s="236">
        <v>150121486</v>
      </c>
      <c r="AV74" s="236">
        <v>150121486</v>
      </c>
      <c r="AW74" s="226">
        <v>150121486</v>
      </c>
      <c r="AX74" s="226">
        <v>150121486</v>
      </c>
      <c r="AY74" s="226">
        <v>150121486</v>
      </c>
      <c r="AZ74" s="226">
        <v>150121486</v>
      </c>
      <c r="BA74" s="226">
        <v>150121486</v>
      </c>
      <c r="BB74" s="226">
        <v>150121486</v>
      </c>
      <c r="BC74" s="224">
        <v>150121486</v>
      </c>
      <c r="BD74" s="224">
        <v>150121486</v>
      </c>
      <c r="BE74" s="224">
        <v>150121486</v>
      </c>
      <c r="BF74" s="224">
        <v>150121486</v>
      </c>
      <c r="BG74" s="224">
        <v>150121486</v>
      </c>
      <c r="BH74" s="224">
        <v>150121486</v>
      </c>
      <c r="BI74" s="224">
        <v>150121486</v>
      </c>
      <c r="BJ74" s="224">
        <v>150121486</v>
      </c>
      <c r="BK74" s="224">
        <v>150121486</v>
      </c>
      <c r="BL74" s="224">
        <v>150121486</v>
      </c>
      <c r="BM74" s="224">
        <v>150121486</v>
      </c>
      <c r="BN74" s="224">
        <v>150121486</v>
      </c>
      <c r="BO74" s="224">
        <v>150121486</v>
      </c>
    </row>
    <row r="75" spans="1:67">
      <c r="A75" s="223">
        <f>+A74+1</f>
        <v>13</v>
      </c>
      <c r="B75" s="228" t="s">
        <v>1560</v>
      </c>
      <c r="C75" s="223">
        <v>73</v>
      </c>
      <c r="D75" s="224">
        <v>163588333</v>
      </c>
      <c r="E75" s="225">
        <v>163588333</v>
      </c>
      <c r="F75" s="225">
        <v>163588333</v>
      </c>
      <c r="G75" s="225">
        <v>163588333</v>
      </c>
      <c r="H75" s="225">
        <v>163588333</v>
      </c>
      <c r="I75" s="225">
        <v>163588333</v>
      </c>
      <c r="J75" s="225">
        <v>163588333</v>
      </c>
      <c r="K75" s="237">
        <v>163588333</v>
      </c>
      <c r="L75" s="237">
        <v>163588333</v>
      </c>
      <c r="M75" s="237">
        <v>163588333</v>
      </c>
      <c r="N75" s="237">
        <v>163588333</v>
      </c>
      <c r="O75" s="237">
        <v>163588333</v>
      </c>
      <c r="P75" s="237">
        <v>163588333</v>
      </c>
      <c r="Q75" s="237">
        <v>163588333</v>
      </c>
      <c r="R75" s="237">
        <v>163588333</v>
      </c>
      <c r="S75" s="237">
        <v>163588333</v>
      </c>
      <c r="T75" s="224">
        <v>163588333</v>
      </c>
      <c r="U75" s="224">
        <v>163588333</v>
      </c>
      <c r="V75" s="224">
        <v>163588333</v>
      </c>
      <c r="W75" s="224">
        <v>163588333</v>
      </c>
      <c r="X75" s="226">
        <v>163588333</v>
      </c>
      <c r="Y75" s="226">
        <v>163588333</v>
      </c>
      <c r="Z75" s="226">
        <v>163588333</v>
      </c>
      <c r="AA75" s="224">
        <v>163588333</v>
      </c>
      <c r="AB75" s="224">
        <v>163588333</v>
      </c>
      <c r="AC75" s="224">
        <v>163588333</v>
      </c>
      <c r="AD75" s="224">
        <v>163588333</v>
      </c>
      <c r="AE75" s="224">
        <v>163588333</v>
      </c>
      <c r="AF75" s="224">
        <v>163588333</v>
      </c>
      <c r="AG75" s="224">
        <v>163588333</v>
      </c>
      <c r="AH75" s="226">
        <v>163588333</v>
      </c>
      <c r="AI75" s="226">
        <v>163588333</v>
      </c>
      <c r="AJ75" s="226">
        <v>163588333</v>
      </c>
      <c r="AK75" s="226">
        <v>163588333</v>
      </c>
      <c r="AL75" s="226">
        <v>163588333</v>
      </c>
      <c r="AM75" s="226">
        <v>163588333</v>
      </c>
      <c r="AN75" s="235">
        <v>163588333</v>
      </c>
      <c r="AO75" s="235">
        <v>163588333</v>
      </c>
      <c r="AP75" s="235">
        <v>163588333</v>
      </c>
      <c r="AQ75" s="236">
        <v>163588333</v>
      </c>
      <c r="AR75" s="236">
        <v>163588333</v>
      </c>
      <c r="AS75" s="236">
        <v>163588333</v>
      </c>
      <c r="AT75" s="236">
        <v>163588333</v>
      </c>
      <c r="AU75" s="236">
        <v>163588333</v>
      </c>
      <c r="AV75" s="236">
        <v>163588333</v>
      </c>
      <c r="AW75" s="226">
        <v>163588333</v>
      </c>
      <c r="AX75" s="226">
        <v>163588333</v>
      </c>
      <c r="AY75" s="226">
        <v>163588333</v>
      </c>
      <c r="AZ75" s="226">
        <v>163588333</v>
      </c>
      <c r="BA75" s="226">
        <v>163588333</v>
      </c>
      <c r="BB75" s="226">
        <v>163588333</v>
      </c>
      <c r="BC75" s="224">
        <v>163588333</v>
      </c>
      <c r="BD75" s="224">
        <v>163588333</v>
      </c>
      <c r="BE75" s="224">
        <v>163588333</v>
      </c>
      <c r="BF75" s="224">
        <v>163588333</v>
      </c>
      <c r="BG75" s="224">
        <v>163588333</v>
      </c>
      <c r="BH75" s="224">
        <v>163588333</v>
      </c>
      <c r="BI75" s="224">
        <v>163588333</v>
      </c>
      <c r="BJ75" s="224">
        <v>163588333</v>
      </c>
      <c r="BK75" s="224">
        <v>163588333</v>
      </c>
      <c r="BL75" s="224">
        <v>163588333</v>
      </c>
      <c r="BM75" s="224">
        <v>163588333</v>
      </c>
      <c r="BN75" s="224">
        <v>163588333</v>
      </c>
      <c r="BO75" s="224">
        <v>163588333</v>
      </c>
    </row>
    <row r="76" spans="1:67">
      <c r="A76" s="223"/>
      <c r="B76" s="230" t="s">
        <v>16</v>
      </c>
      <c r="C76" s="223">
        <v>74</v>
      </c>
      <c r="D76" s="224"/>
      <c r="E76" s="225">
        <f t="shared" si="34"/>
        <v>0</v>
      </c>
      <c r="F76" s="225">
        <f t="shared" si="34"/>
        <v>0</v>
      </c>
      <c r="G76" s="225">
        <f t="shared" si="34"/>
        <v>0</v>
      </c>
      <c r="H76" s="225">
        <f t="shared" si="34"/>
        <v>0</v>
      </c>
      <c r="I76" s="225">
        <f t="shared" si="34"/>
        <v>0</v>
      </c>
      <c r="J76" s="225">
        <f t="shared" si="34"/>
        <v>0</v>
      </c>
      <c r="K76" s="237"/>
      <c r="L76" s="237">
        <f t="shared" si="36"/>
        <v>0</v>
      </c>
      <c r="M76" s="237">
        <f t="shared" si="36"/>
        <v>0</v>
      </c>
      <c r="N76" s="237">
        <f t="shared" si="36"/>
        <v>0</v>
      </c>
      <c r="O76" s="237">
        <f t="shared" si="36"/>
        <v>0</v>
      </c>
      <c r="P76" s="237">
        <f t="shared" si="36"/>
        <v>0</v>
      </c>
      <c r="Q76" s="237">
        <f t="shared" si="36"/>
        <v>0</v>
      </c>
      <c r="R76" s="237">
        <f t="shared" si="36"/>
        <v>0</v>
      </c>
      <c r="S76" s="237">
        <f t="shared" si="36"/>
        <v>0</v>
      </c>
      <c r="T76" s="224"/>
      <c r="U76" s="224">
        <f t="shared" si="40"/>
        <v>0</v>
      </c>
      <c r="V76" s="224">
        <f t="shared" si="40"/>
        <v>0</v>
      </c>
      <c r="W76" s="224">
        <f t="shared" si="40"/>
        <v>0</v>
      </c>
      <c r="X76" s="226"/>
      <c r="Y76" s="226">
        <f t="shared" si="37"/>
        <v>0</v>
      </c>
      <c r="Z76" s="226">
        <f t="shared" si="37"/>
        <v>0</v>
      </c>
      <c r="AA76" s="224"/>
      <c r="AB76" s="224"/>
      <c r="AC76" s="224"/>
      <c r="AD76" s="224">
        <f t="shared" si="8"/>
        <v>0</v>
      </c>
      <c r="AE76" s="224"/>
      <c r="AF76" s="224"/>
      <c r="AG76" s="224">
        <f t="shared" si="9"/>
        <v>0</v>
      </c>
      <c r="AH76" s="226"/>
      <c r="AI76" s="226">
        <f t="shared" si="38"/>
        <v>0</v>
      </c>
      <c r="AJ76" s="226">
        <f t="shared" si="38"/>
        <v>0</v>
      </c>
      <c r="AK76" s="226">
        <f t="shared" si="38"/>
        <v>0</v>
      </c>
      <c r="AL76" s="226">
        <f t="shared" si="38"/>
        <v>0</v>
      </c>
      <c r="AM76" s="226">
        <f t="shared" si="38"/>
        <v>0</v>
      </c>
      <c r="AN76" s="235"/>
      <c r="AO76" s="235">
        <f t="shared" si="39"/>
        <v>0</v>
      </c>
      <c r="AP76" s="235">
        <f t="shared" si="39"/>
        <v>0</v>
      </c>
      <c r="AQ76" s="236">
        <f t="shared" si="39"/>
        <v>0</v>
      </c>
      <c r="AR76" s="236">
        <f t="shared" si="39"/>
        <v>0</v>
      </c>
      <c r="AS76" s="236">
        <f t="shared" si="39"/>
        <v>0</v>
      </c>
      <c r="AT76" s="236">
        <f t="shared" si="39"/>
        <v>0</v>
      </c>
      <c r="AU76" s="236">
        <f t="shared" si="39"/>
        <v>0</v>
      </c>
      <c r="AV76" s="236">
        <f t="shared" si="39"/>
        <v>0</v>
      </c>
      <c r="AW76" s="226"/>
      <c r="AX76" s="226">
        <f t="shared" si="41"/>
        <v>0</v>
      </c>
      <c r="AY76" s="226">
        <f t="shared" si="41"/>
        <v>0</v>
      </c>
      <c r="AZ76" s="226">
        <f t="shared" si="41"/>
        <v>0</v>
      </c>
      <c r="BA76" s="226">
        <f t="shared" si="41"/>
        <v>0</v>
      </c>
      <c r="BB76" s="226">
        <f t="shared" si="41"/>
        <v>0</v>
      </c>
      <c r="BC76" s="224"/>
      <c r="BD76" s="224">
        <f t="shared" si="42"/>
        <v>0</v>
      </c>
      <c r="BE76" s="224">
        <f t="shared" si="42"/>
        <v>0</v>
      </c>
      <c r="BF76" s="224">
        <f t="shared" si="42"/>
        <v>0</v>
      </c>
      <c r="BG76" s="224">
        <f t="shared" si="42"/>
        <v>0</v>
      </c>
      <c r="BH76" s="224">
        <f t="shared" si="42"/>
        <v>0</v>
      </c>
      <c r="BI76" s="224">
        <f t="shared" si="42"/>
        <v>0</v>
      </c>
      <c r="BJ76" s="224">
        <f t="shared" si="42"/>
        <v>0</v>
      </c>
      <c r="BK76" s="224">
        <f t="shared" si="42"/>
        <v>0</v>
      </c>
      <c r="BL76" s="224">
        <f t="shared" si="42"/>
        <v>0</v>
      </c>
      <c r="BM76" s="224">
        <f t="shared" si="42"/>
        <v>0</v>
      </c>
      <c r="BN76" s="224">
        <f t="shared" si="42"/>
        <v>0</v>
      </c>
      <c r="BO76" s="224">
        <f t="shared" si="42"/>
        <v>0</v>
      </c>
    </row>
    <row r="77" spans="1:67" ht="30">
      <c r="A77" s="223">
        <v>1</v>
      </c>
      <c r="B77" s="228" t="s">
        <v>189</v>
      </c>
      <c r="C77" s="223">
        <v>75</v>
      </c>
      <c r="D77" s="224">
        <f>1003714.49382441+32844088.9949675</f>
        <v>33847803.488791913</v>
      </c>
      <c r="E77" s="225">
        <f t="shared" si="34"/>
        <v>33847803.488791913</v>
      </c>
      <c r="F77" s="225">
        <f t="shared" si="34"/>
        <v>33847803.488791913</v>
      </c>
      <c r="G77" s="225">
        <f t="shared" si="34"/>
        <v>33847803.488791913</v>
      </c>
      <c r="H77" s="225">
        <f t="shared" si="34"/>
        <v>33847803.488791913</v>
      </c>
      <c r="I77" s="225">
        <f t="shared" si="34"/>
        <v>33847803.488791913</v>
      </c>
      <c r="J77" s="225">
        <f t="shared" si="34"/>
        <v>33847803.488791913</v>
      </c>
      <c r="K77" s="237">
        <f>J77</f>
        <v>33847803.488791913</v>
      </c>
      <c r="L77" s="237">
        <f t="shared" si="36"/>
        <v>33847803.488791913</v>
      </c>
      <c r="M77" s="237">
        <f t="shared" si="36"/>
        <v>33847803.488791913</v>
      </c>
      <c r="N77" s="237">
        <f t="shared" si="36"/>
        <v>33847803.488791913</v>
      </c>
      <c r="O77" s="237">
        <f t="shared" si="36"/>
        <v>33847803.488791913</v>
      </c>
      <c r="P77" s="237">
        <f t="shared" si="36"/>
        <v>33847803.488791913</v>
      </c>
      <c r="Q77" s="237">
        <f t="shared" si="36"/>
        <v>33847803.488791913</v>
      </c>
      <c r="R77" s="237">
        <f t="shared" si="36"/>
        <v>33847803.488791913</v>
      </c>
      <c r="S77" s="237">
        <f t="shared" si="36"/>
        <v>33847803.488791913</v>
      </c>
      <c r="T77" s="224">
        <f>1003714.49382441+32844088.9949675</f>
        <v>33847803.488791913</v>
      </c>
      <c r="U77" s="224">
        <f t="shared" si="40"/>
        <v>33847803.488791913</v>
      </c>
      <c r="V77" s="224">
        <f t="shared" si="40"/>
        <v>33847803.488791913</v>
      </c>
      <c r="W77" s="224">
        <f t="shared" si="40"/>
        <v>33847803.488791913</v>
      </c>
      <c r="X77" s="226">
        <f>1003714.49382441+32844088.9949675</f>
        <v>33847803.488791913</v>
      </c>
      <c r="Y77" s="226">
        <f t="shared" si="37"/>
        <v>33847803.488791913</v>
      </c>
      <c r="Z77" s="226">
        <f t="shared" si="37"/>
        <v>33847803.488791913</v>
      </c>
      <c r="AA77" s="224">
        <f>1003714.49382441+32844088.9949675</f>
        <v>33847803.488791913</v>
      </c>
      <c r="AB77" s="224">
        <f>1003714.49382441+32844088.9949675</f>
        <v>33847803.488791913</v>
      </c>
      <c r="AC77" s="224">
        <f>1003714.49382441+32844088.9949675</f>
        <v>33847803.488791913</v>
      </c>
      <c r="AD77" s="224">
        <f t="shared" si="8"/>
        <v>33847803.488791913</v>
      </c>
      <c r="AE77" s="224">
        <f>1003714.49382441+32844088.9949675</f>
        <v>33847803.488791913</v>
      </c>
      <c r="AF77" s="224">
        <f>1003714.49382441+32844088.9949675</f>
        <v>33847803.488791913</v>
      </c>
      <c r="AG77" s="224">
        <f t="shared" si="9"/>
        <v>33847803.488791913</v>
      </c>
      <c r="AH77" s="226">
        <f>1003714.49382441+32844088.9949675</f>
        <v>33847803.488791913</v>
      </c>
      <c r="AI77" s="226">
        <f t="shared" si="38"/>
        <v>33847803.488791913</v>
      </c>
      <c r="AJ77" s="226">
        <f t="shared" si="38"/>
        <v>33847803.488791913</v>
      </c>
      <c r="AK77" s="226">
        <f t="shared" si="38"/>
        <v>33847803.488791913</v>
      </c>
      <c r="AL77" s="226">
        <f t="shared" si="38"/>
        <v>33847803.488791913</v>
      </c>
      <c r="AM77" s="226">
        <f t="shared" si="38"/>
        <v>33847803.488791913</v>
      </c>
      <c r="AN77" s="235">
        <f>1003714.49382441+32844088.9949675</f>
        <v>33847803.488791913</v>
      </c>
      <c r="AO77" s="235">
        <f t="shared" si="39"/>
        <v>33847803.488791913</v>
      </c>
      <c r="AP77" s="235">
        <f t="shared" si="39"/>
        <v>33847803.488791913</v>
      </c>
      <c r="AQ77" s="236">
        <f t="shared" si="39"/>
        <v>33847803.488791913</v>
      </c>
      <c r="AR77" s="236">
        <f t="shared" si="39"/>
        <v>33847803.488791913</v>
      </c>
      <c r="AS77" s="236">
        <f t="shared" si="39"/>
        <v>33847803.488791913</v>
      </c>
      <c r="AT77" s="236">
        <f t="shared" si="39"/>
        <v>33847803.488791913</v>
      </c>
      <c r="AU77" s="236">
        <f t="shared" si="39"/>
        <v>33847803.488791913</v>
      </c>
      <c r="AV77" s="236">
        <f t="shared" si="39"/>
        <v>33847803.488791913</v>
      </c>
      <c r="AW77" s="226">
        <f>1003714.49382441+32844088.9949675</f>
        <v>33847803.488791913</v>
      </c>
      <c r="AX77" s="226">
        <f t="shared" si="41"/>
        <v>33847803.488791913</v>
      </c>
      <c r="AY77" s="226">
        <f t="shared" si="41"/>
        <v>33847803.488791913</v>
      </c>
      <c r="AZ77" s="226">
        <f t="shared" si="41"/>
        <v>33847803.488791913</v>
      </c>
      <c r="BA77" s="226">
        <f t="shared" si="41"/>
        <v>33847803.488791913</v>
      </c>
      <c r="BB77" s="226">
        <f t="shared" si="41"/>
        <v>33847803.488791913</v>
      </c>
      <c r="BC77" s="224">
        <f>1003714.49382441+32844088.9949675</f>
        <v>33847803.488791913</v>
      </c>
      <c r="BD77" s="224">
        <f t="shared" si="42"/>
        <v>33847803.488791913</v>
      </c>
      <c r="BE77" s="224">
        <f t="shared" si="42"/>
        <v>33847803.488791913</v>
      </c>
      <c r="BF77" s="224">
        <f t="shared" si="42"/>
        <v>33847803.488791913</v>
      </c>
      <c r="BG77" s="224">
        <f t="shared" si="42"/>
        <v>33847803.488791913</v>
      </c>
      <c r="BH77" s="224">
        <f t="shared" si="42"/>
        <v>33847803.488791913</v>
      </c>
      <c r="BI77" s="224">
        <f t="shared" si="42"/>
        <v>33847803.488791913</v>
      </c>
      <c r="BJ77" s="224">
        <f t="shared" si="42"/>
        <v>33847803.488791913</v>
      </c>
      <c r="BK77" s="224">
        <f t="shared" si="42"/>
        <v>33847803.488791913</v>
      </c>
      <c r="BL77" s="224">
        <f t="shared" si="42"/>
        <v>33847803.488791913</v>
      </c>
      <c r="BM77" s="224">
        <f t="shared" si="42"/>
        <v>33847803.488791913</v>
      </c>
      <c r="BN77" s="224">
        <f t="shared" si="42"/>
        <v>33847803.488791913</v>
      </c>
      <c r="BO77" s="224">
        <f t="shared" si="42"/>
        <v>33847803.488791913</v>
      </c>
    </row>
    <row r="78" spans="1:67">
      <c r="A78" s="223">
        <f>A77+1</f>
        <v>2</v>
      </c>
      <c r="B78" s="151" t="s">
        <v>160</v>
      </c>
      <c r="C78" s="223">
        <v>76</v>
      </c>
      <c r="D78" s="224">
        <f>2499687.8807888+37540078.6926548</f>
        <v>40039766.573443606</v>
      </c>
      <c r="E78" s="225">
        <f t="shared" si="34"/>
        <v>40039766.573443606</v>
      </c>
      <c r="F78" s="225">
        <f t="shared" si="34"/>
        <v>40039766.573443606</v>
      </c>
      <c r="G78" s="225">
        <f t="shared" si="34"/>
        <v>40039766.573443606</v>
      </c>
      <c r="H78" s="225">
        <f t="shared" si="34"/>
        <v>40039766.573443606</v>
      </c>
      <c r="I78" s="225">
        <f t="shared" si="34"/>
        <v>40039766.573443606</v>
      </c>
      <c r="J78" s="225">
        <f t="shared" si="34"/>
        <v>40039766.573443606</v>
      </c>
      <c r="K78" s="237">
        <f t="shared" si="34"/>
        <v>40039766.573443606</v>
      </c>
      <c r="L78" s="237">
        <f t="shared" si="36"/>
        <v>40039766.573443606</v>
      </c>
      <c r="M78" s="237">
        <f t="shared" si="36"/>
        <v>40039766.573443606</v>
      </c>
      <c r="N78" s="237">
        <f t="shared" si="36"/>
        <v>40039766.573443606</v>
      </c>
      <c r="O78" s="237">
        <f t="shared" si="36"/>
        <v>40039766.573443606</v>
      </c>
      <c r="P78" s="237">
        <f t="shared" si="36"/>
        <v>40039766.573443606</v>
      </c>
      <c r="Q78" s="237">
        <f t="shared" si="36"/>
        <v>40039766.573443606</v>
      </c>
      <c r="R78" s="237">
        <f t="shared" si="36"/>
        <v>40039766.573443606</v>
      </c>
      <c r="S78" s="237">
        <f t="shared" si="36"/>
        <v>40039766.573443606</v>
      </c>
      <c r="T78" s="224">
        <f>2499687.8807888+37540078.6926548</f>
        <v>40039766.573443606</v>
      </c>
      <c r="U78" s="224">
        <f t="shared" si="40"/>
        <v>40039766.573443606</v>
      </c>
      <c r="V78" s="224">
        <f t="shared" si="40"/>
        <v>40039766.573443606</v>
      </c>
      <c r="W78" s="224">
        <f t="shared" si="40"/>
        <v>40039766.573443606</v>
      </c>
      <c r="X78" s="226">
        <f>2499687.8807888+37540078.6926548</f>
        <v>40039766.573443606</v>
      </c>
      <c r="Y78" s="226">
        <f t="shared" si="37"/>
        <v>40039766.573443606</v>
      </c>
      <c r="Z78" s="226">
        <f t="shared" si="37"/>
        <v>40039766.573443606</v>
      </c>
      <c r="AA78" s="224">
        <f>2499687.8807888+37540078.6926548</f>
        <v>40039766.573443606</v>
      </c>
      <c r="AB78" s="224">
        <f>2499687.8807888+37540078.6926548</f>
        <v>40039766.573443606</v>
      </c>
      <c r="AC78" s="224">
        <f>2499687.8807888+37540078.6926548</f>
        <v>40039766.573443606</v>
      </c>
      <c r="AD78" s="224">
        <f t="shared" si="8"/>
        <v>40039766.573443606</v>
      </c>
      <c r="AE78" s="224">
        <f>2499687.8807888+37540078.6926548</f>
        <v>40039766.573443606</v>
      </c>
      <c r="AF78" s="224">
        <f>2499687.8807888+37540078.6926548</f>
        <v>40039766.573443606</v>
      </c>
      <c r="AG78" s="224">
        <f t="shared" si="9"/>
        <v>40039766.573443606</v>
      </c>
      <c r="AH78" s="226">
        <f>2499687.8807888+37540078.6926548</f>
        <v>40039766.573443606</v>
      </c>
      <c r="AI78" s="226">
        <f t="shared" si="38"/>
        <v>40039766.573443606</v>
      </c>
      <c r="AJ78" s="226">
        <f t="shared" si="38"/>
        <v>40039766.573443606</v>
      </c>
      <c r="AK78" s="226">
        <f t="shared" si="38"/>
        <v>40039766.573443606</v>
      </c>
      <c r="AL78" s="226">
        <f t="shared" si="38"/>
        <v>40039766.573443606</v>
      </c>
      <c r="AM78" s="226">
        <f t="shared" si="38"/>
        <v>40039766.573443606</v>
      </c>
      <c r="AN78" s="235">
        <f>2499687.8807888+37540078.6926548</f>
        <v>40039766.573443606</v>
      </c>
      <c r="AO78" s="235">
        <f t="shared" si="39"/>
        <v>40039766.573443606</v>
      </c>
      <c r="AP78" s="235">
        <f t="shared" si="39"/>
        <v>40039766.573443606</v>
      </c>
      <c r="AQ78" s="236">
        <f t="shared" si="39"/>
        <v>40039766.573443606</v>
      </c>
      <c r="AR78" s="236">
        <f t="shared" si="39"/>
        <v>40039766.573443606</v>
      </c>
      <c r="AS78" s="236">
        <f t="shared" si="39"/>
        <v>40039766.573443606</v>
      </c>
      <c r="AT78" s="236">
        <f t="shared" si="39"/>
        <v>40039766.573443606</v>
      </c>
      <c r="AU78" s="236">
        <f t="shared" si="39"/>
        <v>40039766.573443606</v>
      </c>
      <c r="AV78" s="236">
        <f t="shared" si="39"/>
        <v>40039766.573443606</v>
      </c>
      <c r="AW78" s="226">
        <f>2499687.8807888+37540078.6926548</f>
        <v>40039766.573443606</v>
      </c>
      <c r="AX78" s="226">
        <f t="shared" si="41"/>
        <v>40039766.573443606</v>
      </c>
      <c r="AY78" s="226">
        <f t="shared" si="41"/>
        <v>40039766.573443606</v>
      </c>
      <c r="AZ78" s="226">
        <f t="shared" si="41"/>
        <v>40039766.573443606</v>
      </c>
      <c r="BA78" s="226">
        <f t="shared" si="41"/>
        <v>40039766.573443606</v>
      </c>
      <c r="BB78" s="226">
        <f t="shared" si="41"/>
        <v>40039766.573443606</v>
      </c>
      <c r="BC78" s="224">
        <f>2499687.8807888+37540078.6926548</f>
        <v>40039766.573443606</v>
      </c>
      <c r="BD78" s="224">
        <f t="shared" si="42"/>
        <v>40039766.573443606</v>
      </c>
      <c r="BE78" s="224">
        <f t="shared" si="42"/>
        <v>40039766.573443606</v>
      </c>
      <c r="BF78" s="224">
        <f t="shared" si="42"/>
        <v>40039766.573443606</v>
      </c>
      <c r="BG78" s="224">
        <f t="shared" si="42"/>
        <v>40039766.573443606</v>
      </c>
      <c r="BH78" s="224">
        <f t="shared" si="42"/>
        <v>40039766.573443606</v>
      </c>
      <c r="BI78" s="224">
        <f t="shared" si="42"/>
        <v>40039766.573443606</v>
      </c>
      <c r="BJ78" s="224">
        <f t="shared" si="42"/>
        <v>40039766.573443606</v>
      </c>
      <c r="BK78" s="224">
        <f t="shared" si="42"/>
        <v>40039766.573443606</v>
      </c>
      <c r="BL78" s="224">
        <f t="shared" si="42"/>
        <v>40039766.573443606</v>
      </c>
      <c r="BM78" s="224">
        <f t="shared" si="42"/>
        <v>40039766.573443606</v>
      </c>
      <c r="BN78" s="224">
        <f t="shared" si="42"/>
        <v>40039766.573443606</v>
      </c>
      <c r="BO78" s="224">
        <f t="shared" si="42"/>
        <v>40039766.573443606</v>
      </c>
    </row>
    <row r="79" spans="1:67">
      <c r="A79" s="223">
        <f>A78+1</f>
        <v>3</v>
      </c>
      <c r="B79" s="151" t="s">
        <v>161</v>
      </c>
      <c r="C79" s="223">
        <v>77</v>
      </c>
      <c r="D79" s="224">
        <v>9940835.4909090884</v>
      </c>
      <c r="E79" s="225">
        <f t="shared" si="34"/>
        <v>9940835.4909090884</v>
      </c>
      <c r="F79" s="225">
        <f t="shared" si="34"/>
        <v>9940835.4909090884</v>
      </c>
      <c r="G79" s="225">
        <f t="shared" si="34"/>
        <v>9940835.4909090884</v>
      </c>
      <c r="H79" s="225">
        <f t="shared" si="34"/>
        <v>9940835.4909090884</v>
      </c>
      <c r="I79" s="225">
        <f t="shared" si="34"/>
        <v>9940835.4909090884</v>
      </c>
      <c r="J79" s="225">
        <f t="shared" si="34"/>
        <v>9940835.4909090884</v>
      </c>
      <c r="K79" s="237">
        <f t="shared" si="34"/>
        <v>9940835.4909090884</v>
      </c>
      <c r="L79" s="237">
        <f t="shared" si="36"/>
        <v>9940835.4909090884</v>
      </c>
      <c r="M79" s="237">
        <f t="shared" si="36"/>
        <v>9940835.4909090884</v>
      </c>
      <c r="N79" s="237">
        <f t="shared" si="36"/>
        <v>9940835.4909090884</v>
      </c>
      <c r="O79" s="237">
        <f t="shared" si="36"/>
        <v>9940835.4909090884</v>
      </c>
      <c r="P79" s="237">
        <f t="shared" si="36"/>
        <v>9940835.4909090884</v>
      </c>
      <c r="Q79" s="237">
        <f t="shared" si="36"/>
        <v>9940835.4909090884</v>
      </c>
      <c r="R79" s="237">
        <f t="shared" si="36"/>
        <v>9940835.4909090884</v>
      </c>
      <c r="S79" s="237">
        <f t="shared" si="36"/>
        <v>9940835.4909090884</v>
      </c>
      <c r="T79" s="224">
        <v>9940835.4909090884</v>
      </c>
      <c r="U79" s="224">
        <f t="shared" si="40"/>
        <v>9940835.4909090884</v>
      </c>
      <c r="V79" s="224">
        <f t="shared" si="40"/>
        <v>9940835.4909090884</v>
      </c>
      <c r="W79" s="224">
        <f t="shared" si="40"/>
        <v>9940835.4909090884</v>
      </c>
      <c r="X79" s="226">
        <v>9940835.4909090884</v>
      </c>
      <c r="Y79" s="226">
        <f t="shared" si="37"/>
        <v>9940835.4909090884</v>
      </c>
      <c r="Z79" s="226">
        <f t="shared" si="37"/>
        <v>9940835.4909090884</v>
      </c>
      <c r="AA79" s="224">
        <v>9940835.4909090884</v>
      </c>
      <c r="AB79" s="224">
        <v>9940835.4909090884</v>
      </c>
      <c r="AC79" s="224">
        <v>9940835.4909090884</v>
      </c>
      <c r="AD79" s="224">
        <f t="shared" si="8"/>
        <v>9940835.4909090884</v>
      </c>
      <c r="AE79" s="224">
        <v>9940835.4909090884</v>
      </c>
      <c r="AF79" s="224">
        <v>9940835.4909090884</v>
      </c>
      <c r="AG79" s="224">
        <f t="shared" si="9"/>
        <v>9940835.4909090884</v>
      </c>
      <c r="AH79" s="226">
        <v>9940835.4909090884</v>
      </c>
      <c r="AI79" s="226">
        <f t="shared" si="38"/>
        <v>9940835.4909090884</v>
      </c>
      <c r="AJ79" s="226">
        <f t="shared" si="38"/>
        <v>9940835.4909090884</v>
      </c>
      <c r="AK79" s="226">
        <f t="shared" si="38"/>
        <v>9940835.4909090884</v>
      </c>
      <c r="AL79" s="226">
        <f t="shared" si="38"/>
        <v>9940835.4909090884</v>
      </c>
      <c r="AM79" s="226">
        <f t="shared" si="38"/>
        <v>9940835.4909090884</v>
      </c>
      <c r="AN79" s="235">
        <v>9940835.4909090884</v>
      </c>
      <c r="AO79" s="235">
        <f t="shared" si="39"/>
        <v>9940835.4909090884</v>
      </c>
      <c r="AP79" s="235">
        <f t="shared" si="39"/>
        <v>9940835.4909090884</v>
      </c>
      <c r="AQ79" s="236">
        <f t="shared" si="39"/>
        <v>9940835.4909090884</v>
      </c>
      <c r="AR79" s="236">
        <f t="shared" si="39"/>
        <v>9940835.4909090884</v>
      </c>
      <c r="AS79" s="236">
        <f t="shared" si="39"/>
        <v>9940835.4909090884</v>
      </c>
      <c r="AT79" s="236">
        <f t="shared" si="39"/>
        <v>9940835.4909090884</v>
      </c>
      <c r="AU79" s="236">
        <f t="shared" si="39"/>
        <v>9940835.4909090884</v>
      </c>
      <c r="AV79" s="236">
        <f t="shared" si="39"/>
        <v>9940835.4909090884</v>
      </c>
      <c r="AW79" s="226">
        <v>9940835.4909090884</v>
      </c>
      <c r="AX79" s="226">
        <f t="shared" si="41"/>
        <v>9940835.4909090884</v>
      </c>
      <c r="AY79" s="226">
        <f t="shared" si="41"/>
        <v>9940835.4909090884</v>
      </c>
      <c r="AZ79" s="226">
        <f t="shared" si="41"/>
        <v>9940835.4909090884</v>
      </c>
      <c r="BA79" s="226">
        <f t="shared" si="41"/>
        <v>9940835.4909090884</v>
      </c>
      <c r="BB79" s="226">
        <f t="shared" si="41"/>
        <v>9940835.4909090884</v>
      </c>
      <c r="BC79" s="224">
        <v>9940835.4909090884</v>
      </c>
      <c r="BD79" s="224">
        <f t="shared" si="42"/>
        <v>9940835.4909090884</v>
      </c>
      <c r="BE79" s="224">
        <f t="shared" si="42"/>
        <v>9940835.4909090884</v>
      </c>
      <c r="BF79" s="224">
        <f t="shared" si="42"/>
        <v>9940835.4909090884</v>
      </c>
      <c r="BG79" s="224">
        <f t="shared" si="42"/>
        <v>9940835.4909090884</v>
      </c>
      <c r="BH79" s="224">
        <f t="shared" si="42"/>
        <v>9940835.4909090884</v>
      </c>
      <c r="BI79" s="224">
        <f t="shared" si="42"/>
        <v>9940835.4909090884</v>
      </c>
      <c r="BJ79" s="224">
        <f t="shared" si="42"/>
        <v>9940835.4909090884</v>
      </c>
      <c r="BK79" s="224">
        <f t="shared" si="42"/>
        <v>9940835.4909090884</v>
      </c>
      <c r="BL79" s="224">
        <f t="shared" si="42"/>
        <v>9940835.4909090884</v>
      </c>
      <c r="BM79" s="224">
        <f t="shared" si="42"/>
        <v>9940835.4909090884</v>
      </c>
      <c r="BN79" s="224">
        <f t="shared" si="42"/>
        <v>9940835.4909090884</v>
      </c>
      <c r="BO79" s="224">
        <f t="shared" si="42"/>
        <v>9940835.4909090884</v>
      </c>
    </row>
    <row r="80" spans="1:67">
      <c r="A80" s="223">
        <f t="shared" ref="A80:A85" si="43">A79+1</f>
        <v>4</v>
      </c>
      <c r="B80" s="151" t="s">
        <v>162</v>
      </c>
      <c r="C80" s="223">
        <v>78</v>
      </c>
      <c r="D80" s="224">
        <v>20863084.029090904</v>
      </c>
      <c r="E80" s="225">
        <f t="shared" si="34"/>
        <v>20863084.029090904</v>
      </c>
      <c r="F80" s="225">
        <f t="shared" si="34"/>
        <v>20863084.029090904</v>
      </c>
      <c r="G80" s="225">
        <f t="shared" si="34"/>
        <v>20863084.029090904</v>
      </c>
      <c r="H80" s="225">
        <f t="shared" si="34"/>
        <v>20863084.029090904</v>
      </c>
      <c r="I80" s="225">
        <f t="shared" si="34"/>
        <v>20863084.029090904</v>
      </c>
      <c r="J80" s="225">
        <f t="shared" si="34"/>
        <v>20863084.029090904</v>
      </c>
      <c r="K80" s="237">
        <f t="shared" si="34"/>
        <v>20863084.029090904</v>
      </c>
      <c r="L80" s="237">
        <f t="shared" si="36"/>
        <v>20863084.029090904</v>
      </c>
      <c r="M80" s="237">
        <f t="shared" si="36"/>
        <v>20863084.029090904</v>
      </c>
      <c r="N80" s="237">
        <f t="shared" si="36"/>
        <v>20863084.029090904</v>
      </c>
      <c r="O80" s="237">
        <f t="shared" si="36"/>
        <v>20863084.029090904</v>
      </c>
      <c r="P80" s="237">
        <f t="shared" si="36"/>
        <v>20863084.029090904</v>
      </c>
      <c r="Q80" s="237">
        <f t="shared" si="36"/>
        <v>20863084.029090904</v>
      </c>
      <c r="R80" s="237">
        <f t="shared" si="36"/>
        <v>20863084.029090904</v>
      </c>
      <c r="S80" s="237">
        <f t="shared" si="36"/>
        <v>20863084.029090904</v>
      </c>
      <c r="T80" s="224">
        <v>20863084.029090904</v>
      </c>
      <c r="U80" s="224">
        <f t="shared" si="40"/>
        <v>20863084.029090904</v>
      </c>
      <c r="V80" s="224">
        <f t="shared" si="40"/>
        <v>20863084.029090904</v>
      </c>
      <c r="W80" s="224">
        <f t="shared" si="40"/>
        <v>20863084.029090904</v>
      </c>
      <c r="X80" s="226">
        <v>20863084.029090904</v>
      </c>
      <c r="Y80" s="226">
        <f t="shared" si="37"/>
        <v>20863084.029090904</v>
      </c>
      <c r="Z80" s="226">
        <f t="shared" si="37"/>
        <v>20863084.029090904</v>
      </c>
      <c r="AA80" s="224">
        <v>20863084.029090904</v>
      </c>
      <c r="AB80" s="224">
        <v>20863084.029090904</v>
      </c>
      <c r="AC80" s="224">
        <v>20863084.029090904</v>
      </c>
      <c r="AD80" s="224">
        <f t="shared" si="8"/>
        <v>20863084.029090904</v>
      </c>
      <c r="AE80" s="224">
        <v>20863084.029090904</v>
      </c>
      <c r="AF80" s="224">
        <v>20863084.029090904</v>
      </c>
      <c r="AG80" s="224">
        <f t="shared" si="9"/>
        <v>20863084.029090904</v>
      </c>
      <c r="AH80" s="226">
        <v>20863084.029090904</v>
      </c>
      <c r="AI80" s="226">
        <f t="shared" si="38"/>
        <v>20863084.029090904</v>
      </c>
      <c r="AJ80" s="226">
        <f t="shared" si="38"/>
        <v>20863084.029090904</v>
      </c>
      <c r="AK80" s="226">
        <f t="shared" si="38"/>
        <v>20863084.029090904</v>
      </c>
      <c r="AL80" s="226">
        <f t="shared" si="38"/>
        <v>20863084.029090904</v>
      </c>
      <c r="AM80" s="226">
        <f t="shared" si="38"/>
        <v>20863084.029090904</v>
      </c>
      <c r="AN80" s="235">
        <v>20863084.029090904</v>
      </c>
      <c r="AO80" s="235">
        <f t="shared" si="39"/>
        <v>20863084.029090904</v>
      </c>
      <c r="AP80" s="235">
        <f t="shared" si="39"/>
        <v>20863084.029090904</v>
      </c>
      <c r="AQ80" s="236">
        <f t="shared" si="39"/>
        <v>20863084.029090904</v>
      </c>
      <c r="AR80" s="236">
        <f t="shared" si="39"/>
        <v>20863084.029090904</v>
      </c>
      <c r="AS80" s="236">
        <f t="shared" si="39"/>
        <v>20863084.029090904</v>
      </c>
      <c r="AT80" s="236">
        <f t="shared" si="39"/>
        <v>20863084.029090904</v>
      </c>
      <c r="AU80" s="236">
        <f t="shared" si="39"/>
        <v>20863084.029090904</v>
      </c>
      <c r="AV80" s="236">
        <f t="shared" si="39"/>
        <v>20863084.029090904</v>
      </c>
      <c r="AW80" s="226">
        <v>20863084.029090904</v>
      </c>
      <c r="AX80" s="226">
        <f t="shared" si="41"/>
        <v>20863084.029090904</v>
      </c>
      <c r="AY80" s="226">
        <f t="shared" si="41"/>
        <v>20863084.029090904</v>
      </c>
      <c r="AZ80" s="226">
        <f t="shared" si="41"/>
        <v>20863084.029090904</v>
      </c>
      <c r="BA80" s="226">
        <f t="shared" si="41"/>
        <v>20863084.029090904</v>
      </c>
      <c r="BB80" s="226">
        <f t="shared" si="41"/>
        <v>20863084.029090904</v>
      </c>
      <c r="BC80" s="224">
        <v>20863084.029090904</v>
      </c>
      <c r="BD80" s="224">
        <f t="shared" si="42"/>
        <v>20863084.029090904</v>
      </c>
      <c r="BE80" s="224">
        <f t="shared" si="42"/>
        <v>20863084.029090904</v>
      </c>
      <c r="BF80" s="224">
        <f t="shared" si="42"/>
        <v>20863084.029090904</v>
      </c>
      <c r="BG80" s="224">
        <f t="shared" si="42"/>
        <v>20863084.029090904</v>
      </c>
      <c r="BH80" s="224">
        <f t="shared" si="42"/>
        <v>20863084.029090904</v>
      </c>
      <c r="BI80" s="224">
        <f t="shared" si="42"/>
        <v>20863084.029090904</v>
      </c>
      <c r="BJ80" s="224">
        <f t="shared" si="42"/>
        <v>20863084.029090904</v>
      </c>
      <c r="BK80" s="224">
        <f t="shared" si="42"/>
        <v>20863084.029090904</v>
      </c>
      <c r="BL80" s="224">
        <f t="shared" si="42"/>
        <v>20863084.029090904</v>
      </c>
      <c r="BM80" s="224">
        <f t="shared" si="42"/>
        <v>20863084.029090904</v>
      </c>
      <c r="BN80" s="224">
        <f t="shared" si="42"/>
        <v>20863084.029090904</v>
      </c>
      <c r="BO80" s="224">
        <f t="shared" si="42"/>
        <v>20863084.029090904</v>
      </c>
    </row>
    <row r="81" spans="1:67" ht="16.5" customHeight="1">
      <c r="A81" s="223">
        <f>A80+1</f>
        <v>5</v>
      </c>
      <c r="B81" s="228" t="s">
        <v>184</v>
      </c>
      <c r="C81" s="223">
        <v>79</v>
      </c>
      <c r="D81" s="224">
        <v>22571752.425454546</v>
      </c>
      <c r="E81" s="225">
        <f t="shared" si="34"/>
        <v>22571752.425454546</v>
      </c>
      <c r="F81" s="225">
        <f t="shared" si="34"/>
        <v>22571752.425454546</v>
      </c>
      <c r="G81" s="225">
        <f t="shared" si="34"/>
        <v>22571752.425454546</v>
      </c>
      <c r="H81" s="225">
        <f t="shared" si="34"/>
        <v>22571752.425454546</v>
      </c>
      <c r="I81" s="225">
        <f t="shared" si="34"/>
        <v>22571752.425454546</v>
      </c>
      <c r="J81" s="225">
        <f t="shared" si="34"/>
        <v>22571752.425454546</v>
      </c>
      <c r="K81" s="237">
        <f t="shared" si="34"/>
        <v>22571752.425454546</v>
      </c>
      <c r="L81" s="237">
        <f t="shared" si="36"/>
        <v>22571752.425454546</v>
      </c>
      <c r="M81" s="237">
        <f t="shared" si="36"/>
        <v>22571752.425454546</v>
      </c>
      <c r="N81" s="237">
        <f t="shared" si="36"/>
        <v>22571752.425454546</v>
      </c>
      <c r="O81" s="237">
        <f t="shared" si="36"/>
        <v>22571752.425454546</v>
      </c>
      <c r="P81" s="237">
        <f t="shared" si="36"/>
        <v>22571752.425454546</v>
      </c>
      <c r="Q81" s="237">
        <f t="shared" si="36"/>
        <v>22571752.425454546</v>
      </c>
      <c r="R81" s="237">
        <f t="shared" si="36"/>
        <v>22571752.425454546</v>
      </c>
      <c r="S81" s="237">
        <f t="shared" si="36"/>
        <v>22571752.425454546</v>
      </c>
      <c r="T81" s="224">
        <v>22571752.425454546</v>
      </c>
      <c r="U81" s="224">
        <f t="shared" si="40"/>
        <v>22571752.425454546</v>
      </c>
      <c r="V81" s="224">
        <f t="shared" si="40"/>
        <v>22571752.425454546</v>
      </c>
      <c r="W81" s="224">
        <f t="shared" si="40"/>
        <v>22571752.425454546</v>
      </c>
      <c r="X81" s="226">
        <v>22571752.425454546</v>
      </c>
      <c r="Y81" s="226">
        <f t="shared" si="37"/>
        <v>22571752.425454546</v>
      </c>
      <c r="Z81" s="226">
        <f t="shared" si="37"/>
        <v>22571752.425454546</v>
      </c>
      <c r="AA81" s="224">
        <v>22571752.425454546</v>
      </c>
      <c r="AB81" s="224">
        <v>22571752.425454546</v>
      </c>
      <c r="AC81" s="224">
        <v>22571752.425454546</v>
      </c>
      <c r="AD81" s="224">
        <f t="shared" si="8"/>
        <v>22571752.425454546</v>
      </c>
      <c r="AE81" s="224">
        <v>22571752.425454546</v>
      </c>
      <c r="AF81" s="224">
        <v>22571752.425454546</v>
      </c>
      <c r="AG81" s="224">
        <f t="shared" si="9"/>
        <v>22571752.425454546</v>
      </c>
      <c r="AH81" s="226">
        <v>22571752.425454546</v>
      </c>
      <c r="AI81" s="226">
        <f t="shared" si="38"/>
        <v>22571752.425454546</v>
      </c>
      <c r="AJ81" s="226">
        <f t="shared" si="38"/>
        <v>22571752.425454546</v>
      </c>
      <c r="AK81" s="226">
        <f t="shared" si="38"/>
        <v>22571752.425454546</v>
      </c>
      <c r="AL81" s="226">
        <f t="shared" si="38"/>
        <v>22571752.425454546</v>
      </c>
      <c r="AM81" s="226">
        <f t="shared" si="38"/>
        <v>22571752.425454546</v>
      </c>
      <c r="AN81" s="235">
        <v>22571752.425454546</v>
      </c>
      <c r="AO81" s="235">
        <f t="shared" si="39"/>
        <v>22571752.425454546</v>
      </c>
      <c r="AP81" s="235">
        <f t="shared" si="39"/>
        <v>22571752.425454546</v>
      </c>
      <c r="AQ81" s="236">
        <f t="shared" si="39"/>
        <v>22571752.425454546</v>
      </c>
      <c r="AR81" s="236">
        <f t="shared" si="39"/>
        <v>22571752.425454546</v>
      </c>
      <c r="AS81" s="236">
        <f t="shared" si="39"/>
        <v>22571752.425454546</v>
      </c>
      <c r="AT81" s="236">
        <f t="shared" si="39"/>
        <v>22571752.425454546</v>
      </c>
      <c r="AU81" s="236">
        <f t="shared" si="39"/>
        <v>22571752.425454546</v>
      </c>
      <c r="AV81" s="236">
        <f t="shared" si="39"/>
        <v>22571752.425454546</v>
      </c>
      <c r="AW81" s="226">
        <v>22571752.425454546</v>
      </c>
      <c r="AX81" s="226">
        <f t="shared" si="41"/>
        <v>22571752.425454546</v>
      </c>
      <c r="AY81" s="226">
        <f t="shared" si="41"/>
        <v>22571752.425454546</v>
      </c>
      <c r="AZ81" s="226">
        <f t="shared" si="41"/>
        <v>22571752.425454546</v>
      </c>
      <c r="BA81" s="226">
        <f t="shared" si="41"/>
        <v>22571752.425454546</v>
      </c>
      <c r="BB81" s="226">
        <f t="shared" si="41"/>
        <v>22571752.425454546</v>
      </c>
      <c r="BC81" s="224">
        <v>22571752.425454546</v>
      </c>
      <c r="BD81" s="224">
        <f t="shared" si="42"/>
        <v>22571752.425454546</v>
      </c>
      <c r="BE81" s="224">
        <f t="shared" si="42"/>
        <v>22571752.425454546</v>
      </c>
      <c r="BF81" s="224">
        <f t="shared" si="42"/>
        <v>22571752.425454546</v>
      </c>
      <c r="BG81" s="224">
        <f t="shared" si="42"/>
        <v>22571752.425454546</v>
      </c>
      <c r="BH81" s="224">
        <f t="shared" si="42"/>
        <v>22571752.425454546</v>
      </c>
      <c r="BI81" s="224">
        <f t="shared" si="42"/>
        <v>22571752.425454546</v>
      </c>
      <c r="BJ81" s="224">
        <f t="shared" si="42"/>
        <v>22571752.425454546</v>
      </c>
      <c r="BK81" s="224">
        <f t="shared" si="42"/>
        <v>22571752.425454546</v>
      </c>
      <c r="BL81" s="224">
        <f t="shared" si="42"/>
        <v>22571752.425454546</v>
      </c>
      <c r="BM81" s="224">
        <f t="shared" si="42"/>
        <v>22571752.425454546</v>
      </c>
      <c r="BN81" s="224">
        <f t="shared" si="42"/>
        <v>22571752.425454546</v>
      </c>
      <c r="BO81" s="224">
        <f t="shared" si="42"/>
        <v>22571752.425454546</v>
      </c>
    </row>
    <row r="82" spans="1:67">
      <c r="A82" s="223">
        <f t="shared" si="43"/>
        <v>6</v>
      </c>
      <c r="B82" s="228" t="s">
        <v>163</v>
      </c>
      <c r="C82" s="223">
        <v>80</v>
      </c>
      <c r="D82" s="224">
        <v>20605390.909090899</v>
      </c>
      <c r="E82" s="225">
        <f t="shared" si="34"/>
        <v>20605390.909090899</v>
      </c>
      <c r="F82" s="225">
        <f t="shared" si="34"/>
        <v>20605390.909090899</v>
      </c>
      <c r="G82" s="225">
        <f t="shared" si="34"/>
        <v>20605390.909090899</v>
      </c>
      <c r="H82" s="225">
        <f t="shared" si="34"/>
        <v>20605390.909090899</v>
      </c>
      <c r="I82" s="225">
        <f t="shared" si="34"/>
        <v>20605390.909090899</v>
      </c>
      <c r="J82" s="225">
        <f t="shared" si="34"/>
        <v>20605390.909090899</v>
      </c>
      <c r="K82" s="237">
        <f t="shared" si="34"/>
        <v>20605390.909090899</v>
      </c>
      <c r="L82" s="237">
        <f t="shared" si="36"/>
        <v>20605390.909090899</v>
      </c>
      <c r="M82" s="237">
        <f t="shared" si="36"/>
        <v>20605390.909090899</v>
      </c>
      <c r="N82" s="237">
        <f t="shared" si="36"/>
        <v>20605390.909090899</v>
      </c>
      <c r="O82" s="237">
        <f t="shared" si="36"/>
        <v>20605390.909090899</v>
      </c>
      <c r="P82" s="237">
        <f t="shared" si="36"/>
        <v>20605390.909090899</v>
      </c>
      <c r="Q82" s="237">
        <f t="shared" si="36"/>
        <v>20605390.909090899</v>
      </c>
      <c r="R82" s="237">
        <f t="shared" si="36"/>
        <v>20605390.909090899</v>
      </c>
      <c r="S82" s="237">
        <f t="shared" si="36"/>
        <v>20605390.909090899</v>
      </c>
      <c r="T82" s="224">
        <v>20605390.909090899</v>
      </c>
      <c r="U82" s="224">
        <f t="shared" si="40"/>
        <v>20605390.909090899</v>
      </c>
      <c r="V82" s="224">
        <f t="shared" si="40"/>
        <v>20605390.909090899</v>
      </c>
      <c r="W82" s="224">
        <f t="shared" si="40"/>
        <v>20605390.909090899</v>
      </c>
      <c r="X82" s="226">
        <v>20605390.909090899</v>
      </c>
      <c r="Y82" s="226">
        <f t="shared" si="37"/>
        <v>20605390.909090899</v>
      </c>
      <c r="Z82" s="226">
        <f t="shared" si="37"/>
        <v>20605390.909090899</v>
      </c>
      <c r="AA82" s="224">
        <v>20605390.909090899</v>
      </c>
      <c r="AB82" s="224">
        <v>20605390.909090899</v>
      </c>
      <c r="AC82" s="224">
        <v>20605390.909090899</v>
      </c>
      <c r="AD82" s="224">
        <f t="shared" si="8"/>
        <v>20605390.909090899</v>
      </c>
      <c r="AE82" s="224">
        <v>20605390.909090899</v>
      </c>
      <c r="AF82" s="224">
        <v>20605390.909090899</v>
      </c>
      <c r="AG82" s="224">
        <f t="shared" si="9"/>
        <v>20605390.909090899</v>
      </c>
      <c r="AH82" s="226">
        <v>20605390.909090899</v>
      </c>
      <c r="AI82" s="226">
        <f t="shared" si="38"/>
        <v>20605390.909090899</v>
      </c>
      <c r="AJ82" s="226">
        <f t="shared" si="38"/>
        <v>20605390.909090899</v>
      </c>
      <c r="AK82" s="226">
        <f t="shared" si="38"/>
        <v>20605390.909090899</v>
      </c>
      <c r="AL82" s="226">
        <f t="shared" si="38"/>
        <v>20605390.909090899</v>
      </c>
      <c r="AM82" s="226">
        <f t="shared" si="38"/>
        <v>20605390.909090899</v>
      </c>
      <c r="AN82" s="235">
        <v>20761874.545454543</v>
      </c>
      <c r="AO82" s="235">
        <f t="shared" si="39"/>
        <v>20761874.545454543</v>
      </c>
      <c r="AP82" s="235">
        <f t="shared" si="39"/>
        <v>20761874.545454543</v>
      </c>
      <c r="AQ82" s="236">
        <f t="shared" si="39"/>
        <v>20761874.545454543</v>
      </c>
      <c r="AR82" s="236">
        <f t="shared" si="39"/>
        <v>20761874.545454543</v>
      </c>
      <c r="AS82" s="236">
        <f t="shared" si="39"/>
        <v>20761874.545454543</v>
      </c>
      <c r="AT82" s="236">
        <f t="shared" si="39"/>
        <v>20761874.545454543</v>
      </c>
      <c r="AU82" s="236">
        <f t="shared" si="39"/>
        <v>20761874.545454543</v>
      </c>
      <c r="AV82" s="236">
        <f t="shared" si="39"/>
        <v>20761874.545454543</v>
      </c>
      <c r="AW82" s="226">
        <v>20694422.727272727</v>
      </c>
      <c r="AX82" s="226">
        <f t="shared" si="41"/>
        <v>20694422.727272727</v>
      </c>
      <c r="AY82" s="226">
        <f t="shared" si="41"/>
        <v>20694422.727272727</v>
      </c>
      <c r="AZ82" s="226">
        <f t="shared" si="41"/>
        <v>20694422.727272727</v>
      </c>
      <c r="BA82" s="226">
        <f t="shared" si="41"/>
        <v>20694422.727272727</v>
      </c>
      <c r="BB82" s="226">
        <f t="shared" si="41"/>
        <v>20694422.727272727</v>
      </c>
      <c r="BC82" s="224">
        <v>20605390.909090899</v>
      </c>
      <c r="BD82" s="224">
        <f t="shared" si="42"/>
        <v>20605390.909090899</v>
      </c>
      <c r="BE82" s="224">
        <f t="shared" si="42"/>
        <v>20605390.909090899</v>
      </c>
      <c r="BF82" s="224">
        <f t="shared" si="42"/>
        <v>20605390.909090899</v>
      </c>
      <c r="BG82" s="224">
        <f t="shared" si="42"/>
        <v>20605390.909090899</v>
      </c>
      <c r="BH82" s="224">
        <f t="shared" si="42"/>
        <v>20605390.909090899</v>
      </c>
      <c r="BI82" s="224">
        <f t="shared" si="42"/>
        <v>20605390.909090899</v>
      </c>
      <c r="BJ82" s="224">
        <f t="shared" si="42"/>
        <v>20605390.909090899</v>
      </c>
      <c r="BK82" s="224">
        <f t="shared" si="42"/>
        <v>20605390.909090899</v>
      </c>
      <c r="BL82" s="224">
        <f t="shared" si="42"/>
        <v>20605390.909090899</v>
      </c>
      <c r="BM82" s="224">
        <f t="shared" si="42"/>
        <v>20605390.909090899</v>
      </c>
      <c r="BN82" s="224">
        <f t="shared" si="42"/>
        <v>20605390.909090899</v>
      </c>
      <c r="BO82" s="224">
        <f t="shared" si="42"/>
        <v>20605390.909090899</v>
      </c>
    </row>
    <row r="83" spans="1:67" ht="30">
      <c r="A83" s="223">
        <f t="shared" si="43"/>
        <v>7</v>
      </c>
      <c r="B83" s="228" t="s">
        <v>190</v>
      </c>
      <c r="C83" s="223">
        <v>81</v>
      </c>
      <c r="D83" s="224">
        <v>14139865.454545453</v>
      </c>
      <c r="E83" s="225">
        <f t="shared" si="34"/>
        <v>14139865.454545453</v>
      </c>
      <c r="F83" s="225">
        <f t="shared" si="34"/>
        <v>14139865.454545453</v>
      </c>
      <c r="G83" s="225">
        <f t="shared" si="34"/>
        <v>14139865.454545453</v>
      </c>
      <c r="H83" s="225">
        <f t="shared" si="34"/>
        <v>14139865.454545453</v>
      </c>
      <c r="I83" s="225">
        <f t="shared" si="34"/>
        <v>14139865.454545453</v>
      </c>
      <c r="J83" s="225">
        <f t="shared" si="34"/>
        <v>14139865.454545453</v>
      </c>
      <c r="K83" s="237">
        <f t="shared" si="34"/>
        <v>14139865.454545453</v>
      </c>
      <c r="L83" s="237">
        <f t="shared" si="36"/>
        <v>14139865.454545453</v>
      </c>
      <c r="M83" s="237">
        <f t="shared" si="36"/>
        <v>14139865.454545453</v>
      </c>
      <c r="N83" s="237">
        <f t="shared" si="36"/>
        <v>14139865.454545453</v>
      </c>
      <c r="O83" s="237">
        <f t="shared" si="36"/>
        <v>14139865.454545453</v>
      </c>
      <c r="P83" s="237">
        <f t="shared" si="36"/>
        <v>14139865.454545453</v>
      </c>
      <c r="Q83" s="237">
        <f t="shared" si="36"/>
        <v>14139865.454545453</v>
      </c>
      <c r="R83" s="237">
        <f t="shared" si="36"/>
        <v>14139865.454545453</v>
      </c>
      <c r="S83" s="237">
        <f t="shared" si="36"/>
        <v>14139865.454545453</v>
      </c>
      <c r="T83" s="224">
        <v>14139865.454545453</v>
      </c>
      <c r="U83" s="224">
        <f t="shared" si="40"/>
        <v>14139865.454545453</v>
      </c>
      <c r="V83" s="224">
        <f t="shared" si="40"/>
        <v>14139865.454545453</v>
      </c>
      <c r="W83" s="224">
        <f t="shared" si="40"/>
        <v>14139865.454545453</v>
      </c>
      <c r="X83" s="226">
        <v>14139865.454545453</v>
      </c>
      <c r="Y83" s="226">
        <f t="shared" si="37"/>
        <v>14139865.454545453</v>
      </c>
      <c r="Z83" s="226">
        <f t="shared" si="37"/>
        <v>14139865.454545453</v>
      </c>
      <c r="AA83" s="224">
        <v>14139865.454545453</v>
      </c>
      <c r="AB83" s="224">
        <v>14139865.454545453</v>
      </c>
      <c r="AC83" s="224">
        <v>14139865.454545453</v>
      </c>
      <c r="AD83" s="224">
        <f t="shared" si="8"/>
        <v>14139865.454545453</v>
      </c>
      <c r="AE83" s="224">
        <v>14139865.454545453</v>
      </c>
      <c r="AF83" s="224">
        <v>14139865.454545453</v>
      </c>
      <c r="AG83" s="224">
        <f t="shared" si="9"/>
        <v>14139865.454545453</v>
      </c>
      <c r="AH83" s="226">
        <v>14139865.454545453</v>
      </c>
      <c r="AI83" s="226">
        <f t="shared" si="38"/>
        <v>14139865.454545453</v>
      </c>
      <c r="AJ83" s="226">
        <f t="shared" si="38"/>
        <v>14139865.454545453</v>
      </c>
      <c r="AK83" s="226">
        <f t="shared" si="38"/>
        <v>14139865.454545453</v>
      </c>
      <c r="AL83" s="226">
        <f t="shared" si="38"/>
        <v>14139865.454545453</v>
      </c>
      <c r="AM83" s="226">
        <f t="shared" si="38"/>
        <v>14139865.454545453</v>
      </c>
      <c r="AN83" s="235">
        <v>14218951.818181816</v>
      </c>
      <c r="AO83" s="235">
        <f t="shared" si="39"/>
        <v>14218951.818181816</v>
      </c>
      <c r="AP83" s="235">
        <f t="shared" si="39"/>
        <v>14218951.818181816</v>
      </c>
      <c r="AQ83" s="236">
        <f t="shared" si="39"/>
        <v>14218951.818181816</v>
      </c>
      <c r="AR83" s="236">
        <f t="shared" si="39"/>
        <v>14218951.818181816</v>
      </c>
      <c r="AS83" s="236">
        <f t="shared" si="39"/>
        <v>14218951.818181816</v>
      </c>
      <c r="AT83" s="236">
        <f t="shared" si="39"/>
        <v>14218951.818181816</v>
      </c>
      <c r="AU83" s="236">
        <f t="shared" si="39"/>
        <v>14218951.818181816</v>
      </c>
      <c r="AV83" s="236">
        <f t="shared" si="39"/>
        <v>14218951.818181816</v>
      </c>
      <c r="AW83" s="226">
        <v>14172592.727272727</v>
      </c>
      <c r="AX83" s="226">
        <f t="shared" si="41"/>
        <v>14172592.727272727</v>
      </c>
      <c r="AY83" s="226">
        <f t="shared" si="41"/>
        <v>14172592.727272727</v>
      </c>
      <c r="AZ83" s="226">
        <f t="shared" si="41"/>
        <v>14172592.727272727</v>
      </c>
      <c r="BA83" s="226">
        <f t="shared" si="41"/>
        <v>14172592.727272727</v>
      </c>
      <c r="BB83" s="226">
        <f t="shared" si="41"/>
        <v>14172592.727272727</v>
      </c>
      <c r="BC83" s="224">
        <v>14139865.454545453</v>
      </c>
      <c r="BD83" s="224">
        <f t="shared" si="42"/>
        <v>14139865.454545453</v>
      </c>
      <c r="BE83" s="224">
        <f t="shared" si="42"/>
        <v>14139865.454545453</v>
      </c>
      <c r="BF83" s="224">
        <f t="shared" si="42"/>
        <v>14139865.454545453</v>
      </c>
      <c r="BG83" s="224">
        <f t="shared" si="42"/>
        <v>14139865.454545453</v>
      </c>
      <c r="BH83" s="224">
        <f t="shared" si="42"/>
        <v>14139865.454545453</v>
      </c>
      <c r="BI83" s="224">
        <f t="shared" si="42"/>
        <v>14139865.454545453</v>
      </c>
      <c r="BJ83" s="224">
        <f t="shared" si="42"/>
        <v>14139865.454545453</v>
      </c>
      <c r="BK83" s="224">
        <f t="shared" si="42"/>
        <v>14139865.454545453</v>
      </c>
      <c r="BL83" s="224">
        <f t="shared" si="42"/>
        <v>14139865.454545453</v>
      </c>
      <c r="BM83" s="224">
        <f t="shared" si="42"/>
        <v>14139865.454545453</v>
      </c>
      <c r="BN83" s="224">
        <f t="shared" si="42"/>
        <v>14139865.454545453</v>
      </c>
      <c r="BO83" s="224">
        <f t="shared" si="42"/>
        <v>14139865.454545453</v>
      </c>
    </row>
    <row r="84" spans="1:67" ht="30">
      <c r="A84" s="223">
        <f t="shared" si="43"/>
        <v>8</v>
      </c>
      <c r="B84" s="228" t="s">
        <v>191</v>
      </c>
      <c r="C84" s="223">
        <v>82</v>
      </c>
      <c r="D84" s="224">
        <v>18275091.818181816</v>
      </c>
      <c r="E84" s="225">
        <f t="shared" si="34"/>
        <v>18275091.818181816</v>
      </c>
      <c r="F84" s="225">
        <f t="shared" si="34"/>
        <v>18275091.818181816</v>
      </c>
      <c r="G84" s="225">
        <f t="shared" si="34"/>
        <v>18275091.818181816</v>
      </c>
      <c r="H84" s="225">
        <f t="shared" si="34"/>
        <v>18275091.818181816</v>
      </c>
      <c r="I84" s="225">
        <f t="shared" si="34"/>
        <v>18275091.818181816</v>
      </c>
      <c r="J84" s="225">
        <f t="shared" si="34"/>
        <v>18275091.818181816</v>
      </c>
      <c r="K84" s="237">
        <f t="shared" si="34"/>
        <v>18275091.818181816</v>
      </c>
      <c r="L84" s="237">
        <f t="shared" si="36"/>
        <v>18275091.818181816</v>
      </c>
      <c r="M84" s="237">
        <f t="shared" si="36"/>
        <v>18275091.818181816</v>
      </c>
      <c r="N84" s="237">
        <f t="shared" si="36"/>
        <v>18275091.818181816</v>
      </c>
      <c r="O84" s="237">
        <f t="shared" si="36"/>
        <v>18275091.818181816</v>
      </c>
      <c r="P84" s="237">
        <f t="shared" si="36"/>
        <v>18275091.818181816</v>
      </c>
      <c r="Q84" s="237">
        <f t="shared" si="36"/>
        <v>18275091.818181816</v>
      </c>
      <c r="R84" s="237">
        <f t="shared" si="36"/>
        <v>18275091.818181816</v>
      </c>
      <c r="S84" s="237">
        <f t="shared" si="36"/>
        <v>18275091.818181816</v>
      </c>
      <c r="T84" s="224">
        <v>18275091.818181816</v>
      </c>
      <c r="U84" s="224">
        <f t="shared" si="40"/>
        <v>18275091.818181816</v>
      </c>
      <c r="V84" s="224">
        <f t="shared" si="40"/>
        <v>18275091.818181816</v>
      </c>
      <c r="W84" s="224">
        <f t="shared" si="40"/>
        <v>18275091.818181816</v>
      </c>
      <c r="X84" s="226">
        <v>18275091.818181816</v>
      </c>
      <c r="Y84" s="226">
        <f t="shared" si="37"/>
        <v>18275091.818181816</v>
      </c>
      <c r="Z84" s="226">
        <f t="shared" si="37"/>
        <v>18275091.818181816</v>
      </c>
      <c r="AA84" s="224">
        <v>18275091.818181816</v>
      </c>
      <c r="AB84" s="224">
        <v>18275091.818181816</v>
      </c>
      <c r="AC84" s="224">
        <v>18275091.818181816</v>
      </c>
      <c r="AD84" s="224">
        <f t="shared" si="8"/>
        <v>18275091.818181816</v>
      </c>
      <c r="AE84" s="224">
        <v>18275091.818181816</v>
      </c>
      <c r="AF84" s="224">
        <v>18275091.818181816</v>
      </c>
      <c r="AG84" s="224">
        <f t="shared" si="9"/>
        <v>18275091.818181816</v>
      </c>
      <c r="AH84" s="226">
        <v>18275091.818181816</v>
      </c>
      <c r="AI84" s="226">
        <f t="shared" si="38"/>
        <v>18275091.818181816</v>
      </c>
      <c r="AJ84" s="226">
        <f t="shared" si="38"/>
        <v>18275091.818181816</v>
      </c>
      <c r="AK84" s="226">
        <f t="shared" si="38"/>
        <v>18275091.818181816</v>
      </c>
      <c r="AL84" s="226">
        <f t="shared" si="38"/>
        <v>18275091.818181816</v>
      </c>
      <c r="AM84" s="226">
        <f t="shared" si="38"/>
        <v>18275091.818181816</v>
      </c>
      <c r="AN84" s="235">
        <v>18377288.18181818</v>
      </c>
      <c r="AO84" s="235">
        <f t="shared" si="39"/>
        <v>18377288.18181818</v>
      </c>
      <c r="AP84" s="235">
        <f t="shared" si="39"/>
        <v>18377288.18181818</v>
      </c>
      <c r="AQ84" s="236">
        <f t="shared" si="39"/>
        <v>18377288.18181818</v>
      </c>
      <c r="AR84" s="236">
        <f t="shared" si="39"/>
        <v>18377288.18181818</v>
      </c>
      <c r="AS84" s="236">
        <f t="shared" si="39"/>
        <v>18377288.18181818</v>
      </c>
      <c r="AT84" s="236">
        <f t="shared" si="39"/>
        <v>18377288.18181818</v>
      </c>
      <c r="AU84" s="236">
        <f t="shared" si="39"/>
        <v>18377288.18181818</v>
      </c>
      <c r="AV84" s="236">
        <f t="shared" si="39"/>
        <v>18377288.18181818</v>
      </c>
      <c r="AW84" s="226">
        <v>18317388.18181818</v>
      </c>
      <c r="AX84" s="226">
        <f t="shared" si="41"/>
        <v>18317388.18181818</v>
      </c>
      <c r="AY84" s="226">
        <f t="shared" si="41"/>
        <v>18317388.18181818</v>
      </c>
      <c r="AZ84" s="226">
        <f t="shared" si="41"/>
        <v>18317388.18181818</v>
      </c>
      <c r="BA84" s="226">
        <f t="shared" si="41"/>
        <v>18317388.18181818</v>
      </c>
      <c r="BB84" s="226">
        <f t="shared" si="41"/>
        <v>18317388.18181818</v>
      </c>
      <c r="BC84" s="224">
        <v>18275091.818181816</v>
      </c>
      <c r="BD84" s="224">
        <f t="shared" si="42"/>
        <v>18275091.818181816</v>
      </c>
      <c r="BE84" s="224">
        <f t="shared" si="42"/>
        <v>18275091.818181816</v>
      </c>
      <c r="BF84" s="224">
        <f t="shared" si="42"/>
        <v>18275091.818181816</v>
      </c>
      <c r="BG84" s="224">
        <f t="shared" si="42"/>
        <v>18275091.818181816</v>
      </c>
      <c r="BH84" s="224">
        <f t="shared" si="42"/>
        <v>18275091.818181816</v>
      </c>
      <c r="BI84" s="224">
        <f t="shared" si="42"/>
        <v>18275091.818181816</v>
      </c>
      <c r="BJ84" s="224">
        <f t="shared" si="42"/>
        <v>18275091.818181816</v>
      </c>
      <c r="BK84" s="224">
        <f t="shared" si="42"/>
        <v>18275091.818181816</v>
      </c>
      <c r="BL84" s="224">
        <f t="shared" si="42"/>
        <v>18275091.818181816</v>
      </c>
      <c r="BM84" s="224">
        <f t="shared" si="42"/>
        <v>18275091.818181816</v>
      </c>
      <c r="BN84" s="224">
        <f t="shared" si="42"/>
        <v>18275091.818181816</v>
      </c>
      <c r="BO84" s="224">
        <f t="shared" si="42"/>
        <v>18275091.818181816</v>
      </c>
    </row>
    <row r="85" spans="1:67">
      <c r="A85" s="223">
        <f t="shared" si="43"/>
        <v>9</v>
      </c>
      <c r="B85" s="151" t="s">
        <v>164</v>
      </c>
      <c r="C85" s="223">
        <v>83</v>
      </c>
      <c r="D85" s="224">
        <v>9529099.1999999993</v>
      </c>
      <c r="E85" s="225">
        <f t="shared" ref="E85:S100" si="44">D85</f>
        <v>9529099.1999999993</v>
      </c>
      <c r="F85" s="225">
        <f t="shared" si="44"/>
        <v>9529099.1999999993</v>
      </c>
      <c r="G85" s="225">
        <f t="shared" si="44"/>
        <v>9529099.1999999993</v>
      </c>
      <c r="H85" s="225">
        <f t="shared" si="44"/>
        <v>9529099.1999999993</v>
      </c>
      <c r="I85" s="225">
        <f t="shared" si="44"/>
        <v>9529099.1999999993</v>
      </c>
      <c r="J85" s="225">
        <f t="shared" si="44"/>
        <v>9529099.1999999993</v>
      </c>
      <c r="K85" s="237">
        <f t="shared" si="44"/>
        <v>9529099.1999999993</v>
      </c>
      <c r="L85" s="237">
        <f t="shared" si="36"/>
        <v>9529099.1999999993</v>
      </c>
      <c r="M85" s="237">
        <f t="shared" si="36"/>
        <v>9529099.1999999993</v>
      </c>
      <c r="N85" s="237">
        <f t="shared" si="36"/>
        <v>9529099.1999999993</v>
      </c>
      <c r="O85" s="237">
        <f t="shared" si="36"/>
        <v>9529099.1999999993</v>
      </c>
      <c r="P85" s="237">
        <f t="shared" si="36"/>
        <v>9529099.1999999993</v>
      </c>
      <c r="Q85" s="237">
        <f t="shared" si="36"/>
        <v>9529099.1999999993</v>
      </c>
      <c r="R85" s="237">
        <f t="shared" si="36"/>
        <v>9529099.1999999993</v>
      </c>
      <c r="S85" s="237">
        <f t="shared" si="36"/>
        <v>9529099.1999999993</v>
      </c>
      <c r="T85" s="224">
        <v>9529099.1999999993</v>
      </c>
      <c r="U85" s="224">
        <f t="shared" si="40"/>
        <v>9529099.1999999993</v>
      </c>
      <c r="V85" s="224">
        <f t="shared" si="40"/>
        <v>9529099.1999999993</v>
      </c>
      <c r="W85" s="224">
        <f t="shared" si="40"/>
        <v>9529099.1999999993</v>
      </c>
      <c r="X85" s="226">
        <v>9529099.1999999993</v>
      </c>
      <c r="Y85" s="226">
        <f t="shared" si="37"/>
        <v>9529099.1999999993</v>
      </c>
      <c r="Z85" s="226">
        <f t="shared" si="37"/>
        <v>9529099.1999999993</v>
      </c>
      <c r="AA85" s="224">
        <v>9529099.1999999993</v>
      </c>
      <c r="AB85" s="224">
        <v>9529099.1999999993</v>
      </c>
      <c r="AC85" s="224">
        <v>9529099.1999999993</v>
      </c>
      <c r="AD85" s="224">
        <f t="shared" si="8"/>
        <v>9529099.1999999993</v>
      </c>
      <c r="AE85" s="224">
        <v>9529099.1999999993</v>
      </c>
      <c r="AF85" s="224">
        <v>9529099.1999999993</v>
      </c>
      <c r="AG85" s="224">
        <f t="shared" si="9"/>
        <v>9529099.1999999993</v>
      </c>
      <c r="AH85" s="226">
        <v>9529099.1999999993</v>
      </c>
      <c r="AI85" s="226">
        <f t="shared" si="38"/>
        <v>9529099.1999999993</v>
      </c>
      <c r="AJ85" s="226">
        <f t="shared" si="38"/>
        <v>9529099.1999999993</v>
      </c>
      <c r="AK85" s="226">
        <f t="shared" si="38"/>
        <v>9529099.1999999993</v>
      </c>
      <c r="AL85" s="226">
        <f t="shared" si="38"/>
        <v>9529099.1999999993</v>
      </c>
      <c r="AM85" s="226">
        <f t="shared" si="38"/>
        <v>9529099.1999999993</v>
      </c>
      <c r="AN85" s="235">
        <v>9529099.1999999993</v>
      </c>
      <c r="AO85" s="235">
        <f t="shared" si="39"/>
        <v>9529099.1999999993</v>
      </c>
      <c r="AP85" s="235">
        <f t="shared" si="39"/>
        <v>9529099.1999999993</v>
      </c>
      <c r="AQ85" s="236">
        <f t="shared" si="39"/>
        <v>9529099.1999999993</v>
      </c>
      <c r="AR85" s="236">
        <f t="shared" si="39"/>
        <v>9529099.1999999993</v>
      </c>
      <c r="AS85" s="236">
        <f t="shared" si="39"/>
        <v>9529099.1999999993</v>
      </c>
      <c r="AT85" s="236">
        <f t="shared" si="39"/>
        <v>9529099.1999999993</v>
      </c>
      <c r="AU85" s="236">
        <f t="shared" si="39"/>
        <v>9529099.1999999993</v>
      </c>
      <c r="AV85" s="236">
        <f t="shared" si="39"/>
        <v>9529099.1999999993</v>
      </c>
      <c r="AW85" s="226">
        <v>9529099.1999999993</v>
      </c>
      <c r="AX85" s="226">
        <f t="shared" si="41"/>
        <v>9529099.1999999993</v>
      </c>
      <c r="AY85" s="226">
        <f t="shared" si="41"/>
        <v>9529099.1999999993</v>
      </c>
      <c r="AZ85" s="226">
        <f t="shared" si="41"/>
        <v>9529099.1999999993</v>
      </c>
      <c r="BA85" s="226">
        <f t="shared" si="41"/>
        <v>9529099.1999999993</v>
      </c>
      <c r="BB85" s="226">
        <f t="shared" si="41"/>
        <v>9529099.1999999993</v>
      </c>
      <c r="BC85" s="224">
        <v>9529099.1999999993</v>
      </c>
      <c r="BD85" s="224">
        <f t="shared" si="42"/>
        <v>9529099.1999999993</v>
      </c>
      <c r="BE85" s="224">
        <f t="shared" si="42"/>
        <v>9529099.1999999993</v>
      </c>
      <c r="BF85" s="224">
        <f t="shared" si="42"/>
        <v>9529099.1999999993</v>
      </c>
      <c r="BG85" s="224">
        <f t="shared" si="42"/>
        <v>9529099.1999999993</v>
      </c>
      <c r="BH85" s="224">
        <f t="shared" si="42"/>
        <v>9529099.1999999993</v>
      </c>
      <c r="BI85" s="224">
        <f t="shared" si="42"/>
        <v>9529099.1999999993</v>
      </c>
      <c r="BJ85" s="224">
        <f t="shared" si="42"/>
        <v>9529099.1999999993</v>
      </c>
      <c r="BK85" s="224">
        <f t="shared" si="42"/>
        <v>9529099.1999999993</v>
      </c>
      <c r="BL85" s="224">
        <f t="shared" si="42"/>
        <v>9529099.1999999993</v>
      </c>
      <c r="BM85" s="224">
        <f t="shared" si="42"/>
        <v>9529099.1999999993</v>
      </c>
      <c r="BN85" s="224">
        <f t="shared" si="42"/>
        <v>9529099.1999999993</v>
      </c>
      <c r="BO85" s="224">
        <f t="shared" si="42"/>
        <v>9529099.1999999993</v>
      </c>
    </row>
    <row r="86" spans="1:67">
      <c r="A86" s="223"/>
      <c r="B86" s="230" t="s">
        <v>27</v>
      </c>
      <c r="C86" s="223">
        <v>84</v>
      </c>
      <c r="D86" s="224"/>
      <c r="E86" s="225">
        <f t="shared" si="44"/>
        <v>0</v>
      </c>
      <c r="F86" s="225">
        <f t="shared" si="44"/>
        <v>0</v>
      </c>
      <c r="G86" s="225">
        <f t="shared" si="44"/>
        <v>0</v>
      </c>
      <c r="H86" s="225">
        <f t="shared" si="44"/>
        <v>0</v>
      </c>
      <c r="I86" s="225">
        <f t="shared" si="44"/>
        <v>0</v>
      </c>
      <c r="J86" s="225">
        <f t="shared" si="44"/>
        <v>0</v>
      </c>
      <c r="K86" s="237"/>
      <c r="L86" s="237">
        <f t="shared" si="36"/>
        <v>0</v>
      </c>
      <c r="M86" s="237">
        <f t="shared" si="36"/>
        <v>0</v>
      </c>
      <c r="N86" s="237">
        <f t="shared" si="36"/>
        <v>0</v>
      </c>
      <c r="O86" s="237">
        <f t="shared" si="36"/>
        <v>0</v>
      </c>
      <c r="P86" s="237">
        <f t="shared" si="36"/>
        <v>0</v>
      </c>
      <c r="Q86" s="237">
        <f t="shared" si="36"/>
        <v>0</v>
      </c>
      <c r="R86" s="237">
        <f t="shared" si="36"/>
        <v>0</v>
      </c>
      <c r="S86" s="237">
        <f t="shared" si="36"/>
        <v>0</v>
      </c>
      <c r="T86" s="224"/>
      <c r="U86" s="224">
        <f t="shared" si="40"/>
        <v>0</v>
      </c>
      <c r="V86" s="224">
        <f t="shared" si="40"/>
        <v>0</v>
      </c>
      <c r="W86" s="224">
        <f t="shared" si="40"/>
        <v>0</v>
      </c>
      <c r="X86" s="226"/>
      <c r="Y86" s="226">
        <f t="shared" si="37"/>
        <v>0</v>
      </c>
      <c r="Z86" s="226">
        <f t="shared" si="37"/>
        <v>0</v>
      </c>
      <c r="AA86" s="224"/>
      <c r="AB86" s="224"/>
      <c r="AC86" s="224"/>
      <c r="AD86" s="224">
        <f t="shared" si="8"/>
        <v>0</v>
      </c>
      <c r="AE86" s="224"/>
      <c r="AF86" s="224"/>
      <c r="AG86" s="224">
        <f t="shared" si="9"/>
        <v>0</v>
      </c>
      <c r="AH86" s="226"/>
      <c r="AI86" s="226">
        <f t="shared" si="38"/>
        <v>0</v>
      </c>
      <c r="AJ86" s="226">
        <f t="shared" si="38"/>
        <v>0</v>
      </c>
      <c r="AK86" s="226">
        <f t="shared" si="38"/>
        <v>0</v>
      </c>
      <c r="AL86" s="226">
        <f t="shared" si="38"/>
        <v>0</v>
      </c>
      <c r="AM86" s="226">
        <f t="shared" si="38"/>
        <v>0</v>
      </c>
      <c r="AN86" s="235"/>
      <c r="AO86" s="235">
        <f t="shared" si="39"/>
        <v>0</v>
      </c>
      <c r="AP86" s="235">
        <f t="shared" si="39"/>
        <v>0</v>
      </c>
      <c r="AQ86" s="236">
        <f t="shared" si="39"/>
        <v>0</v>
      </c>
      <c r="AR86" s="236">
        <f t="shared" si="39"/>
        <v>0</v>
      </c>
      <c r="AS86" s="236">
        <f t="shared" si="39"/>
        <v>0</v>
      </c>
      <c r="AT86" s="236">
        <f t="shared" si="39"/>
        <v>0</v>
      </c>
      <c r="AU86" s="236">
        <f t="shared" si="39"/>
        <v>0</v>
      </c>
      <c r="AV86" s="236">
        <f t="shared" si="39"/>
        <v>0</v>
      </c>
      <c r="AW86" s="226"/>
      <c r="AX86" s="226">
        <f t="shared" si="41"/>
        <v>0</v>
      </c>
      <c r="AY86" s="226">
        <f t="shared" si="41"/>
        <v>0</v>
      </c>
      <c r="AZ86" s="226">
        <f t="shared" si="41"/>
        <v>0</v>
      </c>
      <c r="BA86" s="226">
        <f t="shared" si="41"/>
        <v>0</v>
      </c>
      <c r="BB86" s="226">
        <f t="shared" si="41"/>
        <v>0</v>
      </c>
      <c r="BC86" s="224"/>
      <c r="BD86" s="224">
        <f t="shared" si="42"/>
        <v>0</v>
      </c>
      <c r="BE86" s="224">
        <f t="shared" si="42"/>
        <v>0</v>
      </c>
      <c r="BF86" s="224">
        <f t="shared" si="42"/>
        <v>0</v>
      </c>
      <c r="BG86" s="224">
        <f t="shared" si="42"/>
        <v>0</v>
      </c>
      <c r="BH86" s="224">
        <f t="shared" si="42"/>
        <v>0</v>
      </c>
      <c r="BI86" s="224">
        <f t="shared" si="42"/>
        <v>0</v>
      </c>
      <c r="BJ86" s="224">
        <f t="shared" si="42"/>
        <v>0</v>
      </c>
      <c r="BK86" s="224">
        <f t="shared" si="42"/>
        <v>0</v>
      </c>
      <c r="BL86" s="224">
        <f t="shared" si="42"/>
        <v>0</v>
      </c>
      <c r="BM86" s="224">
        <f t="shared" si="42"/>
        <v>0</v>
      </c>
      <c r="BN86" s="224">
        <f t="shared" si="42"/>
        <v>0</v>
      </c>
      <c r="BO86" s="224">
        <f t="shared" si="42"/>
        <v>0</v>
      </c>
    </row>
    <row r="87" spans="1:67" ht="30">
      <c r="A87" s="223">
        <v>1</v>
      </c>
      <c r="B87" s="228" t="s">
        <v>182</v>
      </c>
      <c r="C87" s="223">
        <v>85</v>
      </c>
      <c r="D87" s="227">
        <v>176000000</v>
      </c>
      <c r="E87" s="225">
        <v>176000000</v>
      </c>
      <c r="F87" s="225">
        <v>176000000</v>
      </c>
      <c r="G87" s="225">
        <v>176000000</v>
      </c>
      <c r="H87" s="225">
        <v>176000000</v>
      </c>
      <c r="I87" s="225">
        <v>176000000</v>
      </c>
      <c r="J87" s="225">
        <v>176000000</v>
      </c>
      <c r="K87" s="237">
        <v>176000000</v>
      </c>
      <c r="L87" s="237">
        <v>176000000</v>
      </c>
      <c r="M87" s="237">
        <v>176000000</v>
      </c>
      <c r="N87" s="237">
        <v>176000000</v>
      </c>
      <c r="O87" s="237">
        <v>176000000</v>
      </c>
      <c r="P87" s="237">
        <v>176000000</v>
      </c>
      <c r="Q87" s="237">
        <v>176000000</v>
      </c>
      <c r="R87" s="237">
        <v>176000000</v>
      </c>
      <c r="S87" s="237">
        <v>176000000</v>
      </c>
      <c r="T87" s="227">
        <v>176000000</v>
      </c>
      <c r="U87" s="227">
        <v>176000000</v>
      </c>
      <c r="V87" s="227">
        <v>176000000</v>
      </c>
      <c r="W87" s="227">
        <v>176000000</v>
      </c>
      <c r="X87" s="226">
        <v>176000000</v>
      </c>
      <c r="Y87" s="226">
        <v>176000000</v>
      </c>
      <c r="Z87" s="226">
        <v>176000000</v>
      </c>
      <c r="AA87" s="227">
        <v>176000000</v>
      </c>
      <c r="AB87" s="227">
        <v>176000000</v>
      </c>
      <c r="AC87" s="227">
        <v>176000000</v>
      </c>
      <c r="AD87" s="227">
        <v>176000000</v>
      </c>
      <c r="AE87" s="227">
        <v>176000000</v>
      </c>
      <c r="AF87" s="227">
        <v>176000000</v>
      </c>
      <c r="AG87" s="227">
        <v>176000000</v>
      </c>
      <c r="AH87" s="226">
        <v>176000000</v>
      </c>
      <c r="AI87" s="226">
        <v>176000000</v>
      </c>
      <c r="AJ87" s="226">
        <v>176000000</v>
      </c>
      <c r="AK87" s="226">
        <v>176000000</v>
      </c>
      <c r="AL87" s="226">
        <v>176000000</v>
      </c>
      <c r="AM87" s="226">
        <v>176000000</v>
      </c>
      <c r="AN87" s="226">
        <v>176000000</v>
      </c>
      <c r="AO87" s="226">
        <v>176000000</v>
      </c>
      <c r="AP87" s="226">
        <v>176000000</v>
      </c>
      <c r="AQ87" s="236">
        <v>176000000</v>
      </c>
      <c r="AR87" s="236">
        <v>176000000</v>
      </c>
      <c r="AS87" s="236">
        <v>176000000</v>
      </c>
      <c r="AT87" s="236">
        <v>176000000</v>
      </c>
      <c r="AU87" s="236">
        <v>176000000</v>
      </c>
      <c r="AV87" s="236">
        <v>176000000</v>
      </c>
      <c r="AW87" s="243">
        <v>176000000</v>
      </c>
      <c r="AX87" s="243">
        <v>176000000</v>
      </c>
      <c r="AY87" s="243">
        <v>176000000</v>
      </c>
      <c r="AZ87" s="243">
        <v>176000000</v>
      </c>
      <c r="BA87" s="243">
        <v>176000000</v>
      </c>
      <c r="BB87" s="243">
        <v>176000000</v>
      </c>
      <c r="BC87" s="227">
        <v>176000000</v>
      </c>
      <c r="BD87" s="227">
        <v>176000000</v>
      </c>
      <c r="BE87" s="227">
        <v>176000000</v>
      </c>
      <c r="BF87" s="227">
        <v>176000000</v>
      </c>
      <c r="BG87" s="227">
        <v>176000000</v>
      </c>
      <c r="BH87" s="227">
        <v>176000000</v>
      </c>
      <c r="BI87" s="227">
        <v>176000000</v>
      </c>
      <c r="BJ87" s="227">
        <v>176000000</v>
      </c>
      <c r="BK87" s="227">
        <v>176000000</v>
      </c>
      <c r="BL87" s="227">
        <v>176000000</v>
      </c>
      <c r="BM87" s="227">
        <v>176000000</v>
      </c>
      <c r="BN87" s="227">
        <v>176000000</v>
      </c>
      <c r="BO87" s="227">
        <v>176000000</v>
      </c>
    </row>
    <row r="88" spans="1:67" ht="30">
      <c r="A88" s="223">
        <f>A87+1</f>
        <v>2</v>
      </c>
      <c r="B88" s="228" t="s">
        <v>183</v>
      </c>
      <c r="C88" s="223">
        <v>86</v>
      </c>
      <c r="D88" s="224">
        <f>190284899.398827+17613158.6568915</f>
        <v>207898058.05571848</v>
      </c>
      <c r="E88" s="225">
        <f t="shared" si="44"/>
        <v>207898058.05571848</v>
      </c>
      <c r="F88" s="225">
        <f t="shared" si="44"/>
        <v>207898058.05571848</v>
      </c>
      <c r="G88" s="225">
        <f t="shared" si="44"/>
        <v>207898058.05571848</v>
      </c>
      <c r="H88" s="225">
        <f t="shared" si="44"/>
        <v>207898058.05571848</v>
      </c>
      <c r="I88" s="225">
        <f t="shared" si="44"/>
        <v>207898058.05571848</v>
      </c>
      <c r="J88" s="225">
        <f t="shared" si="44"/>
        <v>207898058.05571848</v>
      </c>
      <c r="K88" s="237">
        <f t="shared" si="44"/>
        <v>207898058.05571848</v>
      </c>
      <c r="L88" s="237">
        <f t="shared" si="44"/>
        <v>207898058.05571848</v>
      </c>
      <c r="M88" s="237">
        <f t="shared" si="44"/>
        <v>207898058.05571848</v>
      </c>
      <c r="N88" s="237">
        <f t="shared" si="44"/>
        <v>207898058.05571848</v>
      </c>
      <c r="O88" s="237">
        <f t="shared" si="44"/>
        <v>207898058.05571848</v>
      </c>
      <c r="P88" s="237">
        <f t="shared" si="44"/>
        <v>207898058.05571848</v>
      </c>
      <c r="Q88" s="237">
        <f t="shared" si="44"/>
        <v>207898058.05571848</v>
      </c>
      <c r="R88" s="237">
        <f t="shared" si="44"/>
        <v>207898058.05571848</v>
      </c>
      <c r="S88" s="237">
        <f t="shared" si="44"/>
        <v>207898058.05571848</v>
      </c>
      <c r="T88" s="224">
        <f>190284899.398827+17613158.6568915</f>
        <v>207898058.05571848</v>
      </c>
      <c r="U88" s="224">
        <f t="shared" ref="U88:W103" si="45">T88</f>
        <v>207898058.05571848</v>
      </c>
      <c r="V88" s="224">
        <f t="shared" si="45"/>
        <v>207898058.05571848</v>
      </c>
      <c r="W88" s="224">
        <f t="shared" si="45"/>
        <v>207898058.05571848</v>
      </c>
      <c r="X88" s="226">
        <f>190284899.398827+17613158.6568915</f>
        <v>207898058.05571848</v>
      </c>
      <c r="Y88" s="226">
        <f t="shared" ref="Y88:Z103" si="46">X88</f>
        <v>207898058.05571848</v>
      </c>
      <c r="Z88" s="226">
        <f t="shared" si="46"/>
        <v>207898058.05571848</v>
      </c>
      <c r="AA88" s="224">
        <f>190284899.398827+17613158.6568915</f>
        <v>207898058.05571848</v>
      </c>
      <c r="AB88" s="224">
        <f>190284899.398827+17613158.6568915</f>
        <v>207898058.05571848</v>
      </c>
      <c r="AC88" s="224">
        <f>190284899.398827+17613158.6568915</f>
        <v>207898058.05571848</v>
      </c>
      <c r="AD88" s="224">
        <f t="shared" ref="AD88:AD152" si="47">AC88</f>
        <v>207898058.05571848</v>
      </c>
      <c r="AE88" s="224">
        <f>190284899.398827+17613158.6568915</f>
        <v>207898058.05571848</v>
      </c>
      <c r="AF88" s="224">
        <f>190284899.398827+17613158.6568915</f>
        <v>207898058.05571848</v>
      </c>
      <c r="AG88" s="224">
        <f t="shared" ref="AG88:AG152" si="48">AF88</f>
        <v>207898058.05571848</v>
      </c>
      <c r="AH88" s="226">
        <f>190284899.398827+17613158.6568915</f>
        <v>207898058.05571848</v>
      </c>
      <c r="AI88" s="226">
        <f t="shared" ref="AI88:AM103" si="49">AH88</f>
        <v>207898058.05571848</v>
      </c>
      <c r="AJ88" s="226">
        <f t="shared" si="49"/>
        <v>207898058.05571848</v>
      </c>
      <c r="AK88" s="226">
        <f t="shared" si="49"/>
        <v>207898058.05571848</v>
      </c>
      <c r="AL88" s="226">
        <f t="shared" si="49"/>
        <v>207898058.05571848</v>
      </c>
      <c r="AM88" s="226">
        <f t="shared" si="49"/>
        <v>207898058.05571848</v>
      </c>
      <c r="AN88" s="235">
        <f>190284899.398827+17613158.6568915</f>
        <v>207898058.05571848</v>
      </c>
      <c r="AO88" s="235">
        <f t="shared" ref="AO88:AV103" si="50">AN88</f>
        <v>207898058.05571848</v>
      </c>
      <c r="AP88" s="235">
        <f t="shared" si="50"/>
        <v>207898058.05571848</v>
      </c>
      <c r="AQ88" s="236">
        <f t="shared" si="50"/>
        <v>207898058.05571848</v>
      </c>
      <c r="AR88" s="236">
        <f t="shared" si="50"/>
        <v>207898058.05571848</v>
      </c>
      <c r="AS88" s="236">
        <f t="shared" si="50"/>
        <v>207898058.05571848</v>
      </c>
      <c r="AT88" s="236">
        <f t="shared" si="50"/>
        <v>207898058.05571848</v>
      </c>
      <c r="AU88" s="236">
        <f t="shared" si="50"/>
        <v>207898058.05571848</v>
      </c>
      <c r="AV88" s="236">
        <f t="shared" si="50"/>
        <v>207898058.05571848</v>
      </c>
      <c r="AW88" s="226">
        <f>190284899.398827+17613158.6568915</f>
        <v>207898058.05571848</v>
      </c>
      <c r="AX88" s="226">
        <f t="shared" ref="AX88:BB103" si="51">AW88</f>
        <v>207898058.05571848</v>
      </c>
      <c r="AY88" s="226">
        <f t="shared" si="51"/>
        <v>207898058.05571848</v>
      </c>
      <c r="AZ88" s="226">
        <f t="shared" si="51"/>
        <v>207898058.05571848</v>
      </c>
      <c r="BA88" s="226">
        <f t="shared" si="51"/>
        <v>207898058.05571848</v>
      </c>
      <c r="BB88" s="226">
        <f t="shared" si="51"/>
        <v>207898058.05571848</v>
      </c>
      <c r="BC88" s="224">
        <f>190284899.398827+17613158.6568915</f>
        <v>207898058.05571848</v>
      </c>
      <c r="BD88" s="224">
        <f t="shared" ref="BD88:BO103" si="52">BC88</f>
        <v>207898058.05571848</v>
      </c>
      <c r="BE88" s="224">
        <f t="shared" si="52"/>
        <v>207898058.05571848</v>
      </c>
      <c r="BF88" s="224">
        <f t="shared" si="52"/>
        <v>207898058.05571848</v>
      </c>
      <c r="BG88" s="224">
        <f t="shared" si="52"/>
        <v>207898058.05571848</v>
      </c>
      <c r="BH88" s="224">
        <f t="shared" si="52"/>
        <v>207898058.05571848</v>
      </c>
      <c r="BI88" s="224">
        <f t="shared" si="52"/>
        <v>207898058.05571848</v>
      </c>
      <c r="BJ88" s="224">
        <f t="shared" si="52"/>
        <v>207898058.05571848</v>
      </c>
      <c r="BK88" s="224">
        <f t="shared" si="52"/>
        <v>207898058.05571848</v>
      </c>
      <c r="BL88" s="224">
        <f t="shared" si="52"/>
        <v>207898058.05571848</v>
      </c>
      <c r="BM88" s="224">
        <f t="shared" si="52"/>
        <v>207898058.05571848</v>
      </c>
      <c r="BN88" s="224">
        <f t="shared" si="52"/>
        <v>207898058.05571848</v>
      </c>
      <c r="BO88" s="224">
        <f t="shared" si="52"/>
        <v>207898058.05571848</v>
      </c>
    </row>
    <row r="89" spans="1:67" ht="30">
      <c r="A89" s="223">
        <f t="shared" ref="A89:A96" si="53">A88+1</f>
        <v>3</v>
      </c>
      <c r="B89" s="228" t="s">
        <v>185</v>
      </c>
      <c r="C89" s="223">
        <v>87</v>
      </c>
      <c r="D89" s="224">
        <f>262565642.86668+11376361.9224</f>
        <v>273942004.78908002</v>
      </c>
      <c r="E89" s="225">
        <f t="shared" si="44"/>
        <v>273942004.78908002</v>
      </c>
      <c r="F89" s="225">
        <f t="shared" si="44"/>
        <v>273942004.78908002</v>
      </c>
      <c r="G89" s="225">
        <f t="shared" si="44"/>
        <v>273942004.78908002</v>
      </c>
      <c r="H89" s="225">
        <f t="shared" si="44"/>
        <v>273942004.78908002</v>
      </c>
      <c r="I89" s="225">
        <f t="shared" si="44"/>
        <v>273942004.78908002</v>
      </c>
      <c r="J89" s="225">
        <f t="shared" si="44"/>
        <v>273942004.78908002</v>
      </c>
      <c r="K89" s="237">
        <f t="shared" si="44"/>
        <v>273942004.78908002</v>
      </c>
      <c r="L89" s="237">
        <f t="shared" si="44"/>
        <v>273942004.78908002</v>
      </c>
      <c r="M89" s="237">
        <f t="shared" si="44"/>
        <v>273942004.78908002</v>
      </c>
      <c r="N89" s="237">
        <f t="shared" si="44"/>
        <v>273942004.78908002</v>
      </c>
      <c r="O89" s="237">
        <f t="shared" si="44"/>
        <v>273942004.78908002</v>
      </c>
      <c r="P89" s="237">
        <f t="shared" si="44"/>
        <v>273942004.78908002</v>
      </c>
      <c r="Q89" s="237">
        <f t="shared" si="44"/>
        <v>273942004.78908002</v>
      </c>
      <c r="R89" s="237">
        <f t="shared" si="44"/>
        <v>273942004.78908002</v>
      </c>
      <c r="S89" s="237">
        <f t="shared" si="44"/>
        <v>273942004.78908002</v>
      </c>
      <c r="T89" s="224">
        <f>262565642.86668+11376361.9224</f>
        <v>273942004.78908002</v>
      </c>
      <c r="U89" s="224">
        <f t="shared" si="45"/>
        <v>273942004.78908002</v>
      </c>
      <c r="V89" s="224">
        <f t="shared" si="45"/>
        <v>273942004.78908002</v>
      </c>
      <c r="W89" s="224">
        <f t="shared" si="45"/>
        <v>273942004.78908002</v>
      </c>
      <c r="X89" s="226">
        <f>262565642.86668+11376361.9224</f>
        <v>273942004.78908002</v>
      </c>
      <c r="Y89" s="226">
        <f t="shared" si="46"/>
        <v>273942004.78908002</v>
      </c>
      <c r="Z89" s="226">
        <f t="shared" si="46"/>
        <v>273942004.78908002</v>
      </c>
      <c r="AA89" s="224">
        <f t="shared" ref="AA89:AC90" si="54">262565642.86668+11376361.9224</f>
        <v>273942004.78908002</v>
      </c>
      <c r="AB89" s="224">
        <f t="shared" si="54"/>
        <v>273942004.78908002</v>
      </c>
      <c r="AC89" s="224">
        <f t="shared" si="54"/>
        <v>273942004.78908002</v>
      </c>
      <c r="AD89" s="224">
        <f t="shared" si="47"/>
        <v>273942004.78908002</v>
      </c>
      <c r="AE89" s="224">
        <f>262565642.86668+11376361.9224</f>
        <v>273942004.78908002</v>
      </c>
      <c r="AF89" s="224">
        <f>262565642.86668+11376361.9224</f>
        <v>273942004.78908002</v>
      </c>
      <c r="AG89" s="224">
        <f t="shared" si="48"/>
        <v>273942004.78908002</v>
      </c>
      <c r="AH89" s="226">
        <f>262565642.86668+11376361.9224</f>
        <v>273942004.78908002</v>
      </c>
      <c r="AI89" s="226">
        <f t="shared" si="49"/>
        <v>273942004.78908002</v>
      </c>
      <c r="AJ89" s="226">
        <f t="shared" si="49"/>
        <v>273942004.78908002</v>
      </c>
      <c r="AK89" s="226">
        <f t="shared" si="49"/>
        <v>273942004.78908002</v>
      </c>
      <c r="AL89" s="226">
        <f t="shared" si="49"/>
        <v>273942004.78908002</v>
      </c>
      <c r="AM89" s="226">
        <f t="shared" si="49"/>
        <v>273942004.78908002</v>
      </c>
      <c r="AN89" s="235">
        <f>262565642.86668+11376361.9224</f>
        <v>273942004.78908002</v>
      </c>
      <c r="AO89" s="235">
        <f t="shared" si="50"/>
        <v>273942004.78908002</v>
      </c>
      <c r="AP89" s="235">
        <f t="shared" si="50"/>
        <v>273942004.78908002</v>
      </c>
      <c r="AQ89" s="236">
        <f t="shared" si="50"/>
        <v>273942004.78908002</v>
      </c>
      <c r="AR89" s="236">
        <f t="shared" si="50"/>
        <v>273942004.78908002</v>
      </c>
      <c r="AS89" s="236">
        <f t="shared" si="50"/>
        <v>273942004.78908002</v>
      </c>
      <c r="AT89" s="236">
        <f t="shared" si="50"/>
        <v>273942004.78908002</v>
      </c>
      <c r="AU89" s="236">
        <f t="shared" si="50"/>
        <v>273942004.78908002</v>
      </c>
      <c r="AV89" s="236">
        <f t="shared" si="50"/>
        <v>273942004.78908002</v>
      </c>
      <c r="AW89" s="226">
        <f>262565642.86668+11376361.9224</f>
        <v>273942004.78908002</v>
      </c>
      <c r="AX89" s="226">
        <f t="shared" si="51"/>
        <v>273942004.78908002</v>
      </c>
      <c r="AY89" s="226">
        <f t="shared" si="51"/>
        <v>273942004.78908002</v>
      </c>
      <c r="AZ89" s="226">
        <f t="shared" si="51"/>
        <v>273942004.78908002</v>
      </c>
      <c r="BA89" s="226">
        <f t="shared" si="51"/>
        <v>273942004.78908002</v>
      </c>
      <c r="BB89" s="226">
        <f t="shared" si="51"/>
        <v>273942004.78908002</v>
      </c>
      <c r="BC89" s="224">
        <f>262565642.86668+11376361.9224</f>
        <v>273942004.78908002</v>
      </c>
      <c r="BD89" s="224">
        <f t="shared" si="52"/>
        <v>273942004.78908002</v>
      </c>
      <c r="BE89" s="224">
        <f t="shared" si="52"/>
        <v>273942004.78908002</v>
      </c>
      <c r="BF89" s="224">
        <f t="shared" si="52"/>
        <v>273942004.78908002</v>
      </c>
      <c r="BG89" s="224">
        <f t="shared" si="52"/>
        <v>273942004.78908002</v>
      </c>
      <c r="BH89" s="224">
        <f t="shared" si="52"/>
        <v>273942004.78908002</v>
      </c>
      <c r="BI89" s="224">
        <f t="shared" si="52"/>
        <v>273942004.78908002</v>
      </c>
      <c r="BJ89" s="224">
        <f t="shared" si="52"/>
        <v>273942004.78908002</v>
      </c>
      <c r="BK89" s="224">
        <f t="shared" si="52"/>
        <v>273942004.78908002</v>
      </c>
      <c r="BL89" s="224">
        <f t="shared" si="52"/>
        <v>273942004.78908002</v>
      </c>
      <c r="BM89" s="224">
        <f t="shared" si="52"/>
        <v>273942004.78908002</v>
      </c>
      <c r="BN89" s="224">
        <f t="shared" si="52"/>
        <v>273942004.78908002</v>
      </c>
      <c r="BO89" s="224">
        <f t="shared" si="52"/>
        <v>273942004.78908002</v>
      </c>
    </row>
    <row r="90" spans="1:67" ht="30">
      <c r="A90" s="223">
        <f t="shared" si="53"/>
        <v>4</v>
      </c>
      <c r="B90" s="228" t="s">
        <v>186</v>
      </c>
      <c r="C90" s="223">
        <v>88</v>
      </c>
      <c r="D90" s="224">
        <f>262565642.86668+11376361.9224</f>
        <v>273942004.78908002</v>
      </c>
      <c r="E90" s="225">
        <f t="shared" si="44"/>
        <v>273942004.78908002</v>
      </c>
      <c r="F90" s="225">
        <f t="shared" si="44"/>
        <v>273942004.78908002</v>
      </c>
      <c r="G90" s="225">
        <f t="shared" si="44"/>
        <v>273942004.78908002</v>
      </c>
      <c r="H90" s="225">
        <f t="shared" si="44"/>
        <v>273942004.78908002</v>
      </c>
      <c r="I90" s="225">
        <f t="shared" si="44"/>
        <v>273942004.78908002</v>
      </c>
      <c r="J90" s="225">
        <f t="shared" si="44"/>
        <v>273942004.78908002</v>
      </c>
      <c r="K90" s="237">
        <f t="shared" si="44"/>
        <v>273942004.78908002</v>
      </c>
      <c r="L90" s="237">
        <f t="shared" si="44"/>
        <v>273942004.78908002</v>
      </c>
      <c r="M90" s="237">
        <f t="shared" si="44"/>
        <v>273942004.78908002</v>
      </c>
      <c r="N90" s="237">
        <f t="shared" si="44"/>
        <v>273942004.78908002</v>
      </c>
      <c r="O90" s="237">
        <f t="shared" si="44"/>
        <v>273942004.78908002</v>
      </c>
      <c r="P90" s="237">
        <f t="shared" si="44"/>
        <v>273942004.78908002</v>
      </c>
      <c r="Q90" s="237">
        <f t="shared" si="44"/>
        <v>273942004.78908002</v>
      </c>
      <c r="R90" s="237">
        <f t="shared" si="44"/>
        <v>273942004.78908002</v>
      </c>
      <c r="S90" s="237">
        <f t="shared" si="44"/>
        <v>273942004.78908002</v>
      </c>
      <c r="T90" s="224">
        <f>262565642.86668+11376361.9224</f>
        <v>273942004.78908002</v>
      </c>
      <c r="U90" s="224">
        <f t="shared" si="45"/>
        <v>273942004.78908002</v>
      </c>
      <c r="V90" s="224">
        <f t="shared" si="45"/>
        <v>273942004.78908002</v>
      </c>
      <c r="W90" s="224">
        <f t="shared" si="45"/>
        <v>273942004.78908002</v>
      </c>
      <c r="X90" s="226">
        <f>262565642.86668+11376361.9224</f>
        <v>273942004.78908002</v>
      </c>
      <c r="Y90" s="226">
        <f t="shared" si="46"/>
        <v>273942004.78908002</v>
      </c>
      <c r="Z90" s="226">
        <f t="shared" si="46"/>
        <v>273942004.78908002</v>
      </c>
      <c r="AA90" s="224">
        <f t="shared" si="54"/>
        <v>273942004.78908002</v>
      </c>
      <c r="AB90" s="224">
        <f t="shared" si="54"/>
        <v>273942004.78908002</v>
      </c>
      <c r="AC90" s="224">
        <f t="shared" si="54"/>
        <v>273942004.78908002</v>
      </c>
      <c r="AD90" s="224">
        <f t="shared" si="47"/>
        <v>273942004.78908002</v>
      </c>
      <c r="AE90" s="224">
        <f>262565642.86668+11376361.9224</f>
        <v>273942004.78908002</v>
      </c>
      <c r="AF90" s="224">
        <f>262565642.86668+11376361.9224</f>
        <v>273942004.78908002</v>
      </c>
      <c r="AG90" s="224">
        <f t="shared" si="48"/>
        <v>273942004.78908002</v>
      </c>
      <c r="AH90" s="226">
        <f>262565642.86668+11376361.9224</f>
        <v>273942004.78908002</v>
      </c>
      <c r="AI90" s="226">
        <f t="shared" si="49"/>
        <v>273942004.78908002</v>
      </c>
      <c r="AJ90" s="226">
        <f t="shared" si="49"/>
        <v>273942004.78908002</v>
      </c>
      <c r="AK90" s="226">
        <f t="shared" si="49"/>
        <v>273942004.78908002</v>
      </c>
      <c r="AL90" s="226">
        <f t="shared" si="49"/>
        <v>273942004.78908002</v>
      </c>
      <c r="AM90" s="226">
        <f t="shared" si="49"/>
        <v>273942004.78908002</v>
      </c>
      <c r="AN90" s="235">
        <f>262565642.86668+11376361.9224</f>
        <v>273942004.78908002</v>
      </c>
      <c r="AO90" s="235">
        <f t="shared" si="50"/>
        <v>273942004.78908002</v>
      </c>
      <c r="AP90" s="235">
        <f t="shared" si="50"/>
        <v>273942004.78908002</v>
      </c>
      <c r="AQ90" s="236">
        <f t="shared" si="50"/>
        <v>273942004.78908002</v>
      </c>
      <c r="AR90" s="236">
        <f t="shared" si="50"/>
        <v>273942004.78908002</v>
      </c>
      <c r="AS90" s="236">
        <f t="shared" si="50"/>
        <v>273942004.78908002</v>
      </c>
      <c r="AT90" s="236">
        <f t="shared" si="50"/>
        <v>273942004.78908002</v>
      </c>
      <c r="AU90" s="236">
        <f t="shared" si="50"/>
        <v>273942004.78908002</v>
      </c>
      <c r="AV90" s="236">
        <f t="shared" si="50"/>
        <v>273942004.78908002</v>
      </c>
      <c r="AW90" s="226">
        <f>262565642.86668+11376361.9224</f>
        <v>273942004.78908002</v>
      </c>
      <c r="AX90" s="226">
        <f t="shared" si="51"/>
        <v>273942004.78908002</v>
      </c>
      <c r="AY90" s="226">
        <f t="shared" si="51"/>
        <v>273942004.78908002</v>
      </c>
      <c r="AZ90" s="226">
        <f t="shared" si="51"/>
        <v>273942004.78908002</v>
      </c>
      <c r="BA90" s="226">
        <f t="shared" si="51"/>
        <v>273942004.78908002</v>
      </c>
      <c r="BB90" s="226">
        <f t="shared" si="51"/>
        <v>273942004.78908002</v>
      </c>
      <c r="BC90" s="224">
        <f>262565642.86668+11376361.9224</f>
        <v>273942004.78908002</v>
      </c>
      <c r="BD90" s="224">
        <f t="shared" si="52"/>
        <v>273942004.78908002</v>
      </c>
      <c r="BE90" s="224">
        <f t="shared" si="52"/>
        <v>273942004.78908002</v>
      </c>
      <c r="BF90" s="224">
        <f t="shared" si="52"/>
        <v>273942004.78908002</v>
      </c>
      <c r="BG90" s="224">
        <f t="shared" si="52"/>
        <v>273942004.78908002</v>
      </c>
      <c r="BH90" s="224">
        <f t="shared" si="52"/>
        <v>273942004.78908002</v>
      </c>
      <c r="BI90" s="224">
        <f t="shared" si="52"/>
        <v>273942004.78908002</v>
      </c>
      <c r="BJ90" s="224">
        <f t="shared" si="52"/>
        <v>273942004.78908002</v>
      </c>
      <c r="BK90" s="224">
        <f t="shared" si="52"/>
        <v>273942004.78908002</v>
      </c>
      <c r="BL90" s="224">
        <f t="shared" si="52"/>
        <v>273942004.78908002</v>
      </c>
      <c r="BM90" s="224">
        <f t="shared" si="52"/>
        <v>273942004.78908002</v>
      </c>
      <c r="BN90" s="224">
        <f t="shared" si="52"/>
        <v>273942004.78908002</v>
      </c>
      <c r="BO90" s="224">
        <f t="shared" si="52"/>
        <v>273942004.78908002</v>
      </c>
    </row>
    <row r="91" spans="1:67" ht="30">
      <c r="A91" s="223">
        <f t="shared" si="53"/>
        <v>5</v>
      </c>
      <c r="B91" s="228" t="s">
        <v>187</v>
      </c>
      <c r="C91" s="223">
        <v>89</v>
      </c>
      <c r="D91" s="224">
        <f>282734177.64543+11376361.9224</f>
        <v>294110539.56783003</v>
      </c>
      <c r="E91" s="225">
        <f t="shared" si="44"/>
        <v>294110539.56783003</v>
      </c>
      <c r="F91" s="225">
        <f t="shared" si="44"/>
        <v>294110539.56783003</v>
      </c>
      <c r="G91" s="225">
        <f t="shared" si="44"/>
        <v>294110539.56783003</v>
      </c>
      <c r="H91" s="225">
        <f t="shared" si="44"/>
        <v>294110539.56783003</v>
      </c>
      <c r="I91" s="225">
        <f t="shared" si="44"/>
        <v>294110539.56783003</v>
      </c>
      <c r="J91" s="225">
        <f t="shared" si="44"/>
        <v>294110539.56783003</v>
      </c>
      <c r="K91" s="237">
        <f t="shared" si="44"/>
        <v>294110539.56783003</v>
      </c>
      <c r="L91" s="237">
        <f t="shared" si="44"/>
        <v>294110539.56783003</v>
      </c>
      <c r="M91" s="237">
        <f t="shared" si="44"/>
        <v>294110539.56783003</v>
      </c>
      <c r="N91" s="237">
        <f t="shared" si="44"/>
        <v>294110539.56783003</v>
      </c>
      <c r="O91" s="237">
        <f t="shared" si="44"/>
        <v>294110539.56783003</v>
      </c>
      <c r="P91" s="237">
        <f t="shared" si="44"/>
        <v>294110539.56783003</v>
      </c>
      <c r="Q91" s="237">
        <f t="shared" si="44"/>
        <v>294110539.56783003</v>
      </c>
      <c r="R91" s="237">
        <f t="shared" si="44"/>
        <v>294110539.56783003</v>
      </c>
      <c r="S91" s="237">
        <f t="shared" si="44"/>
        <v>294110539.56783003</v>
      </c>
      <c r="T91" s="224">
        <f>282734177.64543+11376361.9224</f>
        <v>294110539.56783003</v>
      </c>
      <c r="U91" s="224">
        <f t="shared" si="45"/>
        <v>294110539.56783003</v>
      </c>
      <c r="V91" s="224">
        <f t="shared" si="45"/>
        <v>294110539.56783003</v>
      </c>
      <c r="W91" s="224">
        <f t="shared" si="45"/>
        <v>294110539.56783003</v>
      </c>
      <c r="X91" s="226">
        <f>282734177.64543+11376361.9224</f>
        <v>294110539.56783003</v>
      </c>
      <c r="Y91" s="226">
        <f t="shared" si="46"/>
        <v>294110539.56783003</v>
      </c>
      <c r="Z91" s="226">
        <f t="shared" si="46"/>
        <v>294110539.56783003</v>
      </c>
      <c r="AA91" s="224">
        <f t="shared" ref="AA91:AC92" si="55">282734177.64543+11376361.9224</f>
        <v>294110539.56783003</v>
      </c>
      <c r="AB91" s="224">
        <f t="shared" si="55"/>
        <v>294110539.56783003</v>
      </c>
      <c r="AC91" s="224">
        <f t="shared" si="55"/>
        <v>294110539.56783003</v>
      </c>
      <c r="AD91" s="224">
        <f t="shared" si="47"/>
        <v>294110539.56783003</v>
      </c>
      <c r="AE91" s="224">
        <f>282734177.64543+11376361.9224</f>
        <v>294110539.56783003</v>
      </c>
      <c r="AF91" s="224">
        <f>282734177.64543+11376361.9224</f>
        <v>294110539.56783003</v>
      </c>
      <c r="AG91" s="224">
        <f t="shared" si="48"/>
        <v>294110539.56783003</v>
      </c>
      <c r="AH91" s="226">
        <f>282734177.64543+11376361.9224</f>
        <v>294110539.56783003</v>
      </c>
      <c r="AI91" s="226">
        <f t="shared" si="49"/>
        <v>294110539.56783003</v>
      </c>
      <c r="AJ91" s="226">
        <f t="shared" si="49"/>
        <v>294110539.56783003</v>
      </c>
      <c r="AK91" s="226">
        <f t="shared" si="49"/>
        <v>294110539.56783003</v>
      </c>
      <c r="AL91" s="226">
        <f t="shared" si="49"/>
        <v>294110539.56783003</v>
      </c>
      <c r="AM91" s="226">
        <f t="shared" si="49"/>
        <v>294110539.56783003</v>
      </c>
      <c r="AN91" s="235">
        <f>282734177.64543+11376361.9224</f>
        <v>294110539.56783003</v>
      </c>
      <c r="AO91" s="235">
        <f t="shared" si="50"/>
        <v>294110539.56783003</v>
      </c>
      <c r="AP91" s="235">
        <f t="shared" si="50"/>
        <v>294110539.56783003</v>
      </c>
      <c r="AQ91" s="236">
        <f t="shared" si="50"/>
        <v>294110539.56783003</v>
      </c>
      <c r="AR91" s="236">
        <f t="shared" si="50"/>
        <v>294110539.56783003</v>
      </c>
      <c r="AS91" s="236">
        <f t="shared" si="50"/>
        <v>294110539.56783003</v>
      </c>
      <c r="AT91" s="236">
        <f t="shared" si="50"/>
        <v>294110539.56783003</v>
      </c>
      <c r="AU91" s="236">
        <f t="shared" si="50"/>
        <v>294110539.56783003</v>
      </c>
      <c r="AV91" s="236">
        <f t="shared" si="50"/>
        <v>294110539.56783003</v>
      </c>
      <c r="AW91" s="226">
        <f>282734177.64543+11376361.9224</f>
        <v>294110539.56783003</v>
      </c>
      <c r="AX91" s="226">
        <f t="shared" si="51"/>
        <v>294110539.56783003</v>
      </c>
      <c r="AY91" s="226">
        <f t="shared" si="51"/>
        <v>294110539.56783003</v>
      </c>
      <c r="AZ91" s="226">
        <f t="shared" si="51"/>
        <v>294110539.56783003</v>
      </c>
      <c r="BA91" s="226">
        <f t="shared" si="51"/>
        <v>294110539.56783003</v>
      </c>
      <c r="BB91" s="226">
        <f t="shared" si="51"/>
        <v>294110539.56783003</v>
      </c>
      <c r="BC91" s="224">
        <f>282734177.64543+11376361.9224</f>
        <v>294110539.56783003</v>
      </c>
      <c r="BD91" s="224">
        <f t="shared" si="52"/>
        <v>294110539.56783003</v>
      </c>
      <c r="BE91" s="224">
        <f t="shared" si="52"/>
        <v>294110539.56783003</v>
      </c>
      <c r="BF91" s="224">
        <f t="shared" si="52"/>
        <v>294110539.56783003</v>
      </c>
      <c r="BG91" s="224">
        <f t="shared" si="52"/>
        <v>294110539.56783003</v>
      </c>
      <c r="BH91" s="224">
        <f t="shared" si="52"/>
        <v>294110539.56783003</v>
      </c>
      <c r="BI91" s="224">
        <f t="shared" si="52"/>
        <v>294110539.56783003</v>
      </c>
      <c r="BJ91" s="224">
        <f t="shared" si="52"/>
        <v>294110539.56783003</v>
      </c>
      <c r="BK91" s="224">
        <f t="shared" si="52"/>
        <v>294110539.56783003</v>
      </c>
      <c r="BL91" s="224">
        <f t="shared" si="52"/>
        <v>294110539.56783003</v>
      </c>
      <c r="BM91" s="224">
        <f t="shared" si="52"/>
        <v>294110539.56783003</v>
      </c>
      <c r="BN91" s="224">
        <f t="shared" si="52"/>
        <v>294110539.56783003</v>
      </c>
      <c r="BO91" s="224">
        <f t="shared" si="52"/>
        <v>294110539.56783003</v>
      </c>
    </row>
    <row r="92" spans="1:67" ht="30">
      <c r="A92" s="223">
        <f t="shared" si="53"/>
        <v>6</v>
      </c>
      <c r="B92" s="228" t="s">
        <v>188</v>
      </c>
      <c r="C92" s="223">
        <v>90</v>
      </c>
      <c r="D92" s="224">
        <f>282734177.64543+11376361.9224</f>
        <v>294110539.56783003</v>
      </c>
      <c r="E92" s="225">
        <f t="shared" si="44"/>
        <v>294110539.56783003</v>
      </c>
      <c r="F92" s="225">
        <f t="shared" si="44"/>
        <v>294110539.56783003</v>
      </c>
      <c r="G92" s="225">
        <f t="shared" si="44"/>
        <v>294110539.56783003</v>
      </c>
      <c r="H92" s="225">
        <f t="shared" si="44"/>
        <v>294110539.56783003</v>
      </c>
      <c r="I92" s="225">
        <f t="shared" si="44"/>
        <v>294110539.56783003</v>
      </c>
      <c r="J92" s="225">
        <f t="shared" si="44"/>
        <v>294110539.56783003</v>
      </c>
      <c r="K92" s="237">
        <f t="shared" si="44"/>
        <v>294110539.56783003</v>
      </c>
      <c r="L92" s="237">
        <f t="shared" si="44"/>
        <v>294110539.56783003</v>
      </c>
      <c r="M92" s="237">
        <f t="shared" si="44"/>
        <v>294110539.56783003</v>
      </c>
      <c r="N92" s="237">
        <f t="shared" si="44"/>
        <v>294110539.56783003</v>
      </c>
      <c r="O92" s="237">
        <f t="shared" si="44"/>
        <v>294110539.56783003</v>
      </c>
      <c r="P92" s="237">
        <f t="shared" si="44"/>
        <v>294110539.56783003</v>
      </c>
      <c r="Q92" s="237">
        <f t="shared" si="44"/>
        <v>294110539.56783003</v>
      </c>
      <c r="R92" s="237">
        <f t="shared" si="44"/>
        <v>294110539.56783003</v>
      </c>
      <c r="S92" s="237">
        <f t="shared" si="44"/>
        <v>294110539.56783003</v>
      </c>
      <c r="T92" s="224">
        <f>282734177.64543+11376361.9224</f>
        <v>294110539.56783003</v>
      </c>
      <c r="U92" s="224">
        <f t="shared" si="45"/>
        <v>294110539.56783003</v>
      </c>
      <c r="V92" s="224">
        <f t="shared" si="45"/>
        <v>294110539.56783003</v>
      </c>
      <c r="W92" s="224">
        <f t="shared" si="45"/>
        <v>294110539.56783003</v>
      </c>
      <c r="X92" s="226">
        <f>282734177.64543+11376361.9224</f>
        <v>294110539.56783003</v>
      </c>
      <c r="Y92" s="226">
        <f t="shared" si="46"/>
        <v>294110539.56783003</v>
      </c>
      <c r="Z92" s="226">
        <f t="shared" si="46"/>
        <v>294110539.56783003</v>
      </c>
      <c r="AA92" s="224">
        <f t="shared" si="55"/>
        <v>294110539.56783003</v>
      </c>
      <c r="AB92" s="224">
        <f t="shared" si="55"/>
        <v>294110539.56783003</v>
      </c>
      <c r="AC92" s="224">
        <f t="shared" si="55"/>
        <v>294110539.56783003</v>
      </c>
      <c r="AD92" s="224">
        <f t="shared" si="47"/>
        <v>294110539.56783003</v>
      </c>
      <c r="AE92" s="224">
        <f>282734177.64543+11376361.9224</f>
        <v>294110539.56783003</v>
      </c>
      <c r="AF92" s="224">
        <f>282734177.64543+11376361.9224</f>
        <v>294110539.56783003</v>
      </c>
      <c r="AG92" s="224">
        <f t="shared" si="48"/>
        <v>294110539.56783003</v>
      </c>
      <c r="AH92" s="226">
        <f>282734177.64543+11376361.9224</f>
        <v>294110539.56783003</v>
      </c>
      <c r="AI92" s="226">
        <f t="shared" si="49"/>
        <v>294110539.56783003</v>
      </c>
      <c r="AJ92" s="226">
        <f t="shared" si="49"/>
        <v>294110539.56783003</v>
      </c>
      <c r="AK92" s="226">
        <f t="shared" si="49"/>
        <v>294110539.56783003</v>
      </c>
      <c r="AL92" s="226">
        <f t="shared" si="49"/>
        <v>294110539.56783003</v>
      </c>
      <c r="AM92" s="226">
        <f t="shared" si="49"/>
        <v>294110539.56783003</v>
      </c>
      <c r="AN92" s="235">
        <f>282734177.64543+11376361.9224</f>
        <v>294110539.56783003</v>
      </c>
      <c r="AO92" s="235">
        <f t="shared" si="50"/>
        <v>294110539.56783003</v>
      </c>
      <c r="AP92" s="235">
        <f t="shared" si="50"/>
        <v>294110539.56783003</v>
      </c>
      <c r="AQ92" s="236">
        <f t="shared" si="50"/>
        <v>294110539.56783003</v>
      </c>
      <c r="AR92" s="236">
        <f t="shared" si="50"/>
        <v>294110539.56783003</v>
      </c>
      <c r="AS92" s="236">
        <f t="shared" si="50"/>
        <v>294110539.56783003</v>
      </c>
      <c r="AT92" s="236">
        <f t="shared" si="50"/>
        <v>294110539.56783003</v>
      </c>
      <c r="AU92" s="236">
        <f t="shared" si="50"/>
        <v>294110539.56783003</v>
      </c>
      <c r="AV92" s="236">
        <f t="shared" si="50"/>
        <v>294110539.56783003</v>
      </c>
      <c r="AW92" s="226">
        <f>282734177.64543+11376361.9224</f>
        <v>294110539.56783003</v>
      </c>
      <c r="AX92" s="226">
        <f t="shared" si="51"/>
        <v>294110539.56783003</v>
      </c>
      <c r="AY92" s="226">
        <f t="shared" si="51"/>
        <v>294110539.56783003</v>
      </c>
      <c r="AZ92" s="226">
        <f t="shared" si="51"/>
        <v>294110539.56783003</v>
      </c>
      <c r="BA92" s="226">
        <f t="shared" si="51"/>
        <v>294110539.56783003</v>
      </c>
      <c r="BB92" s="226">
        <f t="shared" si="51"/>
        <v>294110539.56783003</v>
      </c>
      <c r="BC92" s="224">
        <f>282734177.64543+11376361.9224</f>
        <v>294110539.56783003</v>
      </c>
      <c r="BD92" s="224">
        <f t="shared" si="52"/>
        <v>294110539.56783003</v>
      </c>
      <c r="BE92" s="224">
        <f t="shared" si="52"/>
        <v>294110539.56783003</v>
      </c>
      <c r="BF92" s="224">
        <f t="shared" si="52"/>
        <v>294110539.56783003</v>
      </c>
      <c r="BG92" s="224">
        <f t="shared" si="52"/>
        <v>294110539.56783003</v>
      </c>
      <c r="BH92" s="224">
        <f t="shared" si="52"/>
        <v>294110539.56783003</v>
      </c>
      <c r="BI92" s="224">
        <f t="shared" si="52"/>
        <v>294110539.56783003</v>
      </c>
      <c r="BJ92" s="224">
        <f t="shared" si="52"/>
        <v>294110539.56783003</v>
      </c>
      <c r="BK92" s="224">
        <f t="shared" si="52"/>
        <v>294110539.56783003</v>
      </c>
      <c r="BL92" s="224">
        <f t="shared" si="52"/>
        <v>294110539.56783003</v>
      </c>
      <c r="BM92" s="224">
        <f t="shared" si="52"/>
        <v>294110539.56783003</v>
      </c>
      <c r="BN92" s="224">
        <f t="shared" si="52"/>
        <v>294110539.56783003</v>
      </c>
      <c r="BO92" s="224">
        <f t="shared" si="52"/>
        <v>294110539.56783003</v>
      </c>
    </row>
    <row r="93" spans="1:67">
      <c r="A93" s="223">
        <f t="shared" si="53"/>
        <v>7</v>
      </c>
      <c r="B93" s="228" t="s">
        <v>143</v>
      </c>
      <c r="C93" s="223">
        <v>91</v>
      </c>
      <c r="D93" s="224">
        <f>262565642.86668+11376361.9224</f>
        <v>273942004.78908002</v>
      </c>
      <c r="E93" s="225">
        <f t="shared" si="44"/>
        <v>273942004.78908002</v>
      </c>
      <c r="F93" s="225">
        <f t="shared" si="44"/>
        <v>273942004.78908002</v>
      </c>
      <c r="G93" s="225">
        <f t="shared" si="44"/>
        <v>273942004.78908002</v>
      </c>
      <c r="H93" s="225">
        <f t="shared" si="44"/>
        <v>273942004.78908002</v>
      </c>
      <c r="I93" s="225">
        <f t="shared" si="44"/>
        <v>273942004.78908002</v>
      </c>
      <c r="J93" s="225">
        <f t="shared" si="44"/>
        <v>273942004.78908002</v>
      </c>
      <c r="K93" s="237">
        <f t="shared" si="44"/>
        <v>273942004.78908002</v>
      </c>
      <c r="L93" s="237">
        <f t="shared" si="44"/>
        <v>273942004.78908002</v>
      </c>
      <c r="M93" s="237">
        <f t="shared" si="44"/>
        <v>273942004.78908002</v>
      </c>
      <c r="N93" s="237">
        <f t="shared" si="44"/>
        <v>273942004.78908002</v>
      </c>
      <c r="O93" s="237">
        <f t="shared" si="44"/>
        <v>273942004.78908002</v>
      </c>
      <c r="P93" s="237">
        <f t="shared" si="44"/>
        <v>273942004.78908002</v>
      </c>
      <c r="Q93" s="237">
        <f t="shared" si="44"/>
        <v>273942004.78908002</v>
      </c>
      <c r="R93" s="237">
        <f t="shared" si="44"/>
        <v>273942004.78908002</v>
      </c>
      <c r="S93" s="237">
        <f t="shared" si="44"/>
        <v>273942004.78908002</v>
      </c>
      <c r="T93" s="224">
        <f>262565642.86668+11376361.9224</f>
        <v>273942004.78908002</v>
      </c>
      <c r="U93" s="224">
        <f t="shared" si="45"/>
        <v>273942004.78908002</v>
      </c>
      <c r="V93" s="224">
        <f t="shared" si="45"/>
        <v>273942004.78908002</v>
      </c>
      <c r="W93" s="224">
        <f t="shared" si="45"/>
        <v>273942004.78908002</v>
      </c>
      <c r="X93" s="226">
        <f>262565642.86668+11376361.9224</f>
        <v>273942004.78908002</v>
      </c>
      <c r="Y93" s="226">
        <f t="shared" si="46"/>
        <v>273942004.78908002</v>
      </c>
      <c r="Z93" s="226">
        <f t="shared" si="46"/>
        <v>273942004.78908002</v>
      </c>
      <c r="AA93" s="224">
        <f>262565642.86668+11376361.9224</f>
        <v>273942004.78908002</v>
      </c>
      <c r="AB93" s="224">
        <f>262565642.86668+11376361.9224</f>
        <v>273942004.78908002</v>
      </c>
      <c r="AC93" s="224">
        <f>262565642.86668+11376361.9224</f>
        <v>273942004.78908002</v>
      </c>
      <c r="AD93" s="224">
        <f t="shared" si="47"/>
        <v>273942004.78908002</v>
      </c>
      <c r="AE93" s="224">
        <f>262565642.86668+11376361.9224</f>
        <v>273942004.78908002</v>
      </c>
      <c r="AF93" s="224">
        <f>262565642.86668+11376361.9224</f>
        <v>273942004.78908002</v>
      </c>
      <c r="AG93" s="224">
        <f t="shared" si="48"/>
        <v>273942004.78908002</v>
      </c>
      <c r="AH93" s="226">
        <f>262565642.86668+11376361.9224</f>
        <v>273942004.78908002</v>
      </c>
      <c r="AI93" s="226">
        <f t="shared" si="49"/>
        <v>273942004.78908002</v>
      </c>
      <c r="AJ93" s="226">
        <f t="shared" si="49"/>
        <v>273942004.78908002</v>
      </c>
      <c r="AK93" s="226">
        <f t="shared" si="49"/>
        <v>273942004.78908002</v>
      </c>
      <c r="AL93" s="226">
        <f t="shared" si="49"/>
        <v>273942004.78908002</v>
      </c>
      <c r="AM93" s="226">
        <f t="shared" si="49"/>
        <v>273942004.78908002</v>
      </c>
      <c r="AN93" s="235">
        <f>262565642.86668+11376361.9224</f>
        <v>273942004.78908002</v>
      </c>
      <c r="AO93" s="235">
        <f t="shared" si="50"/>
        <v>273942004.78908002</v>
      </c>
      <c r="AP93" s="235">
        <f t="shared" si="50"/>
        <v>273942004.78908002</v>
      </c>
      <c r="AQ93" s="236">
        <f t="shared" si="50"/>
        <v>273942004.78908002</v>
      </c>
      <c r="AR93" s="236">
        <f t="shared" si="50"/>
        <v>273942004.78908002</v>
      </c>
      <c r="AS93" s="236">
        <f t="shared" si="50"/>
        <v>273942004.78908002</v>
      </c>
      <c r="AT93" s="236">
        <f t="shared" si="50"/>
        <v>273942004.78908002</v>
      </c>
      <c r="AU93" s="236">
        <f t="shared" si="50"/>
        <v>273942004.78908002</v>
      </c>
      <c r="AV93" s="236">
        <f t="shared" si="50"/>
        <v>273942004.78908002</v>
      </c>
      <c r="AW93" s="226">
        <f>262565642.86668+11376361.9224</f>
        <v>273942004.78908002</v>
      </c>
      <c r="AX93" s="226">
        <f t="shared" si="51"/>
        <v>273942004.78908002</v>
      </c>
      <c r="AY93" s="226">
        <f t="shared" si="51"/>
        <v>273942004.78908002</v>
      </c>
      <c r="AZ93" s="226">
        <f t="shared" si="51"/>
        <v>273942004.78908002</v>
      </c>
      <c r="BA93" s="226">
        <f t="shared" si="51"/>
        <v>273942004.78908002</v>
      </c>
      <c r="BB93" s="226">
        <f t="shared" si="51"/>
        <v>273942004.78908002</v>
      </c>
      <c r="BC93" s="224">
        <f>262565642.86668+11376361.9224</f>
        <v>273942004.78908002</v>
      </c>
      <c r="BD93" s="224">
        <f t="shared" si="52"/>
        <v>273942004.78908002</v>
      </c>
      <c r="BE93" s="224">
        <f t="shared" si="52"/>
        <v>273942004.78908002</v>
      </c>
      <c r="BF93" s="224">
        <f t="shared" si="52"/>
        <v>273942004.78908002</v>
      </c>
      <c r="BG93" s="224">
        <f t="shared" si="52"/>
        <v>273942004.78908002</v>
      </c>
      <c r="BH93" s="224">
        <f t="shared" si="52"/>
        <v>273942004.78908002</v>
      </c>
      <c r="BI93" s="224">
        <f t="shared" si="52"/>
        <v>273942004.78908002</v>
      </c>
      <c r="BJ93" s="224">
        <f t="shared" si="52"/>
        <v>273942004.78908002</v>
      </c>
      <c r="BK93" s="224">
        <f t="shared" si="52"/>
        <v>273942004.78908002</v>
      </c>
      <c r="BL93" s="224">
        <f t="shared" si="52"/>
        <v>273942004.78908002</v>
      </c>
      <c r="BM93" s="224">
        <f t="shared" si="52"/>
        <v>273942004.78908002</v>
      </c>
      <c r="BN93" s="224">
        <f t="shared" si="52"/>
        <v>273942004.78908002</v>
      </c>
      <c r="BO93" s="224">
        <f t="shared" si="52"/>
        <v>273942004.78908002</v>
      </c>
    </row>
    <row r="94" spans="1:67" ht="30">
      <c r="A94" s="223">
        <f t="shared" si="53"/>
        <v>8</v>
      </c>
      <c r="B94" s="245" t="s">
        <v>208</v>
      </c>
      <c r="C94" s="223">
        <v>92</v>
      </c>
      <c r="D94" s="224">
        <v>303303603</v>
      </c>
      <c r="E94" s="225">
        <f t="shared" si="44"/>
        <v>303303603</v>
      </c>
      <c r="F94" s="225">
        <f t="shared" si="44"/>
        <v>303303603</v>
      </c>
      <c r="G94" s="225">
        <f t="shared" si="44"/>
        <v>303303603</v>
      </c>
      <c r="H94" s="225">
        <f t="shared" si="44"/>
        <v>303303603</v>
      </c>
      <c r="I94" s="225">
        <f t="shared" si="44"/>
        <v>303303603</v>
      </c>
      <c r="J94" s="225">
        <f t="shared" si="44"/>
        <v>303303603</v>
      </c>
      <c r="K94" s="237">
        <f t="shared" si="44"/>
        <v>303303603</v>
      </c>
      <c r="L94" s="237">
        <f t="shared" si="44"/>
        <v>303303603</v>
      </c>
      <c r="M94" s="237">
        <f t="shared" si="44"/>
        <v>303303603</v>
      </c>
      <c r="N94" s="237">
        <f t="shared" si="44"/>
        <v>303303603</v>
      </c>
      <c r="O94" s="237">
        <f t="shared" si="44"/>
        <v>303303603</v>
      </c>
      <c r="P94" s="237">
        <f t="shared" si="44"/>
        <v>303303603</v>
      </c>
      <c r="Q94" s="237">
        <f t="shared" si="44"/>
        <v>303303603</v>
      </c>
      <c r="R94" s="237">
        <f t="shared" si="44"/>
        <v>303303603</v>
      </c>
      <c r="S94" s="237">
        <f t="shared" si="44"/>
        <v>303303603</v>
      </c>
      <c r="T94" s="224">
        <v>303303603</v>
      </c>
      <c r="U94" s="224">
        <f t="shared" si="45"/>
        <v>303303603</v>
      </c>
      <c r="V94" s="224">
        <f t="shared" si="45"/>
        <v>303303603</v>
      </c>
      <c r="W94" s="224">
        <f t="shared" si="45"/>
        <v>303303603</v>
      </c>
      <c r="X94" s="226">
        <v>303303603</v>
      </c>
      <c r="Y94" s="226">
        <f t="shared" si="46"/>
        <v>303303603</v>
      </c>
      <c r="Z94" s="226">
        <f t="shared" si="46"/>
        <v>303303603</v>
      </c>
      <c r="AA94" s="224">
        <v>303303603</v>
      </c>
      <c r="AB94" s="224">
        <v>303303603</v>
      </c>
      <c r="AC94" s="224">
        <v>303303603</v>
      </c>
      <c r="AD94" s="224">
        <f t="shared" si="47"/>
        <v>303303603</v>
      </c>
      <c r="AE94" s="224">
        <v>303303603</v>
      </c>
      <c r="AF94" s="224">
        <v>303303603</v>
      </c>
      <c r="AG94" s="224">
        <f t="shared" si="48"/>
        <v>303303603</v>
      </c>
      <c r="AH94" s="226">
        <v>303303603</v>
      </c>
      <c r="AI94" s="226">
        <f t="shared" si="49"/>
        <v>303303603</v>
      </c>
      <c r="AJ94" s="226">
        <f t="shared" si="49"/>
        <v>303303603</v>
      </c>
      <c r="AK94" s="226">
        <f t="shared" si="49"/>
        <v>303303603</v>
      </c>
      <c r="AL94" s="226">
        <f t="shared" si="49"/>
        <v>303303603</v>
      </c>
      <c r="AM94" s="226">
        <f t="shared" si="49"/>
        <v>303303603</v>
      </c>
      <c r="AN94" s="235">
        <v>303303603</v>
      </c>
      <c r="AO94" s="235">
        <f t="shared" si="50"/>
        <v>303303603</v>
      </c>
      <c r="AP94" s="235">
        <f t="shared" si="50"/>
        <v>303303603</v>
      </c>
      <c r="AQ94" s="236">
        <f t="shared" si="50"/>
        <v>303303603</v>
      </c>
      <c r="AR94" s="236">
        <f t="shared" si="50"/>
        <v>303303603</v>
      </c>
      <c r="AS94" s="236">
        <f t="shared" si="50"/>
        <v>303303603</v>
      </c>
      <c r="AT94" s="236">
        <f t="shared" si="50"/>
        <v>303303603</v>
      </c>
      <c r="AU94" s="236">
        <f t="shared" si="50"/>
        <v>303303603</v>
      </c>
      <c r="AV94" s="236">
        <f t="shared" si="50"/>
        <v>303303603</v>
      </c>
      <c r="AW94" s="226">
        <v>303303603</v>
      </c>
      <c r="AX94" s="226">
        <f t="shared" si="51"/>
        <v>303303603</v>
      </c>
      <c r="AY94" s="226">
        <f t="shared" si="51"/>
        <v>303303603</v>
      </c>
      <c r="AZ94" s="226">
        <f t="shared" si="51"/>
        <v>303303603</v>
      </c>
      <c r="BA94" s="226">
        <f t="shared" si="51"/>
        <v>303303603</v>
      </c>
      <c r="BB94" s="226">
        <f t="shared" si="51"/>
        <v>303303603</v>
      </c>
      <c r="BC94" s="224">
        <v>303303603</v>
      </c>
      <c r="BD94" s="224">
        <f t="shared" si="52"/>
        <v>303303603</v>
      </c>
      <c r="BE94" s="224">
        <f t="shared" si="52"/>
        <v>303303603</v>
      </c>
      <c r="BF94" s="224">
        <f t="shared" si="52"/>
        <v>303303603</v>
      </c>
      <c r="BG94" s="224">
        <f t="shared" si="52"/>
        <v>303303603</v>
      </c>
      <c r="BH94" s="224">
        <f t="shared" si="52"/>
        <v>303303603</v>
      </c>
      <c r="BI94" s="224">
        <f t="shared" si="52"/>
        <v>303303603</v>
      </c>
      <c r="BJ94" s="224">
        <f t="shared" si="52"/>
        <v>303303603</v>
      </c>
      <c r="BK94" s="224">
        <f t="shared" si="52"/>
        <v>303303603</v>
      </c>
      <c r="BL94" s="224">
        <f t="shared" si="52"/>
        <v>303303603</v>
      </c>
      <c r="BM94" s="224">
        <f t="shared" si="52"/>
        <v>303303603</v>
      </c>
      <c r="BN94" s="224">
        <f t="shared" si="52"/>
        <v>303303603</v>
      </c>
      <c r="BO94" s="224">
        <f t="shared" si="52"/>
        <v>303303603</v>
      </c>
    </row>
    <row r="95" spans="1:67">
      <c r="A95" s="223">
        <f t="shared" si="53"/>
        <v>9</v>
      </c>
      <c r="B95" s="151" t="s">
        <v>141</v>
      </c>
      <c r="C95" s="223">
        <v>93</v>
      </c>
      <c r="D95" s="224">
        <f>262565642.86668+11376361.9224</f>
        <v>273942004.78908002</v>
      </c>
      <c r="E95" s="225">
        <f t="shared" si="44"/>
        <v>273942004.78908002</v>
      </c>
      <c r="F95" s="225">
        <f t="shared" si="44"/>
        <v>273942004.78908002</v>
      </c>
      <c r="G95" s="225">
        <f t="shared" si="44"/>
        <v>273942004.78908002</v>
      </c>
      <c r="H95" s="225">
        <f t="shared" si="44"/>
        <v>273942004.78908002</v>
      </c>
      <c r="I95" s="225">
        <f t="shared" si="44"/>
        <v>273942004.78908002</v>
      </c>
      <c r="J95" s="225">
        <f t="shared" si="44"/>
        <v>273942004.78908002</v>
      </c>
      <c r="K95" s="237">
        <f t="shared" si="44"/>
        <v>273942004.78908002</v>
      </c>
      <c r="L95" s="237">
        <f t="shared" si="44"/>
        <v>273942004.78908002</v>
      </c>
      <c r="M95" s="237">
        <f t="shared" si="44"/>
        <v>273942004.78908002</v>
      </c>
      <c r="N95" s="237">
        <f t="shared" si="44"/>
        <v>273942004.78908002</v>
      </c>
      <c r="O95" s="237">
        <f t="shared" si="44"/>
        <v>273942004.78908002</v>
      </c>
      <c r="P95" s="237">
        <f t="shared" si="44"/>
        <v>273942004.78908002</v>
      </c>
      <c r="Q95" s="237">
        <f t="shared" si="44"/>
        <v>273942004.78908002</v>
      </c>
      <c r="R95" s="237">
        <f t="shared" si="44"/>
        <v>273942004.78908002</v>
      </c>
      <c r="S95" s="237">
        <f t="shared" si="44"/>
        <v>273942004.78908002</v>
      </c>
      <c r="T95" s="224">
        <f>262565642.86668+11376361.9224</f>
        <v>273942004.78908002</v>
      </c>
      <c r="U95" s="224">
        <f t="shared" si="45"/>
        <v>273942004.78908002</v>
      </c>
      <c r="V95" s="224">
        <f t="shared" si="45"/>
        <v>273942004.78908002</v>
      </c>
      <c r="W95" s="224">
        <f t="shared" si="45"/>
        <v>273942004.78908002</v>
      </c>
      <c r="X95" s="226">
        <f>262565642.86668+11376361.9224</f>
        <v>273942004.78908002</v>
      </c>
      <c r="Y95" s="226">
        <f t="shared" si="46"/>
        <v>273942004.78908002</v>
      </c>
      <c r="Z95" s="226">
        <f t="shared" si="46"/>
        <v>273942004.78908002</v>
      </c>
      <c r="AA95" s="224">
        <f>262565642.86668+11376361.9224</f>
        <v>273942004.78908002</v>
      </c>
      <c r="AB95" s="224">
        <f>262565642.86668+11376361.9224</f>
        <v>273942004.78908002</v>
      </c>
      <c r="AC95" s="224">
        <f>262565642.86668+11376361.9224</f>
        <v>273942004.78908002</v>
      </c>
      <c r="AD95" s="224">
        <f t="shared" si="47"/>
        <v>273942004.78908002</v>
      </c>
      <c r="AE95" s="224">
        <f>262565642.86668+11376361.9224</f>
        <v>273942004.78908002</v>
      </c>
      <c r="AF95" s="224">
        <f>262565642.86668+11376361.9224</f>
        <v>273942004.78908002</v>
      </c>
      <c r="AG95" s="224">
        <f t="shared" si="48"/>
        <v>273942004.78908002</v>
      </c>
      <c r="AH95" s="226">
        <f>262565642.86668+11376361.9224</f>
        <v>273942004.78908002</v>
      </c>
      <c r="AI95" s="226">
        <f t="shared" si="49"/>
        <v>273942004.78908002</v>
      </c>
      <c r="AJ95" s="226">
        <f t="shared" si="49"/>
        <v>273942004.78908002</v>
      </c>
      <c r="AK95" s="226">
        <f t="shared" si="49"/>
        <v>273942004.78908002</v>
      </c>
      <c r="AL95" s="226">
        <f t="shared" si="49"/>
        <v>273942004.78908002</v>
      </c>
      <c r="AM95" s="226">
        <f t="shared" si="49"/>
        <v>273942004.78908002</v>
      </c>
      <c r="AN95" s="235">
        <f>262565642.86668+11376361.9224</f>
        <v>273942004.78908002</v>
      </c>
      <c r="AO95" s="235">
        <f t="shared" si="50"/>
        <v>273942004.78908002</v>
      </c>
      <c r="AP95" s="235">
        <f t="shared" si="50"/>
        <v>273942004.78908002</v>
      </c>
      <c r="AQ95" s="236">
        <f t="shared" si="50"/>
        <v>273942004.78908002</v>
      </c>
      <c r="AR95" s="236">
        <f t="shared" si="50"/>
        <v>273942004.78908002</v>
      </c>
      <c r="AS95" s="236">
        <f t="shared" si="50"/>
        <v>273942004.78908002</v>
      </c>
      <c r="AT95" s="236">
        <f t="shared" si="50"/>
        <v>273942004.78908002</v>
      </c>
      <c r="AU95" s="236">
        <f t="shared" si="50"/>
        <v>273942004.78908002</v>
      </c>
      <c r="AV95" s="236">
        <f t="shared" si="50"/>
        <v>273942004.78908002</v>
      </c>
      <c r="AW95" s="226">
        <f>262565642.86668+11376361.9224</f>
        <v>273942004.78908002</v>
      </c>
      <c r="AX95" s="226">
        <f t="shared" si="51"/>
        <v>273942004.78908002</v>
      </c>
      <c r="AY95" s="226">
        <f t="shared" si="51"/>
        <v>273942004.78908002</v>
      </c>
      <c r="AZ95" s="226">
        <f t="shared" si="51"/>
        <v>273942004.78908002</v>
      </c>
      <c r="BA95" s="226">
        <f t="shared" si="51"/>
        <v>273942004.78908002</v>
      </c>
      <c r="BB95" s="226">
        <f t="shared" si="51"/>
        <v>273942004.78908002</v>
      </c>
      <c r="BC95" s="224">
        <f>262565642.86668+11376361.9224</f>
        <v>273942004.78908002</v>
      </c>
      <c r="BD95" s="224">
        <f t="shared" si="52"/>
        <v>273942004.78908002</v>
      </c>
      <c r="BE95" s="224">
        <f t="shared" si="52"/>
        <v>273942004.78908002</v>
      </c>
      <c r="BF95" s="224">
        <f t="shared" si="52"/>
        <v>273942004.78908002</v>
      </c>
      <c r="BG95" s="224">
        <f t="shared" si="52"/>
        <v>273942004.78908002</v>
      </c>
      <c r="BH95" s="224">
        <f t="shared" si="52"/>
        <v>273942004.78908002</v>
      </c>
      <c r="BI95" s="224">
        <f t="shared" si="52"/>
        <v>273942004.78908002</v>
      </c>
      <c r="BJ95" s="224">
        <f t="shared" si="52"/>
        <v>273942004.78908002</v>
      </c>
      <c r="BK95" s="224">
        <f t="shared" si="52"/>
        <v>273942004.78908002</v>
      </c>
      <c r="BL95" s="224">
        <f t="shared" si="52"/>
        <v>273942004.78908002</v>
      </c>
      <c r="BM95" s="224">
        <f t="shared" si="52"/>
        <v>273942004.78908002</v>
      </c>
      <c r="BN95" s="224">
        <f t="shared" si="52"/>
        <v>273942004.78908002</v>
      </c>
      <c r="BO95" s="224">
        <f t="shared" si="52"/>
        <v>273942004.78908002</v>
      </c>
    </row>
    <row r="96" spans="1:67">
      <c r="A96" s="223">
        <f t="shared" si="53"/>
        <v>10</v>
      </c>
      <c r="B96" s="151" t="s">
        <v>142</v>
      </c>
      <c r="C96" s="223">
        <v>94</v>
      </c>
      <c r="D96" s="224">
        <v>298803603</v>
      </c>
      <c r="E96" s="225">
        <f t="shared" si="44"/>
        <v>298803603</v>
      </c>
      <c r="F96" s="225">
        <f t="shared" si="44"/>
        <v>298803603</v>
      </c>
      <c r="G96" s="225">
        <f t="shared" si="44"/>
        <v>298803603</v>
      </c>
      <c r="H96" s="225">
        <f t="shared" si="44"/>
        <v>298803603</v>
      </c>
      <c r="I96" s="225">
        <f t="shared" si="44"/>
        <v>298803603</v>
      </c>
      <c r="J96" s="225">
        <f t="shared" si="44"/>
        <v>298803603</v>
      </c>
      <c r="K96" s="237">
        <f t="shared" si="44"/>
        <v>298803603</v>
      </c>
      <c r="L96" s="237">
        <f t="shared" si="44"/>
        <v>298803603</v>
      </c>
      <c r="M96" s="237">
        <f t="shared" si="44"/>
        <v>298803603</v>
      </c>
      <c r="N96" s="237">
        <f t="shared" si="44"/>
        <v>298803603</v>
      </c>
      <c r="O96" s="237">
        <f t="shared" si="44"/>
        <v>298803603</v>
      </c>
      <c r="P96" s="237">
        <f t="shared" si="44"/>
        <v>298803603</v>
      </c>
      <c r="Q96" s="237">
        <f t="shared" si="44"/>
        <v>298803603</v>
      </c>
      <c r="R96" s="237">
        <f t="shared" si="44"/>
        <v>298803603</v>
      </c>
      <c r="S96" s="237">
        <f t="shared" si="44"/>
        <v>298803603</v>
      </c>
      <c r="T96" s="224">
        <v>298803603</v>
      </c>
      <c r="U96" s="224">
        <f t="shared" si="45"/>
        <v>298803603</v>
      </c>
      <c r="V96" s="224">
        <f t="shared" si="45"/>
        <v>298803603</v>
      </c>
      <c r="W96" s="224">
        <f t="shared" si="45"/>
        <v>298803603</v>
      </c>
      <c r="X96" s="226">
        <v>298803603</v>
      </c>
      <c r="Y96" s="226">
        <f t="shared" si="46"/>
        <v>298803603</v>
      </c>
      <c r="Z96" s="226">
        <f t="shared" si="46"/>
        <v>298803603</v>
      </c>
      <c r="AA96" s="224">
        <v>298803603</v>
      </c>
      <c r="AB96" s="224">
        <v>298803603</v>
      </c>
      <c r="AC96" s="224">
        <v>298803603</v>
      </c>
      <c r="AD96" s="224">
        <f t="shared" si="47"/>
        <v>298803603</v>
      </c>
      <c r="AE96" s="224">
        <v>298803603</v>
      </c>
      <c r="AF96" s="224">
        <v>298803603</v>
      </c>
      <c r="AG96" s="224">
        <f t="shared" si="48"/>
        <v>298803603</v>
      </c>
      <c r="AH96" s="226">
        <v>298803603</v>
      </c>
      <c r="AI96" s="226">
        <f t="shared" si="49"/>
        <v>298803603</v>
      </c>
      <c r="AJ96" s="226">
        <f t="shared" si="49"/>
        <v>298803603</v>
      </c>
      <c r="AK96" s="226">
        <f t="shared" si="49"/>
        <v>298803603</v>
      </c>
      <c r="AL96" s="226">
        <f t="shared" si="49"/>
        <v>298803603</v>
      </c>
      <c r="AM96" s="226">
        <f t="shared" si="49"/>
        <v>298803603</v>
      </c>
      <c r="AN96" s="235">
        <v>298803603</v>
      </c>
      <c r="AO96" s="235">
        <f t="shared" si="50"/>
        <v>298803603</v>
      </c>
      <c r="AP96" s="235">
        <f t="shared" si="50"/>
        <v>298803603</v>
      </c>
      <c r="AQ96" s="236">
        <f t="shared" si="50"/>
        <v>298803603</v>
      </c>
      <c r="AR96" s="236">
        <f t="shared" si="50"/>
        <v>298803603</v>
      </c>
      <c r="AS96" s="236">
        <f t="shared" si="50"/>
        <v>298803603</v>
      </c>
      <c r="AT96" s="236">
        <f t="shared" si="50"/>
        <v>298803603</v>
      </c>
      <c r="AU96" s="236">
        <f t="shared" si="50"/>
        <v>298803603</v>
      </c>
      <c r="AV96" s="236">
        <f t="shared" si="50"/>
        <v>298803603</v>
      </c>
      <c r="AW96" s="226">
        <v>298803603</v>
      </c>
      <c r="AX96" s="226">
        <f t="shared" si="51"/>
        <v>298803603</v>
      </c>
      <c r="AY96" s="226">
        <f t="shared" si="51"/>
        <v>298803603</v>
      </c>
      <c r="AZ96" s="226">
        <f t="shared" si="51"/>
        <v>298803603</v>
      </c>
      <c r="BA96" s="226">
        <f t="shared" si="51"/>
        <v>298803603</v>
      </c>
      <c r="BB96" s="226">
        <f t="shared" si="51"/>
        <v>298803603</v>
      </c>
      <c r="BC96" s="224">
        <v>298803603</v>
      </c>
      <c r="BD96" s="224">
        <f t="shared" si="52"/>
        <v>298803603</v>
      </c>
      <c r="BE96" s="224">
        <f t="shared" si="52"/>
        <v>298803603</v>
      </c>
      <c r="BF96" s="224">
        <f t="shared" si="52"/>
        <v>298803603</v>
      </c>
      <c r="BG96" s="224">
        <f t="shared" si="52"/>
        <v>298803603</v>
      </c>
      <c r="BH96" s="224">
        <f t="shared" si="52"/>
        <v>298803603</v>
      </c>
      <c r="BI96" s="224">
        <f t="shared" si="52"/>
        <v>298803603</v>
      </c>
      <c r="BJ96" s="224">
        <f t="shared" si="52"/>
        <v>298803603</v>
      </c>
      <c r="BK96" s="224">
        <f t="shared" si="52"/>
        <v>298803603</v>
      </c>
      <c r="BL96" s="224">
        <f t="shared" si="52"/>
        <v>298803603</v>
      </c>
      <c r="BM96" s="224">
        <f t="shared" si="52"/>
        <v>298803603</v>
      </c>
      <c r="BN96" s="224">
        <f t="shared" si="52"/>
        <v>298803603</v>
      </c>
      <c r="BO96" s="224">
        <f t="shared" si="52"/>
        <v>298803603</v>
      </c>
    </row>
    <row r="97" spans="1:67">
      <c r="A97" s="223" t="s">
        <v>31</v>
      </c>
      <c r="B97" s="230" t="s">
        <v>442</v>
      </c>
      <c r="C97" s="223">
        <v>95</v>
      </c>
      <c r="D97" s="224"/>
      <c r="E97" s="225">
        <f t="shared" si="44"/>
        <v>0</v>
      </c>
      <c r="F97" s="225">
        <f t="shared" si="44"/>
        <v>0</v>
      </c>
      <c r="G97" s="225">
        <f t="shared" si="44"/>
        <v>0</v>
      </c>
      <c r="H97" s="225">
        <f t="shared" si="44"/>
        <v>0</v>
      </c>
      <c r="I97" s="225">
        <f t="shared" si="44"/>
        <v>0</v>
      </c>
      <c r="J97" s="225">
        <f t="shared" si="44"/>
        <v>0</v>
      </c>
      <c r="K97" s="237"/>
      <c r="L97" s="237">
        <f t="shared" si="44"/>
        <v>0</v>
      </c>
      <c r="M97" s="237">
        <f t="shared" si="44"/>
        <v>0</v>
      </c>
      <c r="N97" s="237">
        <f t="shared" si="44"/>
        <v>0</v>
      </c>
      <c r="O97" s="237">
        <f t="shared" si="44"/>
        <v>0</v>
      </c>
      <c r="P97" s="237">
        <f t="shared" si="44"/>
        <v>0</v>
      </c>
      <c r="Q97" s="237">
        <f t="shared" si="44"/>
        <v>0</v>
      </c>
      <c r="R97" s="237">
        <f t="shared" si="44"/>
        <v>0</v>
      </c>
      <c r="S97" s="237">
        <f t="shared" si="44"/>
        <v>0</v>
      </c>
      <c r="T97" s="224"/>
      <c r="U97" s="224">
        <f t="shared" si="45"/>
        <v>0</v>
      </c>
      <c r="V97" s="224">
        <f t="shared" si="45"/>
        <v>0</v>
      </c>
      <c r="W97" s="224">
        <f t="shared" si="45"/>
        <v>0</v>
      </c>
      <c r="X97" s="226"/>
      <c r="Y97" s="226">
        <f t="shared" si="46"/>
        <v>0</v>
      </c>
      <c r="Z97" s="226">
        <f t="shared" si="46"/>
        <v>0</v>
      </c>
      <c r="AA97" s="224"/>
      <c r="AB97" s="224"/>
      <c r="AC97" s="224"/>
      <c r="AD97" s="224">
        <f t="shared" si="47"/>
        <v>0</v>
      </c>
      <c r="AE97" s="224"/>
      <c r="AF97" s="224"/>
      <c r="AG97" s="224">
        <f t="shared" si="48"/>
        <v>0</v>
      </c>
      <c r="AH97" s="226"/>
      <c r="AI97" s="226">
        <f t="shared" si="49"/>
        <v>0</v>
      </c>
      <c r="AJ97" s="226">
        <f t="shared" si="49"/>
        <v>0</v>
      </c>
      <c r="AK97" s="226">
        <f t="shared" si="49"/>
        <v>0</v>
      </c>
      <c r="AL97" s="226">
        <f t="shared" si="49"/>
        <v>0</v>
      </c>
      <c r="AM97" s="226">
        <f t="shared" si="49"/>
        <v>0</v>
      </c>
      <c r="AN97" s="235"/>
      <c r="AO97" s="235">
        <f t="shared" si="50"/>
        <v>0</v>
      </c>
      <c r="AP97" s="235">
        <f t="shared" si="50"/>
        <v>0</v>
      </c>
      <c r="AQ97" s="236">
        <f t="shared" si="50"/>
        <v>0</v>
      </c>
      <c r="AR97" s="236">
        <f t="shared" si="50"/>
        <v>0</v>
      </c>
      <c r="AS97" s="236">
        <f t="shared" si="50"/>
        <v>0</v>
      </c>
      <c r="AT97" s="236">
        <f t="shared" si="50"/>
        <v>0</v>
      </c>
      <c r="AU97" s="236">
        <f t="shared" si="50"/>
        <v>0</v>
      </c>
      <c r="AV97" s="236">
        <f t="shared" si="50"/>
        <v>0</v>
      </c>
      <c r="AW97" s="226"/>
      <c r="AX97" s="226">
        <f t="shared" si="51"/>
        <v>0</v>
      </c>
      <c r="AY97" s="226">
        <f t="shared" si="51"/>
        <v>0</v>
      </c>
      <c r="AZ97" s="226">
        <f t="shared" si="51"/>
        <v>0</v>
      </c>
      <c r="BA97" s="226">
        <f t="shared" si="51"/>
        <v>0</v>
      </c>
      <c r="BB97" s="226">
        <f t="shared" si="51"/>
        <v>0</v>
      </c>
      <c r="BC97" s="224"/>
      <c r="BD97" s="224">
        <f t="shared" si="52"/>
        <v>0</v>
      </c>
      <c r="BE97" s="224">
        <f t="shared" si="52"/>
        <v>0</v>
      </c>
      <c r="BF97" s="224">
        <f t="shared" si="52"/>
        <v>0</v>
      </c>
      <c r="BG97" s="224">
        <f t="shared" si="52"/>
        <v>0</v>
      </c>
      <c r="BH97" s="224">
        <f t="shared" si="52"/>
        <v>0</v>
      </c>
      <c r="BI97" s="224">
        <f t="shared" si="52"/>
        <v>0</v>
      </c>
      <c r="BJ97" s="224">
        <f t="shared" si="52"/>
        <v>0</v>
      </c>
      <c r="BK97" s="224">
        <f t="shared" si="52"/>
        <v>0</v>
      </c>
      <c r="BL97" s="224">
        <f t="shared" si="52"/>
        <v>0</v>
      </c>
      <c r="BM97" s="224">
        <f t="shared" si="52"/>
        <v>0</v>
      </c>
      <c r="BN97" s="224">
        <f t="shared" si="52"/>
        <v>0</v>
      </c>
      <c r="BO97" s="224">
        <f t="shared" si="52"/>
        <v>0</v>
      </c>
    </row>
    <row r="98" spans="1:67" ht="45">
      <c r="A98" s="223">
        <v>1</v>
      </c>
      <c r="B98" s="228" t="s">
        <v>319</v>
      </c>
      <c r="C98" s="223">
        <v>96</v>
      </c>
      <c r="D98" s="224">
        <f>(2523000*1.092+400000*1.092)+(2523000*1.092+400000*1.092)*10%</f>
        <v>3511107.6</v>
      </c>
      <c r="E98" s="225">
        <f t="shared" si="44"/>
        <v>3511107.6</v>
      </c>
      <c r="F98" s="225">
        <f t="shared" si="44"/>
        <v>3511107.6</v>
      </c>
      <c r="G98" s="225">
        <f t="shared" si="44"/>
        <v>3511107.6</v>
      </c>
      <c r="H98" s="225">
        <f t="shared" si="44"/>
        <v>3511107.6</v>
      </c>
      <c r="I98" s="225">
        <f t="shared" si="44"/>
        <v>3511107.6</v>
      </c>
      <c r="J98" s="225">
        <f t="shared" si="44"/>
        <v>3511107.6</v>
      </c>
      <c r="K98" s="237">
        <f t="shared" si="44"/>
        <v>3511107.6</v>
      </c>
      <c r="L98" s="237">
        <f t="shared" si="44"/>
        <v>3511107.6</v>
      </c>
      <c r="M98" s="237">
        <f t="shared" si="44"/>
        <v>3511107.6</v>
      </c>
      <c r="N98" s="237">
        <f t="shared" si="44"/>
        <v>3511107.6</v>
      </c>
      <c r="O98" s="237">
        <f t="shared" si="44"/>
        <v>3511107.6</v>
      </c>
      <c r="P98" s="237">
        <f t="shared" si="44"/>
        <v>3511107.6</v>
      </c>
      <c r="Q98" s="237">
        <f t="shared" si="44"/>
        <v>3511107.6</v>
      </c>
      <c r="R98" s="237">
        <f t="shared" si="44"/>
        <v>3511107.6</v>
      </c>
      <c r="S98" s="237">
        <f t="shared" si="44"/>
        <v>3511107.6</v>
      </c>
      <c r="T98" s="224">
        <f>(2523000*1.092+400000*1.092)+(2523000*1.092+400000*1.092)*10%</f>
        <v>3511107.6</v>
      </c>
      <c r="U98" s="224">
        <f t="shared" si="45"/>
        <v>3511107.6</v>
      </c>
      <c r="V98" s="224">
        <f t="shared" si="45"/>
        <v>3511107.6</v>
      </c>
      <c r="W98" s="224">
        <f t="shared" si="45"/>
        <v>3511107.6</v>
      </c>
      <c r="X98" s="226">
        <f>(2523000*1.092+400000*1.092)+(2523000*1.092+400000*1.092)*10%</f>
        <v>3511107.6</v>
      </c>
      <c r="Y98" s="226">
        <f t="shared" si="46"/>
        <v>3511107.6</v>
      </c>
      <c r="Z98" s="226">
        <f t="shared" si="46"/>
        <v>3511107.6</v>
      </c>
      <c r="AA98" s="224">
        <f>(2523000*1.092+400000*1.092)+(2523000*1.092+400000*1.092)*10%</f>
        <v>3511107.6</v>
      </c>
      <c r="AB98" s="224">
        <f>(2523000*1.092+400000*1.092)+(2523000*1.092+400000*1.092)*10%</f>
        <v>3511107.6</v>
      </c>
      <c r="AC98" s="224">
        <f>(2523000*1.092+400000*1.092)+(2523000*1.092+400000*1.092)*10%</f>
        <v>3511107.6</v>
      </c>
      <c r="AD98" s="224">
        <f t="shared" si="47"/>
        <v>3511107.6</v>
      </c>
      <c r="AE98" s="224">
        <f>(2523000*1.092+400000*1.092)+(2523000*1.092+400000*1.092)*10%</f>
        <v>3511107.6</v>
      </c>
      <c r="AF98" s="224">
        <f>(2523000*1.092+400000*1.092)+(2523000*1.092+400000*1.092)*10%</f>
        <v>3511107.6</v>
      </c>
      <c r="AG98" s="224">
        <f t="shared" si="48"/>
        <v>3511107.6</v>
      </c>
      <c r="AH98" s="226">
        <f>(2523000*1.092+400000*1.092)+(2523000*1.092+400000*1.092)*10%</f>
        <v>3511107.6</v>
      </c>
      <c r="AI98" s="226">
        <f t="shared" si="49"/>
        <v>3511107.6</v>
      </c>
      <c r="AJ98" s="226">
        <f t="shared" si="49"/>
        <v>3511107.6</v>
      </c>
      <c r="AK98" s="226">
        <f t="shared" si="49"/>
        <v>3511107.6</v>
      </c>
      <c r="AL98" s="226">
        <f t="shared" si="49"/>
        <v>3511107.6</v>
      </c>
      <c r="AM98" s="226">
        <f t="shared" si="49"/>
        <v>3511107.6</v>
      </c>
      <c r="AN98" s="235">
        <f>(2523000*1.092+400000*1.092)+(2523000*1.092+400000*1.092)*10%</f>
        <v>3511107.6</v>
      </c>
      <c r="AO98" s="235">
        <f t="shared" si="50"/>
        <v>3511107.6</v>
      </c>
      <c r="AP98" s="235">
        <f t="shared" si="50"/>
        <v>3511107.6</v>
      </c>
      <c r="AQ98" s="236">
        <f t="shared" si="50"/>
        <v>3511107.6</v>
      </c>
      <c r="AR98" s="236">
        <f t="shared" si="50"/>
        <v>3511107.6</v>
      </c>
      <c r="AS98" s="236">
        <f t="shared" si="50"/>
        <v>3511107.6</v>
      </c>
      <c r="AT98" s="236">
        <f t="shared" si="50"/>
        <v>3511107.6</v>
      </c>
      <c r="AU98" s="236">
        <f t="shared" si="50"/>
        <v>3511107.6</v>
      </c>
      <c r="AV98" s="236">
        <f t="shared" si="50"/>
        <v>3511107.6</v>
      </c>
      <c r="AW98" s="226">
        <f>(2523000*1.092+400000*1.092)+(2523000*1.092+400000*1.092)*10%</f>
        <v>3511107.6</v>
      </c>
      <c r="AX98" s="226">
        <f t="shared" si="51"/>
        <v>3511107.6</v>
      </c>
      <c r="AY98" s="226">
        <f t="shared" si="51"/>
        <v>3511107.6</v>
      </c>
      <c r="AZ98" s="226">
        <f t="shared" si="51"/>
        <v>3511107.6</v>
      </c>
      <c r="BA98" s="226">
        <f t="shared" si="51"/>
        <v>3511107.6</v>
      </c>
      <c r="BB98" s="226">
        <f t="shared" si="51"/>
        <v>3511107.6</v>
      </c>
      <c r="BC98" s="224">
        <f>(2523000*1.092+400000*1.092)+(2523000*1.092+400000*1.092)*10%</f>
        <v>3511107.6</v>
      </c>
      <c r="BD98" s="224">
        <f t="shared" si="52"/>
        <v>3511107.6</v>
      </c>
      <c r="BE98" s="224">
        <f t="shared" si="52"/>
        <v>3511107.6</v>
      </c>
      <c r="BF98" s="224">
        <f t="shared" si="52"/>
        <v>3511107.6</v>
      </c>
      <c r="BG98" s="224">
        <f t="shared" si="52"/>
        <v>3511107.6</v>
      </c>
      <c r="BH98" s="224">
        <f t="shared" si="52"/>
        <v>3511107.6</v>
      </c>
      <c r="BI98" s="224">
        <f t="shared" si="52"/>
        <v>3511107.6</v>
      </c>
      <c r="BJ98" s="224">
        <f t="shared" si="52"/>
        <v>3511107.6</v>
      </c>
      <c r="BK98" s="224">
        <f t="shared" si="52"/>
        <v>3511107.6</v>
      </c>
      <c r="BL98" s="224">
        <f t="shared" si="52"/>
        <v>3511107.6</v>
      </c>
      <c r="BM98" s="224">
        <f t="shared" si="52"/>
        <v>3511107.6</v>
      </c>
      <c r="BN98" s="224">
        <f t="shared" si="52"/>
        <v>3511107.6</v>
      </c>
      <c r="BO98" s="224">
        <f t="shared" si="52"/>
        <v>3511107.6</v>
      </c>
    </row>
    <row r="99" spans="1:67" ht="45">
      <c r="A99" s="223">
        <f>A98+1</f>
        <v>2</v>
      </c>
      <c r="B99" s="228" t="s">
        <v>320</v>
      </c>
      <c r="C99" s="223">
        <v>97</v>
      </c>
      <c r="D99" s="224">
        <f>(3396000*1.092+400000*1.092)+(3396000*1.092+400000*1.092)*10%</f>
        <v>4559755.2</v>
      </c>
      <c r="E99" s="225">
        <f t="shared" si="44"/>
        <v>4559755.2</v>
      </c>
      <c r="F99" s="225">
        <f t="shared" si="44"/>
        <v>4559755.2</v>
      </c>
      <c r="G99" s="225">
        <f t="shared" si="44"/>
        <v>4559755.2</v>
      </c>
      <c r="H99" s="225">
        <f t="shared" si="44"/>
        <v>4559755.2</v>
      </c>
      <c r="I99" s="225">
        <f t="shared" si="44"/>
        <v>4559755.2</v>
      </c>
      <c r="J99" s="225">
        <f t="shared" si="44"/>
        <v>4559755.2</v>
      </c>
      <c r="K99" s="237">
        <f t="shared" si="44"/>
        <v>4559755.2</v>
      </c>
      <c r="L99" s="237">
        <f t="shared" si="44"/>
        <v>4559755.2</v>
      </c>
      <c r="M99" s="237">
        <f t="shared" si="44"/>
        <v>4559755.2</v>
      </c>
      <c r="N99" s="237">
        <f t="shared" si="44"/>
        <v>4559755.2</v>
      </c>
      <c r="O99" s="237">
        <f t="shared" si="44"/>
        <v>4559755.2</v>
      </c>
      <c r="P99" s="237">
        <f t="shared" si="44"/>
        <v>4559755.2</v>
      </c>
      <c r="Q99" s="237">
        <f t="shared" si="44"/>
        <v>4559755.2</v>
      </c>
      <c r="R99" s="237">
        <f t="shared" si="44"/>
        <v>4559755.2</v>
      </c>
      <c r="S99" s="237">
        <f t="shared" si="44"/>
        <v>4559755.2</v>
      </c>
      <c r="T99" s="224">
        <f>(3396000*1.092+400000*1.092)+(3396000*1.092+400000*1.092)*10%</f>
        <v>4559755.2</v>
      </c>
      <c r="U99" s="224">
        <f t="shared" si="45"/>
        <v>4559755.2</v>
      </c>
      <c r="V99" s="224">
        <f t="shared" si="45"/>
        <v>4559755.2</v>
      </c>
      <c r="W99" s="224">
        <f t="shared" si="45"/>
        <v>4559755.2</v>
      </c>
      <c r="X99" s="226">
        <f>(3396000*1.092+400000*1.092)+(3396000*1.092+400000*1.092)*10%</f>
        <v>4559755.2</v>
      </c>
      <c r="Y99" s="226">
        <f t="shared" si="46"/>
        <v>4559755.2</v>
      </c>
      <c r="Z99" s="226">
        <f t="shared" si="46"/>
        <v>4559755.2</v>
      </c>
      <c r="AA99" s="224">
        <f>(3396000*1.092+400000*1.092)+(3396000*1.092+400000*1.092)*10%</f>
        <v>4559755.2</v>
      </c>
      <c r="AB99" s="224">
        <f>(3396000*1.092+400000*1.092)+(3396000*1.092+400000*1.092)*10%</f>
        <v>4559755.2</v>
      </c>
      <c r="AC99" s="224">
        <f>(3396000*1.092+400000*1.092)+(3396000*1.092+400000*1.092)*10%</f>
        <v>4559755.2</v>
      </c>
      <c r="AD99" s="224">
        <f t="shared" si="47"/>
        <v>4559755.2</v>
      </c>
      <c r="AE99" s="224">
        <f>(3396000*1.092+400000*1.092)+(3396000*1.092+400000*1.092)*10%</f>
        <v>4559755.2</v>
      </c>
      <c r="AF99" s="224">
        <f>(3396000*1.092+400000*1.092)+(3396000*1.092+400000*1.092)*10%</f>
        <v>4559755.2</v>
      </c>
      <c r="AG99" s="224">
        <f t="shared" si="48"/>
        <v>4559755.2</v>
      </c>
      <c r="AH99" s="226">
        <f>(3396000*1.092+400000*1.092)+(3396000*1.092+400000*1.092)*10%</f>
        <v>4559755.2</v>
      </c>
      <c r="AI99" s="226">
        <f t="shared" si="49"/>
        <v>4559755.2</v>
      </c>
      <c r="AJ99" s="226">
        <f t="shared" si="49"/>
        <v>4559755.2</v>
      </c>
      <c r="AK99" s="226">
        <f t="shared" si="49"/>
        <v>4559755.2</v>
      </c>
      <c r="AL99" s="226">
        <f t="shared" si="49"/>
        <v>4559755.2</v>
      </c>
      <c r="AM99" s="226">
        <f t="shared" si="49"/>
        <v>4559755.2</v>
      </c>
      <c r="AN99" s="235">
        <f>(3396000*1.092+400000*1.092)+(3396000*1.092+400000*1.092)*10%</f>
        <v>4559755.2</v>
      </c>
      <c r="AO99" s="235">
        <f t="shared" si="50"/>
        <v>4559755.2</v>
      </c>
      <c r="AP99" s="235">
        <f t="shared" si="50"/>
        <v>4559755.2</v>
      </c>
      <c r="AQ99" s="236">
        <f t="shared" si="50"/>
        <v>4559755.2</v>
      </c>
      <c r="AR99" s="236">
        <f t="shared" si="50"/>
        <v>4559755.2</v>
      </c>
      <c r="AS99" s="236">
        <f t="shared" si="50"/>
        <v>4559755.2</v>
      </c>
      <c r="AT99" s="236">
        <f t="shared" si="50"/>
        <v>4559755.2</v>
      </c>
      <c r="AU99" s="236">
        <f t="shared" si="50"/>
        <v>4559755.2</v>
      </c>
      <c r="AV99" s="236">
        <f t="shared" si="50"/>
        <v>4559755.2</v>
      </c>
      <c r="AW99" s="226">
        <f>(3396000*1.092+400000*1.092)+(3396000*1.092+400000*1.092)*10%</f>
        <v>4559755.2</v>
      </c>
      <c r="AX99" s="226">
        <f t="shared" si="51"/>
        <v>4559755.2</v>
      </c>
      <c r="AY99" s="226">
        <f t="shared" si="51"/>
        <v>4559755.2</v>
      </c>
      <c r="AZ99" s="226">
        <f t="shared" si="51"/>
        <v>4559755.2</v>
      </c>
      <c r="BA99" s="226">
        <f t="shared" si="51"/>
        <v>4559755.2</v>
      </c>
      <c r="BB99" s="226">
        <f t="shared" si="51"/>
        <v>4559755.2</v>
      </c>
      <c r="BC99" s="224">
        <f>(3396000*1.092+400000*1.092)+(3396000*1.092+400000*1.092)*10%</f>
        <v>4559755.2</v>
      </c>
      <c r="BD99" s="224">
        <f t="shared" si="52"/>
        <v>4559755.2</v>
      </c>
      <c r="BE99" s="224">
        <f t="shared" si="52"/>
        <v>4559755.2</v>
      </c>
      <c r="BF99" s="224">
        <f t="shared" si="52"/>
        <v>4559755.2</v>
      </c>
      <c r="BG99" s="224">
        <f t="shared" si="52"/>
        <v>4559755.2</v>
      </c>
      <c r="BH99" s="224">
        <f t="shared" si="52"/>
        <v>4559755.2</v>
      </c>
      <c r="BI99" s="224">
        <f t="shared" si="52"/>
        <v>4559755.2</v>
      </c>
      <c r="BJ99" s="224">
        <f t="shared" si="52"/>
        <v>4559755.2</v>
      </c>
      <c r="BK99" s="224">
        <f t="shared" si="52"/>
        <v>4559755.2</v>
      </c>
      <c r="BL99" s="224">
        <f t="shared" si="52"/>
        <v>4559755.2</v>
      </c>
      <c r="BM99" s="224">
        <f t="shared" si="52"/>
        <v>4559755.2</v>
      </c>
      <c r="BN99" s="224">
        <f t="shared" si="52"/>
        <v>4559755.2</v>
      </c>
      <c r="BO99" s="224">
        <f t="shared" si="52"/>
        <v>4559755.2</v>
      </c>
    </row>
    <row r="100" spans="1:67" ht="45">
      <c r="A100" s="223">
        <f t="shared" ref="A100:A105" si="56">A99+1</f>
        <v>3</v>
      </c>
      <c r="B100" s="228" t="s">
        <v>321</v>
      </c>
      <c r="C100" s="223">
        <v>98</v>
      </c>
      <c r="D100" s="224">
        <f>(4909000*1.092+400000*1.092)+(4909000*1.092+400000*1.092)*10%</f>
        <v>6377170.7999999998</v>
      </c>
      <c r="E100" s="225">
        <f t="shared" si="44"/>
        <v>6377170.7999999998</v>
      </c>
      <c r="F100" s="225">
        <f t="shared" si="44"/>
        <v>6377170.7999999998</v>
      </c>
      <c r="G100" s="225">
        <f t="shared" si="44"/>
        <v>6377170.7999999998</v>
      </c>
      <c r="H100" s="225">
        <f t="shared" si="44"/>
        <v>6377170.7999999998</v>
      </c>
      <c r="I100" s="225">
        <f t="shared" si="44"/>
        <v>6377170.7999999998</v>
      </c>
      <c r="J100" s="225">
        <f t="shared" si="44"/>
        <v>6377170.7999999998</v>
      </c>
      <c r="K100" s="237">
        <f t="shared" si="44"/>
        <v>6377170.7999999998</v>
      </c>
      <c r="L100" s="237">
        <f t="shared" si="44"/>
        <v>6377170.7999999998</v>
      </c>
      <c r="M100" s="237">
        <f t="shared" si="44"/>
        <v>6377170.7999999998</v>
      </c>
      <c r="N100" s="237">
        <f t="shared" si="44"/>
        <v>6377170.7999999998</v>
      </c>
      <c r="O100" s="237">
        <f t="shared" si="44"/>
        <v>6377170.7999999998</v>
      </c>
      <c r="P100" s="237">
        <f t="shared" si="44"/>
        <v>6377170.7999999998</v>
      </c>
      <c r="Q100" s="237">
        <f t="shared" si="44"/>
        <v>6377170.7999999998</v>
      </c>
      <c r="R100" s="237">
        <f t="shared" si="44"/>
        <v>6377170.7999999998</v>
      </c>
      <c r="S100" s="237">
        <f t="shared" si="44"/>
        <v>6377170.7999999998</v>
      </c>
      <c r="T100" s="224">
        <f>(4909000*1.092+400000*1.092)+(4909000*1.092+400000*1.092)*10%</f>
        <v>6377170.7999999998</v>
      </c>
      <c r="U100" s="224">
        <f t="shared" si="45"/>
        <v>6377170.7999999998</v>
      </c>
      <c r="V100" s="224">
        <f t="shared" si="45"/>
        <v>6377170.7999999998</v>
      </c>
      <c r="W100" s="224">
        <f t="shared" si="45"/>
        <v>6377170.7999999998</v>
      </c>
      <c r="X100" s="226">
        <f>(4909000*1.092+400000*1.092)+(4909000*1.092+400000*1.092)*10%</f>
        <v>6377170.7999999998</v>
      </c>
      <c r="Y100" s="226">
        <f t="shared" si="46"/>
        <v>6377170.7999999998</v>
      </c>
      <c r="Z100" s="226">
        <f t="shared" si="46"/>
        <v>6377170.7999999998</v>
      </c>
      <c r="AA100" s="224">
        <f>(4909000*1.092+400000*1.092)+(4909000*1.092+400000*1.092)*10%</f>
        <v>6377170.7999999998</v>
      </c>
      <c r="AB100" s="224">
        <f>(4909000*1.092+400000*1.092)+(4909000*1.092+400000*1.092)*10%</f>
        <v>6377170.7999999998</v>
      </c>
      <c r="AC100" s="224">
        <f>(4909000*1.092+400000*1.092)+(4909000*1.092+400000*1.092)*10%</f>
        <v>6377170.7999999998</v>
      </c>
      <c r="AD100" s="224">
        <f t="shared" si="47"/>
        <v>6377170.7999999998</v>
      </c>
      <c r="AE100" s="224">
        <f>(4909000*1.092+400000*1.092)+(4909000*1.092+400000*1.092)*10%</f>
        <v>6377170.7999999998</v>
      </c>
      <c r="AF100" s="224">
        <f>(4909000*1.092+400000*1.092)+(4909000*1.092+400000*1.092)*10%</f>
        <v>6377170.7999999998</v>
      </c>
      <c r="AG100" s="224">
        <f t="shared" si="48"/>
        <v>6377170.7999999998</v>
      </c>
      <c r="AH100" s="226">
        <f>(4909000*1.092+400000*1.092)+(4909000*1.092+400000*1.092)*10%</f>
        <v>6377170.7999999998</v>
      </c>
      <c r="AI100" s="226">
        <f t="shared" si="49"/>
        <v>6377170.7999999998</v>
      </c>
      <c r="AJ100" s="226">
        <f t="shared" si="49"/>
        <v>6377170.7999999998</v>
      </c>
      <c r="AK100" s="226">
        <f t="shared" si="49"/>
        <v>6377170.7999999998</v>
      </c>
      <c r="AL100" s="226">
        <f t="shared" si="49"/>
        <v>6377170.7999999998</v>
      </c>
      <c r="AM100" s="226">
        <f t="shared" si="49"/>
        <v>6377170.7999999998</v>
      </c>
      <c r="AN100" s="235">
        <f>(4909000*1.092+400000*1.092)+(4909000*1.092+400000*1.092)*10%</f>
        <v>6377170.7999999998</v>
      </c>
      <c r="AO100" s="235">
        <f t="shared" si="50"/>
        <v>6377170.7999999998</v>
      </c>
      <c r="AP100" s="235">
        <f t="shared" si="50"/>
        <v>6377170.7999999998</v>
      </c>
      <c r="AQ100" s="236">
        <f t="shared" si="50"/>
        <v>6377170.7999999998</v>
      </c>
      <c r="AR100" s="236">
        <f t="shared" si="50"/>
        <v>6377170.7999999998</v>
      </c>
      <c r="AS100" s="236">
        <f t="shared" si="50"/>
        <v>6377170.7999999998</v>
      </c>
      <c r="AT100" s="236">
        <f t="shared" si="50"/>
        <v>6377170.7999999998</v>
      </c>
      <c r="AU100" s="236">
        <f t="shared" si="50"/>
        <v>6377170.7999999998</v>
      </c>
      <c r="AV100" s="236">
        <f t="shared" si="50"/>
        <v>6377170.7999999998</v>
      </c>
      <c r="AW100" s="226">
        <f>(4909000*1.092+400000*1.092)+(4909000*1.092+400000*1.092)*10%</f>
        <v>6377170.7999999998</v>
      </c>
      <c r="AX100" s="226">
        <f t="shared" si="51"/>
        <v>6377170.7999999998</v>
      </c>
      <c r="AY100" s="226">
        <f t="shared" si="51"/>
        <v>6377170.7999999998</v>
      </c>
      <c r="AZ100" s="226">
        <f t="shared" si="51"/>
        <v>6377170.7999999998</v>
      </c>
      <c r="BA100" s="226">
        <f t="shared" si="51"/>
        <v>6377170.7999999998</v>
      </c>
      <c r="BB100" s="226">
        <f t="shared" si="51"/>
        <v>6377170.7999999998</v>
      </c>
      <c r="BC100" s="224">
        <f>(4909000*1.092+400000*1.092)+(4909000*1.092+400000*1.092)*10%</f>
        <v>6377170.7999999998</v>
      </c>
      <c r="BD100" s="224">
        <f t="shared" si="52"/>
        <v>6377170.7999999998</v>
      </c>
      <c r="BE100" s="224">
        <f t="shared" si="52"/>
        <v>6377170.7999999998</v>
      </c>
      <c r="BF100" s="224">
        <f t="shared" si="52"/>
        <v>6377170.7999999998</v>
      </c>
      <c r="BG100" s="224">
        <f t="shared" si="52"/>
        <v>6377170.7999999998</v>
      </c>
      <c r="BH100" s="224">
        <f t="shared" si="52"/>
        <v>6377170.7999999998</v>
      </c>
      <c r="BI100" s="224">
        <f t="shared" si="52"/>
        <v>6377170.7999999998</v>
      </c>
      <c r="BJ100" s="224">
        <f t="shared" si="52"/>
        <v>6377170.7999999998</v>
      </c>
      <c r="BK100" s="224">
        <f t="shared" si="52"/>
        <v>6377170.7999999998</v>
      </c>
      <c r="BL100" s="224">
        <f t="shared" si="52"/>
        <v>6377170.7999999998</v>
      </c>
      <c r="BM100" s="224">
        <f t="shared" si="52"/>
        <v>6377170.7999999998</v>
      </c>
      <c r="BN100" s="224">
        <f t="shared" si="52"/>
        <v>6377170.7999999998</v>
      </c>
      <c r="BO100" s="224">
        <f t="shared" si="52"/>
        <v>6377170.7999999998</v>
      </c>
    </row>
    <row r="101" spans="1:67" ht="45">
      <c r="A101" s="223">
        <f t="shared" si="56"/>
        <v>4</v>
      </c>
      <c r="B101" s="228" t="s">
        <v>322</v>
      </c>
      <c r="C101" s="223">
        <v>99</v>
      </c>
      <c r="D101" s="224">
        <f>(6203000*1.092+400000*1.092)+(6203000*1.092+400000*1.092)*10%</f>
        <v>7931523.6000000015</v>
      </c>
      <c r="E101" s="225">
        <f t="shared" ref="E101:S101" si="57">D101</f>
        <v>7931523.6000000015</v>
      </c>
      <c r="F101" s="225">
        <f t="shared" si="57"/>
        <v>7931523.6000000015</v>
      </c>
      <c r="G101" s="225">
        <f t="shared" si="57"/>
        <v>7931523.6000000015</v>
      </c>
      <c r="H101" s="225">
        <f t="shared" si="57"/>
        <v>7931523.6000000015</v>
      </c>
      <c r="I101" s="225">
        <f t="shared" si="57"/>
        <v>7931523.6000000015</v>
      </c>
      <c r="J101" s="225">
        <f t="shared" si="57"/>
        <v>7931523.6000000015</v>
      </c>
      <c r="K101" s="237">
        <f t="shared" si="57"/>
        <v>7931523.6000000015</v>
      </c>
      <c r="L101" s="237">
        <f t="shared" si="57"/>
        <v>7931523.6000000015</v>
      </c>
      <c r="M101" s="237">
        <f t="shared" si="57"/>
        <v>7931523.6000000015</v>
      </c>
      <c r="N101" s="237">
        <f t="shared" si="57"/>
        <v>7931523.6000000015</v>
      </c>
      <c r="O101" s="237">
        <f t="shared" si="57"/>
        <v>7931523.6000000015</v>
      </c>
      <c r="P101" s="237">
        <f t="shared" si="57"/>
        <v>7931523.6000000015</v>
      </c>
      <c r="Q101" s="237">
        <f t="shared" si="57"/>
        <v>7931523.6000000015</v>
      </c>
      <c r="R101" s="237">
        <f t="shared" si="57"/>
        <v>7931523.6000000015</v>
      </c>
      <c r="S101" s="237">
        <f t="shared" si="57"/>
        <v>7931523.6000000015</v>
      </c>
      <c r="T101" s="224">
        <f>(6203000*1.092+400000*1.092)+(6203000*1.092+400000*1.092)*10%</f>
        <v>7931523.6000000015</v>
      </c>
      <c r="U101" s="224">
        <f t="shared" si="45"/>
        <v>7931523.6000000015</v>
      </c>
      <c r="V101" s="224">
        <f t="shared" si="45"/>
        <v>7931523.6000000015</v>
      </c>
      <c r="W101" s="224">
        <f t="shared" si="45"/>
        <v>7931523.6000000015</v>
      </c>
      <c r="X101" s="226">
        <f>(6203000*1.092+400000*1.092)+(6203000*1.092+400000*1.092)*10%</f>
        <v>7931523.6000000015</v>
      </c>
      <c r="Y101" s="226">
        <f t="shared" si="46"/>
        <v>7931523.6000000015</v>
      </c>
      <c r="Z101" s="226">
        <f t="shared" si="46"/>
        <v>7931523.6000000015</v>
      </c>
      <c r="AA101" s="224">
        <f>(6203000*1.092+400000*1.092)+(6203000*1.092+400000*1.092)*10%</f>
        <v>7931523.6000000015</v>
      </c>
      <c r="AB101" s="224">
        <f>(6203000*1.092+400000*1.092)+(6203000*1.092+400000*1.092)*10%</f>
        <v>7931523.6000000015</v>
      </c>
      <c r="AC101" s="224">
        <f>(6203000*1.092+400000*1.092)+(6203000*1.092+400000*1.092)*10%</f>
        <v>7931523.6000000015</v>
      </c>
      <c r="AD101" s="224">
        <f t="shared" si="47"/>
        <v>7931523.6000000015</v>
      </c>
      <c r="AE101" s="224">
        <f>(6203000*1.092+400000*1.092)+(6203000*1.092+400000*1.092)*10%</f>
        <v>7931523.6000000015</v>
      </c>
      <c r="AF101" s="224">
        <f>(6203000*1.092+400000*1.092)+(6203000*1.092+400000*1.092)*10%</f>
        <v>7931523.6000000015</v>
      </c>
      <c r="AG101" s="224">
        <f t="shared" si="48"/>
        <v>7931523.6000000015</v>
      </c>
      <c r="AH101" s="226">
        <f>(6203000*1.092+400000*1.092)+(6203000*1.092+400000*1.092)*10%</f>
        <v>7931523.6000000015</v>
      </c>
      <c r="AI101" s="226">
        <f t="shared" si="49"/>
        <v>7931523.6000000015</v>
      </c>
      <c r="AJ101" s="226">
        <f t="shared" si="49"/>
        <v>7931523.6000000015</v>
      </c>
      <c r="AK101" s="226">
        <f t="shared" si="49"/>
        <v>7931523.6000000015</v>
      </c>
      <c r="AL101" s="226">
        <f t="shared" si="49"/>
        <v>7931523.6000000015</v>
      </c>
      <c r="AM101" s="226">
        <f t="shared" si="49"/>
        <v>7931523.6000000015</v>
      </c>
      <c r="AN101" s="235">
        <f>(6203000*1.092+400000*1.092)+(6203000*1.092+400000*1.092)*10%</f>
        <v>7931523.6000000015</v>
      </c>
      <c r="AO101" s="235">
        <f t="shared" si="50"/>
        <v>7931523.6000000015</v>
      </c>
      <c r="AP101" s="235">
        <f t="shared" si="50"/>
        <v>7931523.6000000015</v>
      </c>
      <c r="AQ101" s="236">
        <f t="shared" si="50"/>
        <v>7931523.6000000015</v>
      </c>
      <c r="AR101" s="236">
        <f t="shared" si="50"/>
        <v>7931523.6000000015</v>
      </c>
      <c r="AS101" s="236">
        <f t="shared" si="50"/>
        <v>7931523.6000000015</v>
      </c>
      <c r="AT101" s="236">
        <f t="shared" si="50"/>
        <v>7931523.6000000015</v>
      </c>
      <c r="AU101" s="236">
        <f t="shared" si="50"/>
        <v>7931523.6000000015</v>
      </c>
      <c r="AV101" s="236">
        <f t="shared" si="50"/>
        <v>7931523.6000000015</v>
      </c>
      <c r="AW101" s="226">
        <f>(6203000*1.092+400000*1.092)+(6203000*1.092+400000*1.092)*10%</f>
        <v>7931523.6000000015</v>
      </c>
      <c r="AX101" s="226">
        <f t="shared" si="51"/>
        <v>7931523.6000000015</v>
      </c>
      <c r="AY101" s="226">
        <f t="shared" si="51"/>
        <v>7931523.6000000015</v>
      </c>
      <c r="AZ101" s="226">
        <f t="shared" si="51"/>
        <v>7931523.6000000015</v>
      </c>
      <c r="BA101" s="226">
        <f t="shared" si="51"/>
        <v>7931523.6000000015</v>
      </c>
      <c r="BB101" s="226">
        <f t="shared" si="51"/>
        <v>7931523.6000000015</v>
      </c>
      <c r="BC101" s="224">
        <f>(6203000*1.092+400000*1.092)+(6203000*1.092+400000*1.092)*10%</f>
        <v>7931523.6000000015</v>
      </c>
      <c r="BD101" s="224">
        <f t="shared" si="52"/>
        <v>7931523.6000000015</v>
      </c>
      <c r="BE101" s="224">
        <f t="shared" si="52"/>
        <v>7931523.6000000015</v>
      </c>
      <c r="BF101" s="224">
        <f t="shared" si="52"/>
        <v>7931523.6000000015</v>
      </c>
      <c r="BG101" s="224">
        <f t="shared" si="52"/>
        <v>7931523.6000000015</v>
      </c>
      <c r="BH101" s="224">
        <f t="shared" si="52"/>
        <v>7931523.6000000015</v>
      </c>
      <c r="BI101" s="224">
        <f t="shared" si="52"/>
        <v>7931523.6000000015</v>
      </c>
      <c r="BJ101" s="224">
        <f t="shared" si="52"/>
        <v>7931523.6000000015</v>
      </c>
      <c r="BK101" s="224">
        <f t="shared" si="52"/>
        <v>7931523.6000000015</v>
      </c>
      <c r="BL101" s="224">
        <f t="shared" si="52"/>
        <v>7931523.6000000015</v>
      </c>
      <c r="BM101" s="224">
        <f t="shared" si="52"/>
        <v>7931523.6000000015</v>
      </c>
      <c r="BN101" s="224">
        <f t="shared" si="52"/>
        <v>7931523.6000000015</v>
      </c>
      <c r="BO101" s="224">
        <f t="shared" si="52"/>
        <v>7931523.6000000015</v>
      </c>
    </row>
    <row r="102" spans="1:67" ht="45">
      <c r="A102" s="223">
        <f t="shared" si="56"/>
        <v>5</v>
      </c>
      <c r="B102" s="228" t="s">
        <v>323</v>
      </c>
      <c r="C102" s="223">
        <v>100</v>
      </c>
      <c r="D102" s="224">
        <f>(11324000*1.092+1300000*1.092)+(11324000*1.092+1300000*1.092)*10%</f>
        <v>15163948.800000001</v>
      </c>
      <c r="E102" s="225">
        <f t="shared" ref="E102:S102" si="58">D102</f>
        <v>15163948.800000001</v>
      </c>
      <c r="F102" s="225">
        <f t="shared" si="58"/>
        <v>15163948.800000001</v>
      </c>
      <c r="G102" s="225">
        <f t="shared" si="58"/>
        <v>15163948.800000001</v>
      </c>
      <c r="H102" s="225">
        <f t="shared" si="58"/>
        <v>15163948.800000001</v>
      </c>
      <c r="I102" s="225">
        <f t="shared" si="58"/>
        <v>15163948.800000001</v>
      </c>
      <c r="J102" s="225">
        <f t="shared" si="58"/>
        <v>15163948.800000001</v>
      </c>
      <c r="K102" s="237">
        <f t="shared" si="58"/>
        <v>15163948.800000001</v>
      </c>
      <c r="L102" s="237">
        <f t="shared" si="58"/>
        <v>15163948.800000001</v>
      </c>
      <c r="M102" s="237">
        <f t="shared" si="58"/>
        <v>15163948.800000001</v>
      </c>
      <c r="N102" s="237">
        <f t="shared" si="58"/>
        <v>15163948.800000001</v>
      </c>
      <c r="O102" s="237">
        <f t="shared" si="58"/>
        <v>15163948.800000001</v>
      </c>
      <c r="P102" s="237">
        <f t="shared" si="58"/>
        <v>15163948.800000001</v>
      </c>
      <c r="Q102" s="237">
        <f t="shared" si="58"/>
        <v>15163948.800000001</v>
      </c>
      <c r="R102" s="237">
        <f t="shared" si="58"/>
        <v>15163948.800000001</v>
      </c>
      <c r="S102" s="237">
        <f t="shared" si="58"/>
        <v>15163948.800000001</v>
      </c>
      <c r="T102" s="224">
        <f>(11324000*1.092+1300000*1.092)+(11324000*1.092+1300000*1.092)*10%</f>
        <v>15163948.800000001</v>
      </c>
      <c r="U102" s="224">
        <f t="shared" si="45"/>
        <v>15163948.800000001</v>
      </c>
      <c r="V102" s="224">
        <f t="shared" si="45"/>
        <v>15163948.800000001</v>
      </c>
      <c r="W102" s="224">
        <f t="shared" si="45"/>
        <v>15163948.800000001</v>
      </c>
      <c r="X102" s="226">
        <f>(11324000*1.092+1300000*1.092)+(11324000*1.092+1300000*1.092)*10%</f>
        <v>15163948.800000001</v>
      </c>
      <c r="Y102" s="226">
        <f t="shared" si="46"/>
        <v>15163948.800000001</v>
      </c>
      <c r="Z102" s="226">
        <f t="shared" si="46"/>
        <v>15163948.800000001</v>
      </c>
      <c r="AA102" s="224">
        <f>(11324000*1.092+1300000*1.092)+(11324000*1.092+1300000*1.092)*10%</f>
        <v>15163948.800000001</v>
      </c>
      <c r="AB102" s="224">
        <f>(11324000*1.092+1300000*1.092)+(11324000*1.092+1300000*1.092)*10%</f>
        <v>15163948.800000001</v>
      </c>
      <c r="AC102" s="224">
        <f>(11324000*1.092+1300000*1.092)+(11324000*1.092+1300000*1.092)*10%</f>
        <v>15163948.800000001</v>
      </c>
      <c r="AD102" s="224">
        <f t="shared" si="47"/>
        <v>15163948.800000001</v>
      </c>
      <c r="AE102" s="224">
        <f>(11324000*1.092+1300000*1.092)+(11324000*1.092+1300000*1.092)*10%</f>
        <v>15163948.800000001</v>
      </c>
      <c r="AF102" s="224">
        <f>(11324000*1.092+1300000*1.092)+(11324000*1.092+1300000*1.092)*10%</f>
        <v>15163948.800000001</v>
      </c>
      <c r="AG102" s="224">
        <f t="shared" si="48"/>
        <v>15163948.800000001</v>
      </c>
      <c r="AH102" s="226">
        <f>(11324000*1.092+1300000*1.092)+(11324000*1.092+1300000*1.092)*10%</f>
        <v>15163948.800000001</v>
      </c>
      <c r="AI102" s="226">
        <f t="shared" si="49"/>
        <v>15163948.800000001</v>
      </c>
      <c r="AJ102" s="226">
        <f t="shared" si="49"/>
        <v>15163948.800000001</v>
      </c>
      <c r="AK102" s="226">
        <f t="shared" si="49"/>
        <v>15163948.800000001</v>
      </c>
      <c r="AL102" s="226">
        <f t="shared" si="49"/>
        <v>15163948.800000001</v>
      </c>
      <c r="AM102" s="226">
        <f t="shared" si="49"/>
        <v>15163948.800000001</v>
      </c>
      <c r="AN102" s="235">
        <f>(11324000*1.092+1300000*1.092)+(11324000*1.092+1300000*1.092)*10%</f>
        <v>15163948.800000001</v>
      </c>
      <c r="AO102" s="235">
        <f t="shared" si="50"/>
        <v>15163948.800000001</v>
      </c>
      <c r="AP102" s="235">
        <f t="shared" si="50"/>
        <v>15163948.800000001</v>
      </c>
      <c r="AQ102" s="236">
        <f t="shared" si="50"/>
        <v>15163948.800000001</v>
      </c>
      <c r="AR102" s="236">
        <f t="shared" si="50"/>
        <v>15163948.800000001</v>
      </c>
      <c r="AS102" s="236">
        <f t="shared" si="50"/>
        <v>15163948.800000001</v>
      </c>
      <c r="AT102" s="236">
        <f t="shared" si="50"/>
        <v>15163948.800000001</v>
      </c>
      <c r="AU102" s="236">
        <f t="shared" si="50"/>
        <v>15163948.800000001</v>
      </c>
      <c r="AV102" s="236">
        <f t="shared" si="50"/>
        <v>15163948.800000001</v>
      </c>
      <c r="AW102" s="226">
        <f>(11324000*1.092+1300000*1.092)+(11324000*1.092+1300000*1.092)*10%</f>
        <v>15163948.800000001</v>
      </c>
      <c r="AX102" s="226">
        <f t="shared" si="51"/>
        <v>15163948.800000001</v>
      </c>
      <c r="AY102" s="226">
        <f t="shared" si="51"/>
        <v>15163948.800000001</v>
      </c>
      <c r="AZ102" s="226">
        <f t="shared" si="51"/>
        <v>15163948.800000001</v>
      </c>
      <c r="BA102" s="226">
        <f t="shared" si="51"/>
        <v>15163948.800000001</v>
      </c>
      <c r="BB102" s="226">
        <f t="shared" si="51"/>
        <v>15163948.800000001</v>
      </c>
      <c r="BC102" s="224">
        <f>(11324000*1.092+1300000*1.092)+(11324000*1.092+1300000*1.092)*10%</f>
        <v>15163948.800000001</v>
      </c>
      <c r="BD102" s="224">
        <f t="shared" si="52"/>
        <v>15163948.800000001</v>
      </c>
      <c r="BE102" s="224">
        <f t="shared" si="52"/>
        <v>15163948.800000001</v>
      </c>
      <c r="BF102" s="224">
        <f t="shared" si="52"/>
        <v>15163948.800000001</v>
      </c>
      <c r="BG102" s="224">
        <f t="shared" si="52"/>
        <v>15163948.800000001</v>
      </c>
      <c r="BH102" s="224">
        <f t="shared" si="52"/>
        <v>15163948.800000001</v>
      </c>
      <c r="BI102" s="224">
        <f t="shared" si="52"/>
        <v>15163948.800000001</v>
      </c>
      <c r="BJ102" s="224">
        <f t="shared" si="52"/>
        <v>15163948.800000001</v>
      </c>
      <c r="BK102" s="224">
        <f t="shared" si="52"/>
        <v>15163948.800000001</v>
      </c>
      <c r="BL102" s="224">
        <f t="shared" si="52"/>
        <v>15163948.800000001</v>
      </c>
      <c r="BM102" s="224">
        <f t="shared" si="52"/>
        <v>15163948.800000001</v>
      </c>
      <c r="BN102" s="224">
        <f t="shared" si="52"/>
        <v>15163948.800000001</v>
      </c>
      <c r="BO102" s="224">
        <f t="shared" si="52"/>
        <v>15163948.800000001</v>
      </c>
    </row>
    <row r="103" spans="1:67" ht="45">
      <c r="A103" s="223">
        <f t="shared" si="56"/>
        <v>6</v>
      </c>
      <c r="B103" s="228" t="s">
        <v>324</v>
      </c>
      <c r="C103" s="223">
        <v>101</v>
      </c>
      <c r="D103" s="224">
        <f>(15366000*1.092+1300000*1.092)+(15366000*1.092+1300000*1.092)*10%</f>
        <v>20019199.199999999</v>
      </c>
      <c r="E103" s="225">
        <f t="shared" ref="E103:S103" si="59">D103</f>
        <v>20019199.199999999</v>
      </c>
      <c r="F103" s="225">
        <f t="shared" si="59"/>
        <v>20019199.199999999</v>
      </c>
      <c r="G103" s="225">
        <f t="shared" si="59"/>
        <v>20019199.199999999</v>
      </c>
      <c r="H103" s="225">
        <f t="shared" si="59"/>
        <v>20019199.199999999</v>
      </c>
      <c r="I103" s="225">
        <f t="shared" si="59"/>
        <v>20019199.199999999</v>
      </c>
      <c r="J103" s="225">
        <f t="shared" si="59"/>
        <v>20019199.199999999</v>
      </c>
      <c r="K103" s="237">
        <f t="shared" si="59"/>
        <v>20019199.199999999</v>
      </c>
      <c r="L103" s="237">
        <f t="shared" si="59"/>
        <v>20019199.199999999</v>
      </c>
      <c r="M103" s="237">
        <f t="shared" si="59"/>
        <v>20019199.199999999</v>
      </c>
      <c r="N103" s="237">
        <f t="shared" si="59"/>
        <v>20019199.199999999</v>
      </c>
      <c r="O103" s="237">
        <f t="shared" si="59"/>
        <v>20019199.199999999</v>
      </c>
      <c r="P103" s="237">
        <f t="shared" si="59"/>
        <v>20019199.199999999</v>
      </c>
      <c r="Q103" s="237">
        <f t="shared" si="59"/>
        <v>20019199.199999999</v>
      </c>
      <c r="R103" s="237">
        <f t="shared" si="59"/>
        <v>20019199.199999999</v>
      </c>
      <c r="S103" s="237">
        <f t="shared" si="59"/>
        <v>20019199.199999999</v>
      </c>
      <c r="T103" s="224">
        <f>(15366000*1.092+1300000*1.092)+(15366000*1.092+1300000*1.092)*10%</f>
        <v>20019199.199999999</v>
      </c>
      <c r="U103" s="224">
        <f t="shared" si="45"/>
        <v>20019199.199999999</v>
      </c>
      <c r="V103" s="224">
        <f t="shared" si="45"/>
        <v>20019199.199999999</v>
      </c>
      <c r="W103" s="224">
        <f t="shared" si="45"/>
        <v>20019199.199999999</v>
      </c>
      <c r="X103" s="226">
        <f>(15366000*1.092+1300000*1.092)+(15366000*1.092+1300000*1.092)*10%</f>
        <v>20019199.199999999</v>
      </c>
      <c r="Y103" s="226">
        <f t="shared" si="46"/>
        <v>20019199.199999999</v>
      </c>
      <c r="Z103" s="226">
        <f t="shared" si="46"/>
        <v>20019199.199999999</v>
      </c>
      <c r="AA103" s="224">
        <f>(15366000*1.092+1300000*1.092)+(15366000*1.092+1300000*1.092)*10%</f>
        <v>20019199.199999999</v>
      </c>
      <c r="AB103" s="224">
        <f>(15366000*1.092+1300000*1.092)+(15366000*1.092+1300000*1.092)*10%</f>
        <v>20019199.199999999</v>
      </c>
      <c r="AC103" s="224">
        <f>(15366000*1.092+1300000*1.092)+(15366000*1.092+1300000*1.092)*10%</f>
        <v>20019199.199999999</v>
      </c>
      <c r="AD103" s="224">
        <f t="shared" si="47"/>
        <v>20019199.199999999</v>
      </c>
      <c r="AE103" s="224">
        <f>(15366000*1.092+1300000*1.092)+(15366000*1.092+1300000*1.092)*10%</f>
        <v>20019199.199999999</v>
      </c>
      <c r="AF103" s="224">
        <f>(15366000*1.092+1300000*1.092)+(15366000*1.092+1300000*1.092)*10%</f>
        <v>20019199.199999999</v>
      </c>
      <c r="AG103" s="224">
        <f t="shared" si="48"/>
        <v>20019199.199999999</v>
      </c>
      <c r="AH103" s="226">
        <f>(15366000*1.092+1300000*1.092)+(15366000*1.092+1300000*1.092)*10%</f>
        <v>20019199.199999999</v>
      </c>
      <c r="AI103" s="226">
        <f t="shared" si="49"/>
        <v>20019199.199999999</v>
      </c>
      <c r="AJ103" s="226">
        <f t="shared" si="49"/>
        <v>20019199.199999999</v>
      </c>
      <c r="AK103" s="226">
        <f t="shared" si="49"/>
        <v>20019199.199999999</v>
      </c>
      <c r="AL103" s="226">
        <f t="shared" si="49"/>
        <v>20019199.199999999</v>
      </c>
      <c r="AM103" s="226">
        <f t="shared" si="49"/>
        <v>20019199.199999999</v>
      </c>
      <c r="AN103" s="235">
        <f>(15366000*1.092+1300000*1.092)+(15366000*1.092+1300000*1.092)*10%</f>
        <v>20019199.199999999</v>
      </c>
      <c r="AO103" s="235">
        <f t="shared" si="50"/>
        <v>20019199.199999999</v>
      </c>
      <c r="AP103" s="235">
        <f t="shared" si="50"/>
        <v>20019199.199999999</v>
      </c>
      <c r="AQ103" s="236">
        <f t="shared" si="50"/>
        <v>20019199.199999999</v>
      </c>
      <c r="AR103" s="236">
        <f t="shared" si="50"/>
        <v>20019199.199999999</v>
      </c>
      <c r="AS103" s="236">
        <f t="shared" si="50"/>
        <v>20019199.199999999</v>
      </c>
      <c r="AT103" s="236">
        <f t="shared" si="50"/>
        <v>20019199.199999999</v>
      </c>
      <c r="AU103" s="236">
        <f t="shared" si="50"/>
        <v>20019199.199999999</v>
      </c>
      <c r="AV103" s="236">
        <f t="shared" si="50"/>
        <v>20019199.199999999</v>
      </c>
      <c r="AW103" s="226">
        <f>(15366000*1.092+1300000*1.092)+(15366000*1.092+1300000*1.092)*10%</f>
        <v>20019199.199999999</v>
      </c>
      <c r="AX103" s="226">
        <f t="shared" si="51"/>
        <v>20019199.199999999</v>
      </c>
      <c r="AY103" s="226">
        <f t="shared" si="51"/>
        <v>20019199.199999999</v>
      </c>
      <c r="AZ103" s="226">
        <f t="shared" si="51"/>
        <v>20019199.199999999</v>
      </c>
      <c r="BA103" s="226">
        <f t="shared" si="51"/>
        <v>20019199.199999999</v>
      </c>
      <c r="BB103" s="226">
        <f t="shared" si="51"/>
        <v>20019199.199999999</v>
      </c>
      <c r="BC103" s="224">
        <f>(15366000*1.092+1300000*1.092)+(15366000*1.092+1300000*1.092)*10%</f>
        <v>20019199.199999999</v>
      </c>
      <c r="BD103" s="224">
        <f t="shared" si="52"/>
        <v>20019199.199999999</v>
      </c>
      <c r="BE103" s="224">
        <f t="shared" si="52"/>
        <v>20019199.199999999</v>
      </c>
      <c r="BF103" s="224">
        <f t="shared" si="52"/>
        <v>20019199.199999999</v>
      </c>
      <c r="BG103" s="224">
        <f t="shared" si="52"/>
        <v>20019199.199999999</v>
      </c>
      <c r="BH103" s="224">
        <f t="shared" si="52"/>
        <v>20019199.199999999</v>
      </c>
      <c r="BI103" s="224">
        <f t="shared" si="52"/>
        <v>20019199.199999999</v>
      </c>
      <c r="BJ103" s="224">
        <f t="shared" si="52"/>
        <v>20019199.199999999</v>
      </c>
      <c r="BK103" s="224">
        <f t="shared" si="52"/>
        <v>20019199.199999999</v>
      </c>
      <c r="BL103" s="224">
        <f t="shared" si="52"/>
        <v>20019199.199999999</v>
      </c>
      <c r="BM103" s="224">
        <f t="shared" si="52"/>
        <v>20019199.199999999</v>
      </c>
      <c r="BN103" s="224">
        <f t="shared" si="52"/>
        <v>20019199.199999999</v>
      </c>
      <c r="BO103" s="224">
        <f t="shared" si="52"/>
        <v>20019199.199999999</v>
      </c>
    </row>
    <row r="104" spans="1:67" ht="30">
      <c r="A104" s="223">
        <f t="shared" si="56"/>
        <v>7</v>
      </c>
      <c r="B104" s="228" t="s">
        <v>307</v>
      </c>
      <c r="C104" s="223">
        <v>102</v>
      </c>
      <c r="D104" s="227">
        <f>11797500*1.2+10000000</f>
        <v>24157000</v>
      </c>
      <c r="E104" s="225">
        <f t="shared" ref="E104:S104" si="60">D104</f>
        <v>24157000</v>
      </c>
      <c r="F104" s="225">
        <f t="shared" si="60"/>
        <v>24157000</v>
      </c>
      <c r="G104" s="225">
        <f t="shared" si="60"/>
        <v>24157000</v>
      </c>
      <c r="H104" s="225">
        <f t="shared" si="60"/>
        <v>24157000</v>
      </c>
      <c r="I104" s="225">
        <f t="shared" si="60"/>
        <v>24157000</v>
      </c>
      <c r="J104" s="225">
        <f t="shared" si="60"/>
        <v>24157000</v>
      </c>
      <c r="K104" s="237">
        <f t="shared" si="60"/>
        <v>24157000</v>
      </c>
      <c r="L104" s="237">
        <f t="shared" si="60"/>
        <v>24157000</v>
      </c>
      <c r="M104" s="237">
        <f t="shared" si="60"/>
        <v>24157000</v>
      </c>
      <c r="N104" s="237">
        <f t="shared" si="60"/>
        <v>24157000</v>
      </c>
      <c r="O104" s="237">
        <f t="shared" si="60"/>
        <v>24157000</v>
      </c>
      <c r="P104" s="237">
        <f t="shared" si="60"/>
        <v>24157000</v>
      </c>
      <c r="Q104" s="237">
        <f t="shared" si="60"/>
        <v>24157000</v>
      </c>
      <c r="R104" s="237">
        <f t="shared" si="60"/>
        <v>24157000</v>
      </c>
      <c r="S104" s="237">
        <f t="shared" si="60"/>
        <v>24157000</v>
      </c>
      <c r="T104" s="227">
        <f>11797500*1.2+10000000</f>
        <v>24157000</v>
      </c>
      <c r="U104" s="224">
        <f t="shared" ref="U104:W121" si="61">T104</f>
        <v>24157000</v>
      </c>
      <c r="V104" s="224">
        <f t="shared" si="61"/>
        <v>24157000</v>
      </c>
      <c r="W104" s="224">
        <f t="shared" si="61"/>
        <v>24157000</v>
      </c>
      <c r="X104" s="226">
        <f>11797500*1.2+10000000</f>
        <v>24157000</v>
      </c>
      <c r="Y104" s="226">
        <f t="shared" ref="Y104:Z121" si="62">X104</f>
        <v>24157000</v>
      </c>
      <c r="Z104" s="226">
        <f t="shared" si="62"/>
        <v>24157000</v>
      </c>
      <c r="AA104" s="227">
        <f>11797500*1.2+10000000</f>
        <v>24157000</v>
      </c>
      <c r="AB104" s="227">
        <f>11797500*1.2+10000000</f>
        <v>24157000</v>
      </c>
      <c r="AC104" s="227">
        <f>11797500*1.2+10000000</f>
        <v>24157000</v>
      </c>
      <c r="AD104" s="224">
        <f t="shared" si="47"/>
        <v>24157000</v>
      </c>
      <c r="AE104" s="227">
        <f>11797500*1.2+10000000</f>
        <v>24157000</v>
      </c>
      <c r="AF104" s="227">
        <f>11797500*1.2+10000000</f>
        <v>24157000</v>
      </c>
      <c r="AG104" s="224">
        <f t="shared" si="48"/>
        <v>24157000</v>
      </c>
      <c r="AH104" s="226">
        <f>11797500*1.2+10000000</f>
        <v>24157000</v>
      </c>
      <c r="AI104" s="226">
        <f t="shared" ref="AI104:AM121" si="63">AH104</f>
        <v>24157000</v>
      </c>
      <c r="AJ104" s="226">
        <f t="shared" si="63"/>
        <v>24157000</v>
      </c>
      <c r="AK104" s="226">
        <f t="shared" si="63"/>
        <v>24157000</v>
      </c>
      <c r="AL104" s="226">
        <f t="shared" si="63"/>
        <v>24157000</v>
      </c>
      <c r="AM104" s="226">
        <f t="shared" si="63"/>
        <v>24157000</v>
      </c>
      <c r="AN104" s="235">
        <f>11797500*1.2+10000000</f>
        <v>24157000</v>
      </c>
      <c r="AO104" s="235">
        <f t="shared" ref="AO104:AV121" si="64">AN104</f>
        <v>24157000</v>
      </c>
      <c r="AP104" s="235">
        <f t="shared" si="64"/>
        <v>24157000</v>
      </c>
      <c r="AQ104" s="236">
        <f t="shared" si="64"/>
        <v>24157000</v>
      </c>
      <c r="AR104" s="236">
        <f t="shared" si="64"/>
        <v>24157000</v>
      </c>
      <c r="AS104" s="236">
        <f t="shared" si="64"/>
        <v>24157000</v>
      </c>
      <c r="AT104" s="236">
        <f t="shared" si="64"/>
        <v>24157000</v>
      </c>
      <c r="AU104" s="236">
        <f t="shared" si="64"/>
        <v>24157000</v>
      </c>
      <c r="AV104" s="236">
        <f t="shared" si="64"/>
        <v>24157000</v>
      </c>
      <c r="AW104" s="243">
        <f>11797500*1.2+10000000</f>
        <v>24157000</v>
      </c>
      <c r="AX104" s="226">
        <f t="shared" ref="AX104:BB121" si="65">AW104</f>
        <v>24157000</v>
      </c>
      <c r="AY104" s="226">
        <f t="shared" si="65"/>
        <v>24157000</v>
      </c>
      <c r="AZ104" s="226">
        <f t="shared" si="65"/>
        <v>24157000</v>
      </c>
      <c r="BA104" s="226">
        <f t="shared" si="65"/>
        <v>24157000</v>
      </c>
      <c r="BB104" s="226">
        <f t="shared" si="65"/>
        <v>24157000</v>
      </c>
      <c r="BC104" s="227">
        <f>11797500*1.2+10000000</f>
        <v>24157000</v>
      </c>
      <c r="BD104" s="224">
        <f t="shared" ref="BD104:BO121" si="66">BC104</f>
        <v>24157000</v>
      </c>
      <c r="BE104" s="224">
        <f t="shared" si="66"/>
        <v>24157000</v>
      </c>
      <c r="BF104" s="224">
        <f t="shared" si="66"/>
        <v>24157000</v>
      </c>
      <c r="BG104" s="224">
        <f t="shared" si="66"/>
        <v>24157000</v>
      </c>
      <c r="BH104" s="224">
        <f t="shared" si="66"/>
        <v>24157000</v>
      </c>
      <c r="BI104" s="224">
        <f t="shared" si="66"/>
        <v>24157000</v>
      </c>
      <c r="BJ104" s="224">
        <f t="shared" si="66"/>
        <v>24157000</v>
      </c>
      <c r="BK104" s="224">
        <f t="shared" si="66"/>
        <v>24157000</v>
      </c>
      <c r="BL104" s="224">
        <f t="shared" si="66"/>
        <v>24157000</v>
      </c>
      <c r="BM104" s="224">
        <f t="shared" si="66"/>
        <v>24157000</v>
      </c>
      <c r="BN104" s="224">
        <f t="shared" si="66"/>
        <v>24157000</v>
      </c>
      <c r="BO104" s="224">
        <f t="shared" si="66"/>
        <v>24157000</v>
      </c>
    </row>
    <row r="105" spans="1:67" ht="30">
      <c r="A105" s="223">
        <f t="shared" si="56"/>
        <v>8</v>
      </c>
      <c r="B105" s="228" t="s">
        <v>308</v>
      </c>
      <c r="C105" s="223">
        <v>103</v>
      </c>
      <c r="D105" s="227">
        <f>15015000*1.3+10000000</f>
        <v>29519500</v>
      </c>
      <c r="E105" s="225">
        <f t="shared" ref="E105:S105" si="67">D105</f>
        <v>29519500</v>
      </c>
      <c r="F105" s="225">
        <f t="shared" si="67"/>
        <v>29519500</v>
      </c>
      <c r="G105" s="225">
        <f t="shared" si="67"/>
        <v>29519500</v>
      </c>
      <c r="H105" s="225">
        <f t="shared" si="67"/>
        <v>29519500</v>
      </c>
      <c r="I105" s="225">
        <f t="shared" si="67"/>
        <v>29519500</v>
      </c>
      <c r="J105" s="225">
        <f t="shared" si="67"/>
        <v>29519500</v>
      </c>
      <c r="K105" s="237">
        <f t="shared" si="67"/>
        <v>29519500</v>
      </c>
      <c r="L105" s="237">
        <f t="shared" si="67"/>
        <v>29519500</v>
      </c>
      <c r="M105" s="237">
        <f t="shared" si="67"/>
        <v>29519500</v>
      </c>
      <c r="N105" s="237">
        <f t="shared" si="67"/>
        <v>29519500</v>
      </c>
      <c r="O105" s="237">
        <f t="shared" si="67"/>
        <v>29519500</v>
      </c>
      <c r="P105" s="237">
        <f t="shared" si="67"/>
        <v>29519500</v>
      </c>
      <c r="Q105" s="237">
        <f t="shared" si="67"/>
        <v>29519500</v>
      </c>
      <c r="R105" s="237">
        <f t="shared" si="67"/>
        <v>29519500</v>
      </c>
      <c r="S105" s="237">
        <f t="shared" si="67"/>
        <v>29519500</v>
      </c>
      <c r="T105" s="227">
        <f>15015000*1.3+10000000</f>
        <v>29519500</v>
      </c>
      <c r="U105" s="224">
        <f t="shared" si="61"/>
        <v>29519500</v>
      </c>
      <c r="V105" s="224">
        <f t="shared" si="61"/>
        <v>29519500</v>
      </c>
      <c r="W105" s="224">
        <f t="shared" si="61"/>
        <v>29519500</v>
      </c>
      <c r="X105" s="226">
        <f>15015000*1.3+10000000</f>
        <v>29519500</v>
      </c>
      <c r="Y105" s="226">
        <f t="shared" si="62"/>
        <v>29519500</v>
      </c>
      <c r="Z105" s="226">
        <f t="shared" si="62"/>
        <v>29519500</v>
      </c>
      <c r="AA105" s="227">
        <f>15015000*1.3+10000000</f>
        <v>29519500</v>
      </c>
      <c r="AB105" s="227">
        <f>15015000*1.3+10000000</f>
        <v>29519500</v>
      </c>
      <c r="AC105" s="227">
        <f>15015000*1.3+10000000</f>
        <v>29519500</v>
      </c>
      <c r="AD105" s="224">
        <f t="shared" si="47"/>
        <v>29519500</v>
      </c>
      <c r="AE105" s="227">
        <f>15015000*1.3+10000000</f>
        <v>29519500</v>
      </c>
      <c r="AF105" s="227">
        <f>15015000*1.3+10000000</f>
        <v>29519500</v>
      </c>
      <c r="AG105" s="224">
        <f t="shared" si="48"/>
        <v>29519500</v>
      </c>
      <c r="AH105" s="226">
        <f>15015000*1.3+10000000</f>
        <v>29519500</v>
      </c>
      <c r="AI105" s="226">
        <f t="shared" si="63"/>
        <v>29519500</v>
      </c>
      <c r="AJ105" s="226">
        <f t="shared" si="63"/>
        <v>29519500</v>
      </c>
      <c r="AK105" s="226">
        <f t="shared" si="63"/>
        <v>29519500</v>
      </c>
      <c r="AL105" s="226">
        <f t="shared" si="63"/>
        <v>29519500</v>
      </c>
      <c r="AM105" s="226">
        <f t="shared" si="63"/>
        <v>29519500</v>
      </c>
      <c r="AN105" s="235">
        <f>15015000*1.3+10000000</f>
        <v>29519500</v>
      </c>
      <c r="AO105" s="235">
        <f t="shared" si="64"/>
        <v>29519500</v>
      </c>
      <c r="AP105" s="235">
        <f t="shared" si="64"/>
        <v>29519500</v>
      </c>
      <c r="AQ105" s="236">
        <f t="shared" si="64"/>
        <v>29519500</v>
      </c>
      <c r="AR105" s="236">
        <f t="shared" si="64"/>
        <v>29519500</v>
      </c>
      <c r="AS105" s="236">
        <f t="shared" si="64"/>
        <v>29519500</v>
      </c>
      <c r="AT105" s="236">
        <f t="shared" si="64"/>
        <v>29519500</v>
      </c>
      <c r="AU105" s="236">
        <f t="shared" si="64"/>
        <v>29519500</v>
      </c>
      <c r="AV105" s="236">
        <f t="shared" si="64"/>
        <v>29519500</v>
      </c>
      <c r="AW105" s="243">
        <f>15015000*1.3+10000000</f>
        <v>29519500</v>
      </c>
      <c r="AX105" s="226">
        <f t="shared" si="65"/>
        <v>29519500</v>
      </c>
      <c r="AY105" s="226">
        <f t="shared" si="65"/>
        <v>29519500</v>
      </c>
      <c r="AZ105" s="226">
        <f t="shared" si="65"/>
        <v>29519500</v>
      </c>
      <c r="BA105" s="226">
        <f t="shared" si="65"/>
        <v>29519500</v>
      </c>
      <c r="BB105" s="226">
        <f t="shared" si="65"/>
        <v>29519500</v>
      </c>
      <c r="BC105" s="227">
        <f>15015000*1.3+10000000</f>
        <v>29519500</v>
      </c>
      <c r="BD105" s="224">
        <f t="shared" si="66"/>
        <v>29519500</v>
      </c>
      <c r="BE105" s="224">
        <f t="shared" si="66"/>
        <v>29519500</v>
      </c>
      <c r="BF105" s="224">
        <f t="shared" si="66"/>
        <v>29519500</v>
      </c>
      <c r="BG105" s="224">
        <f t="shared" si="66"/>
        <v>29519500</v>
      </c>
      <c r="BH105" s="224">
        <f t="shared" si="66"/>
        <v>29519500</v>
      </c>
      <c r="BI105" s="224">
        <f t="shared" si="66"/>
        <v>29519500</v>
      </c>
      <c r="BJ105" s="224">
        <f t="shared" si="66"/>
        <v>29519500</v>
      </c>
      <c r="BK105" s="224">
        <f t="shared" si="66"/>
        <v>29519500</v>
      </c>
      <c r="BL105" s="224">
        <f t="shared" si="66"/>
        <v>29519500</v>
      </c>
      <c r="BM105" s="224">
        <f t="shared" si="66"/>
        <v>29519500</v>
      </c>
      <c r="BN105" s="224">
        <f t="shared" si="66"/>
        <v>29519500</v>
      </c>
      <c r="BO105" s="224">
        <f t="shared" si="66"/>
        <v>29519500</v>
      </c>
    </row>
    <row r="106" spans="1:67">
      <c r="A106" s="223"/>
      <c r="B106" s="230" t="s">
        <v>325</v>
      </c>
      <c r="C106" s="223">
        <v>104</v>
      </c>
      <c r="D106" s="227"/>
      <c r="E106" s="225"/>
      <c r="F106" s="225"/>
      <c r="G106" s="225"/>
      <c r="H106" s="225"/>
      <c r="I106" s="225"/>
      <c r="J106" s="225"/>
      <c r="K106" s="237"/>
      <c r="L106" s="237"/>
      <c r="M106" s="237"/>
      <c r="N106" s="237"/>
      <c r="O106" s="237"/>
      <c r="P106" s="237"/>
      <c r="Q106" s="237"/>
      <c r="R106" s="237"/>
      <c r="S106" s="237"/>
      <c r="T106" s="224"/>
      <c r="U106" s="224">
        <f t="shared" si="61"/>
        <v>0</v>
      </c>
      <c r="V106" s="224">
        <f t="shared" si="61"/>
        <v>0</v>
      </c>
      <c r="W106" s="224">
        <f t="shared" si="61"/>
        <v>0</v>
      </c>
      <c r="X106" s="226"/>
      <c r="Y106" s="226">
        <f t="shared" si="62"/>
        <v>0</v>
      </c>
      <c r="Z106" s="226">
        <f t="shared" si="62"/>
        <v>0</v>
      </c>
      <c r="AA106" s="227"/>
      <c r="AB106" s="227"/>
      <c r="AC106" s="224"/>
      <c r="AD106" s="224">
        <f t="shared" si="47"/>
        <v>0</v>
      </c>
      <c r="AE106" s="227"/>
      <c r="AF106" s="227"/>
      <c r="AG106" s="224">
        <f t="shared" si="48"/>
        <v>0</v>
      </c>
      <c r="AH106" s="226"/>
      <c r="AI106" s="226">
        <f t="shared" si="63"/>
        <v>0</v>
      </c>
      <c r="AJ106" s="226">
        <f t="shared" si="63"/>
        <v>0</v>
      </c>
      <c r="AK106" s="226">
        <f t="shared" si="63"/>
        <v>0</v>
      </c>
      <c r="AL106" s="226">
        <f t="shared" si="63"/>
        <v>0</v>
      </c>
      <c r="AM106" s="226">
        <f t="shared" si="63"/>
        <v>0</v>
      </c>
      <c r="AN106" s="235"/>
      <c r="AO106" s="235">
        <f t="shared" si="64"/>
        <v>0</v>
      </c>
      <c r="AP106" s="235">
        <f t="shared" si="64"/>
        <v>0</v>
      </c>
      <c r="AQ106" s="236">
        <f t="shared" si="64"/>
        <v>0</v>
      </c>
      <c r="AR106" s="236">
        <f t="shared" si="64"/>
        <v>0</v>
      </c>
      <c r="AS106" s="236">
        <f t="shared" si="64"/>
        <v>0</v>
      </c>
      <c r="AT106" s="236">
        <f t="shared" si="64"/>
        <v>0</v>
      </c>
      <c r="AU106" s="236">
        <f t="shared" si="64"/>
        <v>0</v>
      </c>
      <c r="AV106" s="236">
        <f t="shared" si="64"/>
        <v>0</v>
      </c>
      <c r="AW106" s="226"/>
      <c r="AX106" s="226">
        <f t="shared" si="65"/>
        <v>0</v>
      </c>
      <c r="AY106" s="226">
        <f t="shared" si="65"/>
        <v>0</v>
      </c>
      <c r="AZ106" s="226">
        <f t="shared" si="65"/>
        <v>0</v>
      </c>
      <c r="BA106" s="226">
        <f t="shared" si="65"/>
        <v>0</v>
      </c>
      <c r="BB106" s="226">
        <f t="shared" si="65"/>
        <v>0</v>
      </c>
      <c r="BC106" s="224"/>
      <c r="BD106" s="224">
        <f t="shared" si="66"/>
        <v>0</v>
      </c>
      <c r="BE106" s="224">
        <f t="shared" si="66"/>
        <v>0</v>
      </c>
      <c r="BF106" s="224">
        <f t="shared" si="66"/>
        <v>0</v>
      </c>
      <c r="BG106" s="224">
        <f t="shared" si="66"/>
        <v>0</v>
      </c>
      <c r="BH106" s="224">
        <f t="shared" si="66"/>
        <v>0</v>
      </c>
      <c r="BI106" s="224">
        <f t="shared" si="66"/>
        <v>0</v>
      </c>
      <c r="BJ106" s="224">
        <f t="shared" si="66"/>
        <v>0</v>
      </c>
      <c r="BK106" s="224">
        <f t="shared" si="66"/>
        <v>0</v>
      </c>
      <c r="BL106" s="224">
        <f t="shared" si="66"/>
        <v>0</v>
      </c>
      <c r="BM106" s="224">
        <f t="shared" si="66"/>
        <v>0</v>
      </c>
      <c r="BN106" s="224">
        <f t="shared" si="66"/>
        <v>0</v>
      </c>
      <c r="BO106" s="224">
        <f t="shared" si="66"/>
        <v>0</v>
      </c>
    </row>
    <row r="107" spans="1:67">
      <c r="A107" s="223"/>
      <c r="B107" s="151" t="s">
        <v>326</v>
      </c>
      <c r="C107" s="223">
        <v>105</v>
      </c>
      <c r="D107" s="227">
        <v>298856512.94881815</v>
      </c>
      <c r="E107" s="225">
        <f t="shared" ref="E107:J107" si="68">D107</f>
        <v>298856512.94881815</v>
      </c>
      <c r="F107" s="225">
        <f t="shared" si="68"/>
        <v>298856512.94881815</v>
      </c>
      <c r="G107" s="225">
        <f t="shared" si="68"/>
        <v>298856512.94881815</v>
      </c>
      <c r="H107" s="225">
        <f t="shared" si="68"/>
        <v>298856512.94881815</v>
      </c>
      <c r="I107" s="225">
        <f t="shared" si="68"/>
        <v>298856512.94881815</v>
      </c>
      <c r="J107" s="225">
        <f t="shared" si="68"/>
        <v>298856512.94881815</v>
      </c>
      <c r="K107" s="227">
        <v>298856512.94881815</v>
      </c>
      <c r="L107" s="237">
        <f t="shared" ref="L107:S107" si="69">K107</f>
        <v>298856512.94881815</v>
      </c>
      <c r="M107" s="237">
        <f t="shared" si="69"/>
        <v>298856512.94881815</v>
      </c>
      <c r="N107" s="237">
        <f t="shared" si="69"/>
        <v>298856512.94881815</v>
      </c>
      <c r="O107" s="237">
        <f t="shared" si="69"/>
        <v>298856512.94881815</v>
      </c>
      <c r="P107" s="237">
        <f t="shared" si="69"/>
        <v>298856512.94881815</v>
      </c>
      <c r="Q107" s="237">
        <f t="shared" si="69"/>
        <v>298856512.94881815</v>
      </c>
      <c r="R107" s="237">
        <f t="shared" si="69"/>
        <v>298856512.94881815</v>
      </c>
      <c r="S107" s="237">
        <f t="shared" si="69"/>
        <v>298856512.94881815</v>
      </c>
      <c r="T107" s="227">
        <v>298856512.94881815</v>
      </c>
      <c r="U107" s="224">
        <f t="shared" si="61"/>
        <v>298856512.94881815</v>
      </c>
      <c r="V107" s="224">
        <f t="shared" si="61"/>
        <v>298856512.94881815</v>
      </c>
      <c r="W107" s="224">
        <f t="shared" si="61"/>
        <v>298856512.94881815</v>
      </c>
      <c r="X107" s="226">
        <v>298856512.94881815</v>
      </c>
      <c r="Y107" s="226">
        <f t="shared" si="62"/>
        <v>298856512.94881815</v>
      </c>
      <c r="Z107" s="226">
        <f t="shared" si="62"/>
        <v>298856512.94881815</v>
      </c>
      <c r="AA107" s="227">
        <v>298856512.94881815</v>
      </c>
      <c r="AB107" s="227">
        <v>298856512.94881815</v>
      </c>
      <c r="AC107" s="227">
        <v>298856512.94881815</v>
      </c>
      <c r="AD107" s="224">
        <f t="shared" si="47"/>
        <v>298856512.94881815</v>
      </c>
      <c r="AE107" s="227">
        <v>298856512.94881815</v>
      </c>
      <c r="AF107" s="227">
        <v>298856512.94881815</v>
      </c>
      <c r="AG107" s="224">
        <f t="shared" si="48"/>
        <v>298856512.94881815</v>
      </c>
      <c r="AH107" s="226">
        <v>298856512.94881815</v>
      </c>
      <c r="AI107" s="226">
        <f t="shared" si="63"/>
        <v>298856512.94881815</v>
      </c>
      <c r="AJ107" s="226">
        <f t="shared" si="63"/>
        <v>298856512.94881815</v>
      </c>
      <c r="AK107" s="226">
        <f t="shared" si="63"/>
        <v>298856512.94881815</v>
      </c>
      <c r="AL107" s="226">
        <f t="shared" si="63"/>
        <v>298856512.94881815</v>
      </c>
      <c r="AM107" s="226">
        <f t="shared" si="63"/>
        <v>298856512.94881815</v>
      </c>
      <c r="AN107" s="235">
        <v>298856512.94881815</v>
      </c>
      <c r="AO107" s="235">
        <f t="shared" si="64"/>
        <v>298856512.94881815</v>
      </c>
      <c r="AP107" s="235">
        <f t="shared" si="64"/>
        <v>298856512.94881815</v>
      </c>
      <c r="AQ107" s="236">
        <f t="shared" si="64"/>
        <v>298856512.94881815</v>
      </c>
      <c r="AR107" s="236">
        <f t="shared" si="64"/>
        <v>298856512.94881815</v>
      </c>
      <c r="AS107" s="236">
        <f t="shared" si="64"/>
        <v>298856512.94881815</v>
      </c>
      <c r="AT107" s="236">
        <f t="shared" si="64"/>
        <v>298856512.94881815</v>
      </c>
      <c r="AU107" s="236">
        <f t="shared" si="64"/>
        <v>298856512.94881815</v>
      </c>
      <c r="AV107" s="236">
        <f t="shared" si="64"/>
        <v>298856512.94881815</v>
      </c>
      <c r="AW107" s="243">
        <v>298856512.94881815</v>
      </c>
      <c r="AX107" s="226">
        <f t="shared" si="65"/>
        <v>298856512.94881815</v>
      </c>
      <c r="AY107" s="226">
        <f t="shared" si="65"/>
        <v>298856512.94881815</v>
      </c>
      <c r="AZ107" s="226">
        <f t="shared" si="65"/>
        <v>298856512.94881815</v>
      </c>
      <c r="BA107" s="226">
        <f t="shared" si="65"/>
        <v>298856512.94881815</v>
      </c>
      <c r="BB107" s="226">
        <f t="shared" si="65"/>
        <v>298856512.94881815</v>
      </c>
      <c r="BC107" s="227">
        <v>298856512.94881815</v>
      </c>
      <c r="BD107" s="224">
        <f t="shared" si="66"/>
        <v>298856512.94881815</v>
      </c>
      <c r="BE107" s="224">
        <f t="shared" si="66"/>
        <v>298856512.94881815</v>
      </c>
      <c r="BF107" s="224">
        <f t="shared" si="66"/>
        <v>298856512.94881815</v>
      </c>
      <c r="BG107" s="224">
        <f t="shared" si="66"/>
        <v>298856512.94881815</v>
      </c>
      <c r="BH107" s="224">
        <f t="shared" si="66"/>
        <v>298856512.94881815</v>
      </c>
      <c r="BI107" s="224">
        <f t="shared" si="66"/>
        <v>298856512.94881815</v>
      </c>
      <c r="BJ107" s="224">
        <f t="shared" si="66"/>
        <v>298856512.94881815</v>
      </c>
      <c r="BK107" s="224">
        <f t="shared" si="66"/>
        <v>298856512.94881815</v>
      </c>
      <c r="BL107" s="224">
        <f t="shared" si="66"/>
        <v>298856512.94881815</v>
      </c>
      <c r="BM107" s="224">
        <f t="shared" si="66"/>
        <v>298856512.94881815</v>
      </c>
      <c r="BN107" s="224">
        <f t="shared" si="66"/>
        <v>298856512.94881815</v>
      </c>
      <c r="BO107" s="224">
        <f t="shared" si="66"/>
        <v>298856512.94881815</v>
      </c>
    </row>
    <row r="108" spans="1:67">
      <c r="A108" s="223"/>
      <c r="B108" s="151" t="s">
        <v>327</v>
      </c>
      <c r="C108" s="223">
        <v>106</v>
      </c>
      <c r="D108" s="227">
        <v>340725000</v>
      </c>
      <c r="E108" s="225">
        <v>340725000</v>
      </c>
      <c r="F108" s="225">
        <v>340725000</v>
      </c>
      <c r="G108" s="225">
        <v>340725000</v>
      </c>
      <c r="H108" s="225">
        <v>340725000</v>
      </c>
      <c r="I108" s="225">
        <v>340725000</v>
      </c>
      <c r="J108" s="225">
        <v>340725000</v>
      </c>
      <c r="K108" s="237">
        <v>340725000</v>
      </c>
      <c r="L108" s="237">
        <v>340725000</v>
      </c>
      <c r="M108" s="237">
        <v>340725000</v>
      </c>
      <c r="N108" s="237">
        <v>340725000</v>
      </c>
      <c r="O108" s="237">
        <v>340725000</v>
      </c>
      <c r="P108" s="237">
        <v>340725000</v>
      </c>
      <c r="Q108" s="237">
        <v>340725000</v>
      </c>
      <c r="R108" s="237">
        <v>340725000</v>
      </c>
      <c r="S108" s="237">
        <v>340725000</v>
      </c>
      <c r="T108" s="224">
        <v>340725000</v>
      </c>
      <c r="U108" s="224">
        <v>340725000</v>
      </c>
      <c r="V108" s="224">
        <v>340725000</v>
      </c>
      <c r="W108" s="224">
        <v>340725000</v>
      </c>
      <c r="X108" s="226">
        <v>340725000</v>
      </c>
      <c r="Y108" s="226">
        <v>340725000</v>
      </c>
      <c r="Z108" s="226">
        <v>340725000</v>
      </c>
      <c r="AA108" s="227">
        <v>340725000</v>
      </c>
      <c r="AB108" s="227">
        <v>340725000</v>
      </c>
      <c r="AC108" s="224">
        <v>340725000</v>
      </c>
      <c r="AD108" s="224">
        <v>340725000</v>
      </c>
      <c r="AE108" s="227">
        <v>340725000</v>
      </c>
      <c r="AF108" s="227">
        <v>340725000</v>
      </c>
      <c r="AG108" s="224">
        <v>340725000</v>
      </c>
      <c r="AH108" s="226">
        <v>340725000</v>
      </c>
      <c r="AI108" s="226">
        <v>340725000</v>
      </c>
      <c r="AJ108" s="226">
        <v>340725000</v>
      </c>
      <c r="AK108" s="226">
        <v>340725000</v>
      </c>
      <c r="AL108" s="226">
        <v>340725000</v>
      </c>
      <c r="AM108" s="226">
        <v>340725000</v>
      </c>
      <c r="AN108" s="235">
        <v>340725000</v>
      </c>
      <c r="AO108" s="235">
        <v>340725000</v>
      </c>
      <c r="AP108" s="235">
        <v>340725000</v>
      </c>
      <c r="AQ108" s="236">
        <v>340725000</v>
      </c>
      <c r="AR108" s="236">
        <v>340725000</v>
      </c>
      <c r="AS108" s="236">
        <v>340725000</v>
      </c>
      <c r="AT108" s="236">
        <v>340725000</v>
      </c>
      <c r="AU108" s="236">
        <v>340725000</v>
      </c>
      <c r="AV108" s="236">
        <v>340725000</v>
      </c>
      <c r="AW108" s="226">
        <v>340725000</v>
      </c>
      <c r="AX108" s="226">
        <v>340725000</v>
      </c>
      <c r="AY108" s="226">
        <v>340725000</v>
      </c>
      <c r="AZ108" s="226">
        <v>340725000</v>
      </c>
      <c r="BA108" s="226">
        <v>340725000</v>
      </c>
      <c r="BB108" s="226">
        <v>340725000</v>
      </c>
      <c r="BC108" s="227">
        <v>340725000</v>
      </c>
      <c r="BD108" s="224">
        <v>340725000</v>
      </c>
      <c r="BE108" s="224">
        <v>340725000</v>
      </c>
      <c r="BF108" s="224">
        <v>340725000</v>
      </c>
      <c r="BG108" s="224">
        <v>340725000</v>
      </c>
      <c r="BH108" s="224">
        <v>340725000</v>
      </c>
      <c r="BI108" s="224">
        <v>340725000</v>
      </c>
      <c r="BJ108" s="224">
        <v>340725000</v>
      </c>
      <c r="BK108" s="224">
        <v>340725000</v>
      </c>
      <c r="BL108" s="224">
        <v>340725000</v>
      </c>
      <c r="BM108" s="224">
        <v>340725000</v>
      </c>
      <c r="BN108" s="224">
        <v>340725000</v>
      </c>
      <c r="BO108" s="224">
        <v>340725000</v>
      </c>
    </row>
    <row r="109" spans="1:67">
      <c r="A109" s="223"/>
      <c r="B109" s="151" t="s">
        <v>328</v>
      </c>
      <c r="C109" s="223">
        <v>107</v>
      </c>
      <c r="D109" s="227"/>
      <c r="E109" s="225"/>
      <c r="F109" s="225"/>
      <c r="G109" s="225"/>
      <c r="H109" s="225"/>
      <c r="I109" s="225"/>
      <c r="J109" s="225"/>
      <c r="K109" s="237"/>
      <c r="L109" s="237"/>
      <c r="M109" s="237"/>
      <c r="N109" s="237"/>
      <c r="O109" s="237"/>
      <c r="P109" s="237"/>
      <c r="Q109" s="237"/>
      <c r="R109" s="237"/>
      <c r="S109" s="237"/>
      <c r="T109" s="224"/>
      <c r="U109" s="224">
        <f t="shared" si="61"/>
        <v>0</v>
      </c>
      <c r="V109" s="224">
        <f t="shared" si="61"/>
        <v>0</v>
      </c>
      <c r="W109" s="224">
        <f t="shared" si="61"/>
        <v>0</v>
      </c>
      <c r="X109" s="226"/>
      <c r="Y109" s="226">
        <f t="shared" si="62"/>
        <v>0</v>
      </c>
      <c r="Z109" s="226">
        <f t="shared" si="62"/>
        <v>0</v>
      </c>
      <c r="AA109" s="227"/>
      <c r="AB109" s="227"/>
      <c r="AC109" s="224"/>
      <c r="AD109" s="224">
        <f t="shared" si="47"/>
        <v>0</v>
      </c>
      <c r="AE109" s="227"/>
      <c r="AF109" s="227"/>
      <c r="AG109" s="224">
        <f t="shared" si="48"/>
        <v>0</v>
      </c>
      <c r="AH109" s="226"/>
      <c r="AI109" s="226">
        <f t="shared" si="63"/>
        <v>0</v>
      </c>
      <c r="AJ109" s="226">
        <f t="shared" si="63"/>
        <v>0</v>
      </c>
      <c r="AK109" s="226">
        <f t="shared" si="63"/>
        <v>0</v>
      </c>
      <c r="AL109" s="226">
        <f t="shared" si="63"/>
        <v>0</v>
      </c>
      <c r="AM109" s="226">
        <f t="shared" si="63"/>
        <v>0</v>
      </c>
      <c r="AN109" s="235"/>
      <c r="AO109" s="235">
        <f t="shared" si="64"/>
        <v>0</v>
      </c>
      <c r="AP109" s="235">
        <f t="shared" si="64"/>
        <v>0</v>
      </c>
      <c r="AQ109" s="236">
        <f t="shared" si="64"/>
        <v>0</v>
      </c>
      <c r="AR109" s="236">
        <f t="shared" si="64"/>
        <v>0</v>
      </c>
      <c r="AS109" s="236">
        <f t="shared" si="64"/>
        <v>0</v>
      </c>
      <c r="AT109" s="236">
        <f t="shared" si="64"/>
        <v>0</v>
      </c>
      <c r="AU109" s="236">
        <f t="shared" si="64"/>
        <v>0</v>
      </c>
      <c r="AV109" s="236">
        <f t="shared" si="64"/>
        <v>0</v>
      </c>
      <c r="AW109" s="226"/>
      <c r="AX109" s="226">
        <f t="shared" si="65"/>
        <v>0</v>
      </c>
      <c r="AY109" s="226">
        <f t="shared" si="65"/>
        <v>0</v>
      </c>
      <c r="AZ109" s="226">
        <f t="shared" si="65"/>
        <v>0</v>
      </c>
      <c r="BA109" s="226">
        <f t="shared" si="65"/>
        <v>0</v>
      </c>
      <c r="BB109" s="226">
        <f t="shared" si="65"/>
        <v>0</v>
      </c>
      <c r="BC109" s="227"/>
      <c r="BD109" s="224">
        <f t="shared" si="66"/>
        <v>0</v>
      </c>
      <c r="BE109" s="224">
        <f t="shared" si="66"/>
        <v>0</v>
      </c>
      <c r="BF109" s="224">
        <f t="shared" si="66"/>
        <v>0</v>
      </c>
      <c r="BG109" s="224">
        <f t="shared" si="66"/>
        <v>0</v>
      </c>
      <c r="BH109" s="224">
        <f t="shared" si="66"/>
        <v>0</v>
      </c>
      <c r="BI109" s="224">
        <f t="shared" si="66"/>
        <v>0</v>
      </c>
      <c r="BJ109" s="224">
        <f t="shared" si="66"/>
        <v>0</v>
      </c>
      <c r="BK109" s="224">
        <f t="shared" si="66"/>
        <v>0</v>
      </c>
      <c r="BL109" s="224">
        <f t="shared" si="66"/>
        <v>0</v>
      </c>
      <c r="BM109" s="224">
        <f t="shared" si="66"/>
        <v>0</v>
      </c>
      <c r="BN109" s="224">
        <f t="shared" si="66"/>
        <v>0</v>
      </c>
      <c r="BO109" s="224">
        <f t="shared" si="66"/>
        <v>0</v>
      </c>
    </row>
    <row r="110" spans="1:67">
      <c r="A110" s="223"/>
      <c r="B110" s="151" t="s">
        <v>329</v>
      </c>
      <c r="C110" s="223">
        <v>108</v>
      </c>
      <c r="D110" s="227"/>
      <c r="E110" s="225"/>
      <c r="F110" s="225"/>
      <c r="G110" s="225"/>
      <c r="H110" s="225"/>
      <c r="I110" s="225"/>
      <c r="J110" s="225"/>
      <c r="K110" s="237"/>
      <c r="L110" s="237"/>
      <c r="M110" s="237"/>
      <c r="N110" s="237"/>
      <c r="O110" s="237"/>
      <c r="P110" s="237"/>
      <c r="Q110" s="237"/>
      <c r="R110" s="237"/>
      <c r="S110" s="237"/>
      <c r="T110" s="224"/>
      <c r="U110" s="224">
        <f t="shared" si="61"/>
        <v>0</v>
      </c>
      <c r="V110" s="224">
        <f t="shared" si="61"/>
        <v>0</v>
      </c>
      <c r="W110" s="224">
        <f t="shared" si="61"/>
        <v>0</v>
      </c>
      <c r="X110" s="226"/>
      <c r="Y110" s="226">
        <f t="shared" si="62"/>
        <v>0</v>
      </c>
      <c r="Z110" s="226">
        <f t="shared" si="62"/>
        <v>0</v>
      </c>
      <c r="AA110" s="227"/>
      <c r="AB110" s="227"/>
      <c r="AC110" s="224"/>
      <c r="AD110" s="224">
        <f t="shared" si="47"/>
        <v>0</v>
      </c>
      <c r="AE110" s="227"/>
      <c r="AF110" s="227"/>
      <c r="AG110" s="224">
        <f t="shared" si="48"/>
        <v>0</v>
      </c>
      <c r="AH110" s="226"/>
      <c r="AI110" s="226">
        <f t="shared" si="63"/>
        <v>0</v>
      </c>
      <c r="AJ110" s="226">
        <f t="shared" si="63"/>
        <v>0</v>
      </c>
      <c r="AK110" s="226">
        <f t="shared" si="63"/>
        <v>0</v>
      </c>
      <c r="AL110" s="226">
        <f t="shared" si="63"/>
        <v>0</v>
      </c>
      <c r="AM110" s="226">
        <f t="shared" si="63"/>
        <v>0</v>
      </c>
      <c r="AN110" s="235"/>
      <c r="AO110" s="235">
        <f t="shared" si="64"/>
        <v>0</v>
      </c>
      <c r="AP110" s="235">
        <f t="shared" si="64"/>
        <v>0</v>
      </c>
      <c r="AQ110" s="236">
        <f t="shared" si="64"/>
        <v>0</v>
      </c>
      <c r="AR110" s="236">
        <f t="shared" si="64"/>
        <v>0</v>
      </c>
      <c r="AS110" s="236">
        <f t="shared" si="64"/>
        <v>0</v>
      </c>
      <c r="AT110" s="236">
        <f t="shared" si="64"/>
        <v>0</v>
      </c>
      <c r="AU110" s="236">
        <f t="shared" si="64"/>
        <v>0</v>
      </c>
      <c r="AV110" s="236">
        <f t="shared" si="64"/>
        <v>0</v>
      </c>
      <c r="AW110" s="226"/>
      <c r="AX110" s="226">
        <f t="shared" si="65"/>
        <v>0</v>
      </c>
      <c r="AY110" s="226">
        <f t="shared" si="65"/>
        <v>0</v>
      </c>
      <c r="AZ110" s="226">
        <f t="shared" si="65"/>
        <v>0</v>
      </c>
      <c r="BA110" s="226">
        <f t="shared" si="65"/>
        <v>0</v>
      </c>
      <c r="BB110" s="226">
        <f t="shared" si="65"/>
        <v>0</v>
      </c>
      <c r="BC110" s="227"/>
      <c r="BD110" s="224">
        <f t="shared" si="66"/>
        <v>0</v>
      </c>
      <c r="BE110" s="224">
        <f t="shared" si="66"/>
        <v>0</v>
      </c>
      <c r="BF110" s="224">
        <f t="shared" si="66"/>
        <v>0</v>
      </c>
      <c r="BG110" s="224">
        <f t="shared" si="66"/>
        <v>0</v>
      </c>
      <c r="BH110" s="224">
        <f t="shared" si="66"/>
        <v>0</v>
      </c>
      <c r="BI110" s="224">
        <f t="shared" si="66"/>
        <v>0</v>
      </c>
      <c r="BJ110" s="224">
        <f t="shared" si="66"/>
        <v>0</v>
      </c>
      <c r="BK110" s="224">
        <f t="shared" si="66"/>
        <v>0</v>
      </c>
      <c r="BL110" s="224">
        <f t="shared" si="66"/>
        <v>0</v>
      </c>
      <c r="BM110" s="224">
        <f t="shared" si="66"/>
        <v>0</v>
      </c>
      <c r="BN110" s="224">
        <f t="shared" si="66"/>
        <v>0</v>
      </c>
      <c r="BO110" s="224">
        <f t="shared" si="66"/>
        <v>0</v>
      </c>
    </row>
    <row r="111" spans="1:67">
      <c r="A111" s="223"/>
      <c r="B111" s="151" t="s">
        <v>1450</v>
      </c>
      <c r="C111" s="223">
        <v>109</v>
      </c>
      <c r="D111" s="227">
        <v>52466271</v>
      </c>
      <c r="E111" s="227">
        <v>52466271</v>
      </c>
      <c r="F111" s="227">
        <v>52466271</v>
      </c>
      <c r="G111" s="227">
        <v>52466271</v>
      </c>
      <c r="H111" s="227">
        <v>52466271</v>
      </c>
      <c r="I111" s="227">
        <v>52466271</v>
      </c>
      <c r="J111" s="227">
        <v>52466271</v>
      </c>
      <c r="K111" s="237">
        <v>52466271</v>
      </c>
      <c r="L111" s="237">
        <v>52466271</v>
      </c>
      <c r="M111" s="237">
        <v>52466271</v>
      </c>
      <c r="N111" s="237">
        <v>52466271</v>
      </c>
      <c r="O111" s="237">
        <v>52466271</v>
      </c>
      <c r="P111" s="237">
        <v>52466271</v>
      </c>
      <c r="Q111" s="237">
        <v>52466271</v>
      </c>
      <c r="R111" s="237">
        <v>52466271</v>
      </c>
      <c r="S111" s="237">
        <v>52466271</v>
      </c>
      <c r="T111" s="224">
        <v>52466271</v>
      </c>
      <c r="U111" s="224">
        <v>52466271</v>
      </c>
      <c r="V111" s="224">
        <v>52466271</v>
      </c>
      <c r="W111" s="224">
        <v>52466271</v>
      </c>
      <c r="X111" s="246">
        <v>52466271</v>
      </c>
      <c r="Y111" s="246">
        <v>52466271</v>
      </c>
      <c r="Z111" s="246">
        <v>52466271</v>
      </c>
      <c r="AA111" s="246">
        <v>52466271</v>
      </c>
      <c r="AB111" s="246">
        <v>52466271</v>
      </c>
      <c r="AC111" s="246">
        <v>52466271</v>
      </c>
      <c r="AD111" s="246">
        <v>52466271</v>
      </c>
      <c r="AE111" s="246">
        <v>52466271</v>
      </c>
      <c r="AF111" s="246">
        <v>52466271</v>
      </c>
      <c r="AG111" s="246">
        <v>52466271</v>
      </c>
      <c r="AH111" s="226">
        <v>52466271</v>
      </c>
      <c r="AI111" s="246">
        <v>52466271</v>
      </c>
      <c r="AJ111" s="246">
        <v>52466271</v>
      </c>
      <c r="AK111" s="246">
        <v>52466271</v>
      </c>
      <c r="AL111" s="246">
        <v>52466271</v>
      </c>
      <c r="AM111" s="246">
        <v>52466271</v>
      </c>
      <c r="AN111" s="235">
        <v>52466271</v>
      </c>
      <c r="AO111" s="235">
        <v>52466271</v>
      </c>
      <c r="AP111" s="235">
        <v>52466271</v>
      </c>
      <c r="AQ111" s="246">
        <v>52466271</v>
      </c>
      <c r="AR111" s="246">
        <v>52466271</v>
      </c>
      <c r="AS111" s="246">
        <v>52466271</v>
      </c>
      <c r="AT111" s="246">
        <v>52466271</v>
      </c>
      <c r="AU111" s="246">
        <v>52466271</v>
      </c>
      <c r="AV111" s="246">
        <v>52466271</v>
      </c>
      <c r="AW111" s="246">
        <v>52466271</v>
      </c>
      <c r="AX111" s="246">
        <v>52466271</v>
      </c>
      <c r="AY111" s="246">
        <v>52466271</v>
      </c>
      <c r="AZ111" s="246">
        <v>52466271</v>
      </c>
      <c r="BA111" s="246">
        <v>52466271</v>
      </c>
      <c r="BB111" s="246">
        <v>52466271</v>
      </c>
      <c r="BC111" s="246">
        <v>52466271</v>
      </c>
      <c r="BD111" s="246">
        <v>52466271</v>
      </c>
      <c r="BE111" s="246">
        <v>52466271</v>
      </c>
      <c r="BF111" s="246">
        <v>52466271</v>
      </c>
      <c r="BG111" s="246">
        <v>52466271</v>
      </c>
      <c r="BH111" s="246">
        <v>52466271</v>
      </c>
      <c r="BI111" s="246">
        <v>52466271</v>
      </c>
      <c r="BJ111" s="246">
        <v>52466271</v>
      </c>
      <c r="BK111" s="246">
        <v>52466271</v>
      </c>
      <c r="BL111" s="246">
        <v>52466271</v>
      </c>
      <c r="BM111" s="246">
        <v>52466271</v>
      </c>
      <c r="BN111" s="246">
        <v>52466271</v>
      </c>
      <c r="BO111" s="246">
        <v>52466271</v>
      </c>
    </row>
    <row r="112" spans="1:67">
      <c r="A112" s="223"/>
      <c r="B112" s="151" t="s">
        <v>1561</v>
      </c>
      <c r="C112" s="223">
        <v>110</v>
      </c>
      <c r="D112" s="227">
        <f>+D108*1.05</f>
        <v>357761250</v>
      </c>
      <c r="E112" s="227">
        <f t="shared" ref="E112:BO112" si="70">+E108*1.05</f>
        <v>357761250</v>
      </c>
      <c r="F112" s="227">
        <f t="shared" si="70"/>
        <v>357761250</v>
      </c>
      <c r="G112" s="227">
        <f t="shared" si="70"/>
        <v>357761250</v>
      </c>
      <c r="H112" s="227">
        <f t="shared" si="70"/>
        <v>357761250</v>
      </c>
      <c r="I112" s="227">
        <f t="shared" si="70"/>
        <v>357761250</v>
      </c>
      <c r="J112" s="227">
        <f t="shared" si="70"/>
        <v>357761250</v>
      </c>
      <c r="K112" s="227">
        <f t="shared" si="70"/>
        <v>357761250</v>
      </c>
      <c r="L112" s="227">
        <f t="shared" si="70"/>
        <v>357761250</v>
      </c>
      <c r="M112" s="227">
        <f t="shared" si="70"/>
        <v>357761250</v>
      </c>
      <c r="N112" s="227">
        <f t="shared" si="70"/>
        <v>357761250</v>
      </c>
      <c r="O112" s="227">
        <f t="shared" si="70"/>
        <v>357761250</v>
      </c>
      <c r="P112" s="227">
        <f t="shared" si="70"/>
        <v>357761250</v>
      </c>
      <c r="Q112" s="227">
        <f t="shared" si="70"/>
        <v>357761250</v>
      </c>
      <c r="R112" s="227">
        <f t="shared" si="70"/>
        <v>357761250</v>
      </c>
      <c r="S112" s="227">
        <f t="shared" si="70"/>
        <v>357761250</v>
      </c>
      <c r="T112" s="227">
        <f t="shared" si="70"/>
        <v>357761250</v>
      </c>
      <c r="U112" s="227">
        <f t="shared" si="70"/>
        <v>357761250</v>
      </c>
      <c r="V112" s="227">
        <f t="shared" si="70"/>
        <v>357761250</v>
      </c>
      <c r="W112" s="227">
        <f t="shared" si="70"/>
        <v>357761250</v>
      </c>
      <c r="X112" s="227">
        <f t="shared" si="70"/>
        <v>357761250</v>
      </c>
      <c r="Y112" s="227">
        <f t="shared" si="70"/>
        <v>357761250</v>
      </c>
      <c r="Z112" s="227">
        <f t="shared" si="70"/>
        <v>357761250</v>
      </c>
      <c r="AA112" s="227">
        <f t="shared" si="70"/>
        <v>357761250</v>
      </c>
      <c r="AB112" s="227">
        <f t="shared" si="70"/>
        <v>357761250</v>
      </c>
      <c r="AC112" s="227">
        <f t="shared" si="70"/>
        <v>357761250</v>
      </c>
      <c r="AD112" s="227">
        <f t="shared" si="70"/>
        <v>357761250</v>
      </c>
      <c r="AE112" s="227">
        <f t="shared" si="70"/>
        <v>357761250</v>
      </c>
      <c r="AF112" s="227">
        <f t="shared" si="70"/>
        <v>357761250</v>
      </c>
      <c r="AG112" s="227">
        <f t="shared" si="70"/>
        <v>357761250</v>
      </c>
      <c r="AH112" s="227">
        <f t="shared" si="70"/>
        <v>357761250</v>
      </c>
      <c r="AI112" s="227">
        <f t="shared" si="70"/>
        <v>357761250</v>
      </c>
      <c r="AJ112" s="227">
        <f t="shared" si="70"/>
        <v>357761250</v>
      </c>
      <c r="AK112" s="227">
        <f t="shared" si="70"/>
        <v>357761250</v>
      </c>
      <c r="AL112" s="227">
        <f t="shared" si="70"/>
        <v>357761250</v>
      </c>
      <c r="AM112" s="227">
        <f t="shared" si="70"/>
        <v>357761250</v>
      </c>
      <c r="AN112" s="227">
        <f t="shared" si="70"/>
        <v>357761250</v>
      </c>
      <c r="AO112" s="227">
        <f t="shared" si="70"/>
        <v>357761250</v>
      </c>
      <c r="AP112" s="227">
        <f t="shared" si="70"/>
        <v>357761250</v>
      </c>
      <c r="AQ112" s="227">
        <f t="shared" si="70"/>
        <v>357761250</v>
      </c>
      <c r="AR112" s="227">
        <f t="shared" si="70"/>
        <v>357761250</v>
      </c>
      <c r="AS112" s="227">
        <f t="shared" si="70"/>
        <v>357761250</v>
      </c>
      <c r="AT112" s="227">
        <f t="shared" si="70"/>
        <v>357761250</v>
      </c>
      <c r="AU112" s="227">
        <f t="shared" si="70"/>
        <v>357761250</v>
      </c>
      <c r="AV112" s="227">
        <f t="shared" si="70"/>
        <v>357761250</v>
      </c>
      <c r="AW112" s="227">
        <f t="shared" si="70"/>
        <v>357761250</v>
      </c>
      <c r="AX112" s="227">
        <f t="shared" si="70"/>
        <v>357761250</v>
      </c>
      <c r="AY112" s="227">
        <f t="shared" si="70"/>
        <v>357761250</v>
      </c>
      <c r="AZ112" s="227">
        <f t="shared" si="70"/>
        <v>357761250</v>
      </c>
      <c r="BA112" s="227">
        <f t="shared" si="70"/>
        <v>357761250</v>
      </c>
      <c r="BB112" s="227">
        <f t="shared" si="70"/>
        <v>357761250</v>
      </c>
      <c r="BC112" s="227">
        <f t="shared" si="70"/>
        <v>357761250</v>
      </c>
      <c r="BD112" s="227">
        <f t="shared" si="70"/>
        <v>357761250</v>
      </c>
      <c r="BE112" s="227">
        <f t="shared" si="70"/>
        <v>357761250</v>
      </c>
      <c r="BF112" s="227">
        <f t="shared" si="70"/>
        <v>357761250</v>
      </c>
      <c r="BG112" s="227">
        <f t="shared" si="70"/>
        <v>357761250</v>
      </c>
      <c r="BH112" s="227">
        <f t="shared" si="70"/>
        <v>357761250</v>
      </c>
      <c r="BI112" s="227">
        <f t="shared" si="70"/>
        <v>357761250</v>
      </c>
      <c r="BJ112" s="227">
        <f t="shared" si="70"/>
        <v>357761250</v>
      </c>
      <c r="BK112" s="227">
        <f t="shared" si="70"/>
        <v>357761250</v>
      </c>
      <c r="BL112" s="227">
        <f t="shared" si="70"/>
        <v>357761250</v>
      </c>
      <c r="BM112" s="227">
        <f t="shared" si="70"/>
        <v>357761250</v>
      </c>
      <c r="BN112" s="227">
        <f t="shared" si="70"/>
        <v>357761250</v>
      </c>
      <c r="BO112" s="227">
        <f t="shared" si="70"/>
        <v>357761250</v>
      </c>
    </row>
    <row r="113" spans="1:67">
      <c r="A113" s="229" t="s">
        <v>221</v>
      </c>
      <c r="B113" s="230" t="s">
        <v>111</v>
      </c>
      <c r="C113" s="223">
        <v>111</v>
      </c>
      <c r="D113" s="227"/>
      <c r="E113" s="225">
        <f t="shared" ref="E113:K118" si="71">D113</f>
        <v>0</v>
      </c>
      <c r="F113" s="225">
        <f t="shared" si="71"/>
        <v>0</v>
      </c>
      <c r="G113" s="225">
        <f t="shared" si="71"/>
        <v>0</v>
      </c>
      <c r="H113" s="225">
        <f t="shared" si="71"/>
        <v>0</v>
      </c>
      <c r="I113" s="225">
        <f t="shared" si="71"/>
        <v>0</v>
      </c>
      <c r="J113" s="225">
        <f t="shared" si="71"/>
        <v>0</v>
      </c>
      <c r="K113" s="237"/>
      <c r="L113" s="237">
        <f t="shared" ref="L113:S118" si="72">K113</f>
        <v>0</v>
      </c>
      <c r="M113" s="237">
        <f t="shared" si="72"/>
        <v>0</v>
      </c>
      <c r="N113" s="237">
        <f t="shared" si="72"/>
        <v>0</v>
      </c>
      <c r="O113" s="237">
        <f t="shared" si="72"/>
        <v>0</v>
      </c>
      <c r="P113" s="237">
        <f t="shared" si="72"/>
        <v>0</v>
      </c>
      <c r="Q113" s="237">
        <f t="shared" si="72"/>
        <v>0</v>
      </c>
      <c r="R113" s="237">
        <f t="shared" si="72"/>
        <v>0</v>
      </c>
      <c r="S113" s="237">
        <f t="shared" si="72"/>
        <v>0</v>
      </c>
      <c r="T113" s="224"/>
      <c r="U113" s="224">
        <f t="shared" si="61"/>
        <v>0</v>
      </c>
      <c r="V113" s="224">
        <f t="shared" si="61"/>
        <v>0</v>
      </c>
      <c r="W113" s="224">
        <f t="shared" si="61"/>
        <v>0</v>
      </c>
      <c r="X113" s="226"/>
      <c r="Y113" s="226">
        <f t="shared" si="62"/>
        <v>0</v>
      </c>
      <c r="Z113" s="226">
        <f t="shared" si="62"/>
        <v>0</v>
      </c>
      <c r="AA113" s="224"/>
      <c r="AB113" s="224"/>
      <c r="AC113" s="224"/>
      <c r="AD113" s="224">
        <f t="shared" si="47"/>
        <v>0</v>
      </c>
      <c r="AE113" s="224"/>
      <c r="AF113" s="224"/>
      <c r="AG113" s="224">
        <f t="shared" si="48"/>
        <v>0</v>
      </c>
      <c r="AH113" s="226"/>
      <c r="AI113" s="226">
        <f t="shared" si="63"/>
        <v>0</v>
      </c>
      <c r="AJ113" s="226">
        <f t="shared" si="63"/>
        <v>0</v>
      </c>
      <c r="AK113" s="226">
        <f t="shared" si="63"/>
        <v>0</v>
      </c>
      <c r="AL113" s="226">
        <f t="shared" si="63"/>
        <v>0</v>
      </c>
      <c r="AM113" s="226">
        <f t="shared" si="63"/>
        <v>0</v>
      </c>
      <c r="AN113" s="235"/>
      <c r="AO113" s="235">
        <f t="shared" si="64"/>
        <v>0</v>
      </c>
      <c r="AP113" s="235">
        <f t="shared" si="64"/>
        <v>0</v>
      </c>
      <c r="AQ113" s="236">
        <f t="shared" si="64"/>
        <v>0</v>
      </c>
      <c r="AR113" s="236">
        <f t="shared" si="64"/>
        <v>0</v>
      </c>
      <c r="AS113" s="236">
        <f t="shared" si="64"/>
        <v>0</v>
      </c>
      <c r="AT113" s="236">
        <f t="shared" si="64"/>
        <v>0</v>
      </c>
      <c r="AU113" s="236">
        <f t="shared" si="64"/>
        <v>0</v>
      </c>
      <c r="AV113" s="236">
        <f t="shared" si="64"/>
        <v>0</v>
      </c>
      <c r="AW113" s="226"/>
      <c r="AX113" s="226">
        <f t="shared" si="65"/>
        <v>0</v>
      </c>
      <c r="AY113" s="226">
        <f t="shared" si="65"/>
        <v>0</v>
      </c>
      <c r="AZ113" s="226">
        <f t="shared" si="65"/>
        <v>0</v>
      </c>
      <c r="BA113" s="226">
        <f t="shared" si="65"/>
        <v>0</v>
      </c>
      <c r="BB113" s="226">
        <f t="shared" si="65"/>
        <v>0</v>
      </c>
      <c r="BC113" s="224"/>
      <c r="BD113" s="224">
        <f t="shared" si="66"/>
        <v>0</v>
      </c>
      <c r="BE113" s="224">
        <f t="shared" si="66"/>
        <v>0</v>
      </c>
      <c r="BF113" s="224">
        <f t="shared" si="66"/>
        <v>0</v>
      </c>
      <c r="BG113" s="224">
        <f t="shared" si="66"/>
        <v>0</v>
      </c>
      <c r="BH113" s="224">
        <f t="shared" si="66"/>
        <v>0</v>
      </c>
      <c r="BI113" s="224">
        <f t="shared" si="66"/>
        <v>0</v>
      </c>
      <c r="BJ113" s="224">
        <f t="shared" si="66"/>
        <v>0</v>
      </c>
      <c r="BK113" s="224">
        <f t="shared" si="66"/>
        <v>0</v>
      </c>
      <c r="BL113" s="224">
        <f t="shared" si="66"/>
        <v>0</v>
      </c>
      <c r="BM113" s="224">
        <f t="shared" si="66"/>
        <v>0</v>
      </c>
      <c r="BN113" s="224">
        <f t="shared" si="66"/>
        <v>0</v>
      </c>
      <c r="BO113" s="224">
        <f t="shared" si="66"/>
        <v>0</v>
      </c>
    </row>
    <row r="114" spans="1:67">
      <c r="A114" s="223">
        <v>1</v>
      </c>
      <c r="B114" s="151" t="s">
        <v>476</v>
      </c>
      <c r="C114" s="223">
        <v>112</v>
      </c>
      <c r="D114" s="224">
        <v>52144400</v>
      </c>
      <c r="E114" s="225">
        <f t="shared" si="71"/>
        <v>52144400</v>
      </c>
      <c r="F114" s="225">
        <f t="shared" si="71"/>
        <v>52144400</v>
      </c>
      <c r="G114" s="225">
        <f t="shared" si="71"/>
        <v>52144400</v>
      </c>
      <c r="H114" s="225">
        <f t="shared" si="71"/>
        <v>52144400</v>
      </c>
      <c r="I114" s="225">
        <f t="shared" si="71"/>
        <v>52144400</v>
      </c>
      <c r="J114" s="225">
        <f t="shared" si="71"/>
        <v>52144400</v>
      </c>
      <c r="K114" s="237">
        <f>J114</f>
        <v>52144400</v>
      </c>
      <c r="L114" s="237">
        <f t="shared" si="72"/>
        <v>52144400</v>
      </c>
      <c r="M114" s="237">
        <f t="shared" si="72"/>
        <v>52144400</v>
      </c>
      <c r="N114" s="237">
        <f t="shared" si="72"/>
        <v>52144400</v>
      </c>
      <c r="O114" s="237">
        <f t="shared" si="72"/>
        <v>52144400</v>
      </c>
      <c r="P114" s="237">
        <f t="shared" si="72"/>
        <v>52144400</v>
      </c>
      <c r="Q114" s="237">
        <f t="shared" si="72"/>
        <v>52144400</v>
      </c>
      <c r="R114" s="237">
        <f t="shared" si="72"/>
        <v>52144400</v>
      </c>
      <c r="S114" s="237">
        <f t="shared" si="72"/>
        <v>52144400</v>
      </c>
      <c r="T114" s="224">
        <v>52144400</v>
      </c>
      <c r="U114" s="224">
        <f t="shared" si="61"/>
        <v>52144400</v>
      </c>
      <c r="V114" s="224">
        <f t="shared" si="61"/>
        <v>52144400</v>
      </c>
      <c r="W114" s="224">
        <f t="shared" si="61"/>
        <v>52144400</v>
      </c>
      <c r="X114" s="226">
        <v>52144400</v>
      </c>
      <c r="Y114" s="226">
        <f t="shared" si="62"/>
        <v>52144400</v>
      </c>
      <c r="Z114" s="226">
        <f t="shared" si="62"/>
        <v>52144400</v>
      </c>
      <c r="AA114" s="224">
        <v>52144400</v>
      </c>
      <c r="AB114" s="224">
        <v>52144400</v>
      </c>
      <c r="AC114" s="224">
        <v>52144400</v>
      </c>
      <c r="AD114" s="224">
        <f t="shared" si="47"/>
        <v>52144400</v>
      </c>
      <c r="AE114" s="224">
        <v>52144400</v>
      </c>
      <c r="AF114" s="224">
        <v>52144400</v>
      </c>
      <c r="AG114" s="224">
        <f t="shared" si="48"/>
        <v>52144400</v>
      </c>
      <c r="AH114" s="226">
        <v>52144400</v>
      </c>
      <c r="AI114" s="226">
        <f t="shared" si="63"/>
        <v>52144400</v>
      </c>
      <c r="AJ114" s="226">
        <f t="shared" si="63"/>
        <v>52144400</v>
      </c>
      <c r="AK114" s="226">
        <f t="shared" si="63"/>
        <v>52144400</v>
      </c>
      <c r="AL114" s="226">
        <f t="shared" si="63"/>
        <v>52144400</v>
      </c>
      <c r="AM114" s="226">
        <f t="shared" si="63"/>
        <v>52144400</v>
      </c>
      <c r="AN114" s="235">
        <v>52144400</v>
      </c>
      <c r="AO114" s="235">
        <f t="shared" si="64"/>
        <v>52144400</v>
      </c>
      <c r="AP114" s="235">
        <f t="shared" si="64"/>
        <v>52144400</v>
      </c>
      <c r="AQ114" s="236">
        <f t="shared" si="64"/>
        <v>52144400</v>
      </c>
      <c r="AR114" s="236">
        <f t="shared" si="64"/>
        <v>52144400</v>
      </c>
      <c r="AS114" s="236">
        <f t="shared" si="64"/>
        <v>52144400</v>
      </c>
      <c r="AT114" s="236">
        <f t="shared" si="64"/>
        <v>52144400</v>
      </c>
      <c r="AU114" s="236">
        <f t="shared" si="64"/>
        <v>52144400</v>
      </c>
      <c r="AV114" s="236">
        <f t="shared" si="64"/>
        <v>52144400</v>
      </c>
      <c r="AW114" s="226">
        <v>52144400</v>
      </c>
      <c r="AX114" s="226">
        <f t="shared" si="65"/>
        <v>52144400</v>
      </c>
      <c r="AY114" s="226">
        <f t="shared" si="65"/>
        <v>52144400</v>
      </c>
      <c r="AZ114" s="226">
        <f t="shared" si="65"/>
        <v>52144400</v>
      </c>
      <c r="BA114" s="226">
        <f t="shared" si="65"/>
        <v>52144400</v>
      </c>
      <c r="BB114" s="226">
        <f t="shared" si="65"/>
        <v>52144400</v>
      </c>
      <c r="BC114" s="224">
        <v>52144400</v>
      </c>
      <c r="BD114" s="224">
        <f t="shared" si="66"/>
        <v>52144400</v>
      </c>
      <c r="BE114" s="224">
        <f t="shared" si="66"/>
        <v>52144400</v>
      </c>
      <c r="BF114" s="224">
        <f t="shared" si="66"/>
        <v>52144400</v>
      </c>
      <c r="BG114" s="224">
        <f t="shared" si="66"/>
        <v>52144400</v>
      </c>
      <c r="BH114" s="224">
        <f t="shared" si="66"/>
        <v>52144400</v>
      </c>
      <c r="BI114" s="224">
        <f t="shared" si="66"/>
        <v>52144400</v>
      </c>
      <c r="BJ114" s="224">
        <f t="shared" si="66"/>
        <v>52144400</v>
      </c>
      <c r="BK114" s="224">
        <f t="shared" si="66"/>
        <v>52144400</v>
      </c>
      <c r="BL114" s="224">
        <f t="shared" si="66"/>
        <v>52144400</v>
      </c>
      <c r="BM114" s="224">
        <f t="shared" si="66"/>
        <v>52144400</v>
      </c>
      <c r="BN114" s="224">
        <f t="shared" si="66"/>
        <v>52144400</v>
      </c>
      <c r="BO114" s="224">
        <f t="shared" si="66"/>
        <v>52144400</v>
      </c>
    </row>
    <row r="115" spans="1:67">
      <c r="A115" s="223">
        <f>A114+1</f>
        <v>2</v>
      </c>
      <c r="B115" s="151" t="s">
        <v>477</v>
      </c>
      <c r="C115" s="223">
        <v>113</v>
      </c>
      <c r="D115" s="224">
        <v>45500000</v>
      </c>
      <c r="E115" s="225">
        <f t="shared" si="71"/>
        <v>45500000</v>
      </c>
      <c r="F115" s="225">
        <f t="shared" si="71"/>
        <v>45500000</v>
      </c>
      <c r="G115" s="225">
        <f t="shared" si="71"/>
        <v>45500000</v>
      </c>
      <c r="H115" s="225">
        <f t="shared" si="71"/>
        <v>45500000</v>
      </c>
      <c r="I115" s="225">
        <f t="shared" si="71"/>
        <v>45500000</v>
      </c>
      <c r="J115" s="225">
        <f t="shared" si="71"/>
        <v>45500000</v>
      </c>
      <c r="K115" s="237">
        <f t="shared" si="71"/>
        <v>45500000</v>
      </c>
      <c r="L115" s="237">
        <f t="shared" si="72"/>
        <v>45500000</v>
      </c>
      <c r="M115" s="237">
        <f t="shared" si="72"/>
        <v>45500000</v>
      </c>
      <c r="N115" s="237">
        <f t="shared" si="72"/>
        <v>45500000</v>
      </c>
      <c r="O115" s="237">
        <f t="shared" si="72"/>
        <v>45500000</v>
      </c>
      <c r="P115" s="237">
        <f t="shared" si="72"/>
        <v>45500000</v>
      </c>
      <c r="Q115" s="237">
        <f t="shared" si="72"/>
        <v>45500000</v>
      </c>
      <c r="R115" s="237">
        <f t="shared" si="72"/>
        <v>45500000</v>
      </c>
      <c r="S115" s="237">
        <f t="shared" si="72"/>
        <v>45500000</v>
      </c>
      <c r="T115" s="224">
        <v>45500000</v>
      </c>
      <c r="U115" s="224">
        <f t="shared" si="61"/>
        <v>45500000</v>
      </c>
      <c r="V115" s="224">
        <f t="shared" si="61"/>
        <v>45500000</v>
      </c>
      <c r="W115" s="224">
        <f t="shared" si="61"/>
        <v>45500000</v>
      </c>
      <c r="X115" s="226">
        <v>45500000</v>
      </c>
      <c r="Y115" s="226">
        <f t="shared" si="62"/>
        <v>45500000</v>
      </c>
      <c r="Z115" s="226">
        <f t="shared" si="62"/>
        <v>45500000</v>
      </c>
      <c r="AA115" s="224">
        <v>45500000</v>
      </c>
      <c r="AB115" s="224">
        <v>45500000</v>
      </c>
      <c r="AC115" s="224">
        <v>45500000</v>
      </c>
      <c r="AD115" s="224">
        <f t="shared" si="47"/>
        <v>45500000</v>
      </c>
      <c r="AE115" s="224">
        <v>45500000</v>
      </c>
      <c r="AF115" s="224">
        <v>45500000</v>
      </c>
      <c r="AG115" s="224">
        <f t="shared" si="48"/>
        <v>45500000</v>
      </c>
      <c r="AH115" s="226">
        <v>45500000</v>
      </c>
      <c r="AI115" s="226">
        <f t="shared" si="63"/>
        <v>45500000</v>
      </c>
      <c r="AJ115" s="226">
        <f t="shared" si="63"/>
        <v>45500000</v>
      </c>
      <c r="AK115" s="226">
        <f t="shared" si="63"/>
        <v>45500000</v>
      </c>
      <c r="AL115" s="226">
        <f t="shared" si="63"/>
        <v>45500000</v>
      </c>
      <c r="AM115" s="226">
        <f t="shared" si="63"/>
        <v>45500000</v>
      </c>
      <c r="AN115" s="235">
        <v>45500000</v>
      </c>
      <c r="AO115" s="235">
        <f t="shared" si="64"/>
        <v>45500000</v>
      </c>
      <c r="AP115" s="235">
        <f t="shared" si="64"/>
        <v>45500000</v>
      </c>
      <c r="AQ115" s="236">
        <f t="shared" si="64"/>
        <v>45500000</v>
      </c>
      <c r="AR115" s="236">
        <f t="shared" si="64"/>
        <v>45500000</v>
      </c>
      <c r="AS115" s="236">
        <f t="shared" si="64"/>
        <v>45500000</v>
      </c>
      <c r="AT115" s="236">
        <f t="shared" si="64"/>
        <v>45500000</v>
      </c>
      <c r="AU115" s="236">
        <f t="shared" si="64"/>
        <v>45500000</v>
      </c>
      <c r="AV115" s="236">
        <f t="shared" si="64"/>
        <v>45500000</v>
      </c>
      <c r="AW115" s="226">
        <v>45500000</v>
      </c>
      <c r="AX115" s="226">
        <f t="shared" si="65"/>
        <v>45500000</v>
      </c>
      <c r="AY115" s="226">
        <f t="shared" si="65"/>
        <v>45500000</v>
      </c>
      <c r="AZ115" s="226">
        <f t="shared" si="65"/>
        <v>45500000</v>
      </c>
      <c r="BA115" s="226">
        <f t="shared" si="65"/>
        <v>45500000</v>
      </c>
      <c r="BB115" s="226">
        <f t="shared" si="65"/>
        <v>45500000</v>
      </c>
      <c r="BC115" s="224">
        <v>45500000</v>
      </c>
      <c r="BD115" s="224">
        <f t="shared" si="66"/>
        <v>45500000</v>
      </c>
      <c r="BE115" s="224">
        <f t="shared" si="66"/>
        <v>45500000</v>
      </c>
      <c r="BF115" s="224">
        <f t="shared" si="66"/>
        <v>45500000</v>
      </c>
      <c r="BG115" s="224">
        <f t="shared" si="66"/>
        <v>45500000</v>
      </c>
      <c r="BH115" s="224">
        <f t="shared" si="66"/>
        <v>45500000</v>
      </c>
      <c r="BI115" s="224">
        <f t="shared" si="66"/>
        <v>45500000</v>
      </c>
      <c r="BJ115" s="224">
        <f t="shared" si="66"/>
        <v>45500000</v>
      </c>
      <c r="BK115" s="224">
        <f t="shared" si="66"/>
        <v>45500000</v>
      </c>
      <c r="BL115" s="224">
        <f t="shared" si="66"/>
        <v>45500000</v>
      </c>
      <c r="BM115" s="224">
        <f t="shared" si="66"/>
        <v>45500000</v>
      </c>
      <c r="BN115" s="224">
        <f t="shared" si="66"/>
        <v>45500000</v>
      </c>
      <c r="BO115" s="224">
        <f t="shared" si="66"/>
        <v>45500000</v>
      </c>
    </row>
    <row r="116" spans="1:67" ht="30">
      <c r="A116" s="223">
        <f>A115+1</f>
        <v>3</v>
      </c>
      <c r="B116" s="228" t="s">
        <v>478</v>
      </c>
      <c r="C116" s="223">
        <v>114</v>
      </c>
      <c r="D116" s="224">
        <f>52144400+0.186*36000000</f>
        <v>58840400</v>
      </c>
      <c r="E116" s="225">
        <f t="shared" si="71"/>
        <v>58840400</v>
      </c>
      <c r="F116" s="225">
        <f t="shared" si="71"/>
        <v>58840400</v>
      </c>
      <c r="G116" s="225">
        <f t="shared" si="71"/>
        <v>58840400</v>
      </c>
      <c r="H116" s="225">
        <f t="shared" si="71"/>
        <v>58840400</v>
      </c>
      <c r="I116" s="225">
        <f t="shared" si="71"/>
        <v>58840400</v>
      </c>
      <c r="J116" s="225">
        <f t="shared" si="71"/>
        <v>58840400</v>
      </c>
      <c r="K116" s="237">
        <f t="shared" si="71"/>
        <v>58840400</v>
      </c>
      <c r="L116" s="237">
        <f t="shared" si="72"/>
        <v>58840400</v>
      </c>
      <c r="M116" s="237">
        <f t="shared" si="72"/>
        <v>58840400</v>
      </c>
      <c r="N116" s="237">
        <f t="shared" si="72"/>
        <v>58840400</v>
      </c>
      <c r="O116" s="237">
        <f t="shared" si="72"/>
        <v>58840400</v>
      </c>
      <c r="P116" s="237">
        <f t="shared" si="72"/>
        <v>58840400</v>
      </c>
      <c r="Q116" s="237">
        <f t="shared" si="72"/>
        <v>58840400</v>
      </c>
      <c r="R116" s="237">
        <f t="shared" si="72"/>
        <v>58840400</v>
      </c>
      <c r="S116" s="237">
        <f t="shared" si="72"/>
        <v>58840400</v>
      </c>
      <c r="T116" s="224">
        <f>52144400+0.186*36000000</f>
        <v>58840400</v>
      </c>
      <c r="U116" s="224">
        <f t="shared" si="61"/>
        <v>58840400</v>
      </c>
      <c r="V116" s="224">
        <f t="shared" si="61"/>
        <v>58840400</v>
      </c>
      <c r="W116" s="224">
        <f t="shared" si="61"/>
        <v>58840400</v>
      </c>
      <c r="X116" s="226">
        <v>58840400</v>
      </c>
      <c r="Y116" s="226">
        <f t="shared" si="62"/>
        <v>58840400</v>
      </c>
      <c r="Z116" s="226">
        <f t="shared" si="62"/>
        <v>58840400</v>
      </c>
      <c r="AA116" s="224">
        <f>52144400+0.186*36000000</f>
        <v>58840400</v>
      </c>
      <c r="AB116" s="224">
        <f>52144400+0.186*36000000</f>
        <v>58840400</v>
      </c>
      <c r="AC116" s="224">
        <f>52144400+0.186*36000000</f>
        <v>58840400</v>
      </c>
      <c r="AD116" s="224">
        <f t="shared" si="47"/>
        <v>58840400</v>
      </c>
      <c r="AE116" s="224">
        <f>52144400+0.186*36000000</f>
        <v>58840400</v>
      </c>
      <c r="AF116" s="224">
        <f>52144400+0.186*36000000</f>
        <v>58840400</v>
      </c>
      <c r="AG116" s="224">
        <f t="shared" si="48"/>
        <v>58840400</v>
      </c>
      <c r="AH116" s="226">
        <f>52144400+0.186*36000000</f>
        <v>58840400</v>
      </c>
      <c r="AI116" s="226">
        <f t="shared" si="63"/>
        <v>58840400</v>
      </c>
      <c r="AJ116" s="226">
        <f t="shared" si="63"/>
        <v>58840400</v>
      </c>
      <c r="AK116" s="226">
        <f t="shared" si="63"/>
        <v>58840400</v>
      </c>
      <c r="AL116" s="226">
        <f t="shared" si="63"/>
        <v>58840400</v>
      </c>
      <c r="AM116" s="226">
        <f t="shared" si="63"/>
        <v>58840400</v>
      </c>
      <c r="AN116" s="235">
        <f>52144400+0.186*36000000</f>
        <v>58840400</v>
      </c>
      <c r="AO116" s="235">
        <f t="shared" si="64"/>
        <v>58840400</v>
      </c>
      <c r="AP116" s="235">
        <f t="shared" si="64"/>
        <v>58840400</v>
      </c>
      <c r="AQ116" s="236">
        <f t="shared" si="64"/>
        <v>58840400</v>
      </c>
      <c r="AR116" s="236">
        <f t="shared" si="64"/>
        <v>58840400</v>
      </c>
      <c r="AS116" s="236">
        <f t="shared" si="64"/>
        <v>58840400</v>
      </c>
      <c r="AT116" s="236">
        <f t="shared" si="64"/>
        <v>58840400</v>
      </c>
      <c r="AU116" s="236">
        <f t="shared" si="64"/>
        <v>58840400</v>
      </c>
      <c r="AV116" s="236">
        <f t="shared" si="64"/>
        <v>58840400</v>
      </c>
      <c r="AW116" s="226">
        <f>52144400+0.186*36000000</f>
        <v>58840400</v>
      </c>
      <c r="AX116" s="226">
        <f t="shared" si="65"/>
        <v>58840400</v>
      </c>
      <c r="AY116" s="226">
        <f t="shared" si="65"/>
        <v>58840400</v>
      </c>
      <c r="AZ116" s="226">
        <f t="shared" si="65"/>
        <v>58840400</v>
      </c>
      <c r="BA116" s="226">
        <f t="shared" si="65"/>
        <v>58840400</v>
      </c>
      <c r="BB116" s="226">
        <f t="shared" si="65"/>
        <v>58840400</v>
      </c>
      <c r="BC116" s="224">
        <f>52144400+0.186*36000000</f>
        <v>58840400</v>
      </c>
      <c r="BD116" s="224">
        <f t="shared" si="66"/>
        <v>58840400</v>
      </c>
      <c r="BE116" s="224">
        <f t="shared" si="66"/>
        <v>58840400</v>
      </c>
      <c r="BF116" s="224">
        <f t="shared" si="66"/>
        <v>58840400</v>
      </c>
      <c r="BG116" s="224">
        <f t="shared" si="66"/>
        <v>58840400</v>
      </c>
      <c r="BH116" s="224">
        <f t="shared" si="66"/>
        <v>58840400</v>
      </c>
      <c r="BI116" s="224">
        <f t="shared" si="66"/>
        <v>58840400</v>
      </c>
      <c r="BJ116" s="224">
        <f t="shared" si="66"/>
        <v>58840400</v>
      </c>
      <c r="BK116" s="224">
        <f t="shared" si="66"/>
        <v>58840400</v>
      </c>
      <c r="BL116" s="224">
        <f t="shared" si="66"/>
        <v>58840400</v>
      </c>
      <c r="BM116" s="224">
        <f t="shared" si="66"/>
        <v>58840400</v>
      </c>
      <c r="BN116" s="224">
        <f t="shared" si="66"/>
        <v>58840400</v>
      </c>
      <c r="BO116" s="224">
        <f t="shared" si="66"/>
        <v>58840400</v>
      </c>
    </row>
    <row r="117" spans="1:67" ht="30">
      <c r="A117" s="223">
        <f>A116+1</f>
        <v>4</v>
      </c>
      <c r="B117" s="228" t="s">
        <v>479</v>
      </c>
      <c r="C117" s="223">
        <v>115</v>
      </c>
      <c r="D117" s="224">
        <v>25223472</v>
      </c>
      <c r="E117" s="225">
        <f t="shared" si="71"/>
        <v>25223472</v>
      </c>
      <c r="F117" s="225">
        <f t="shared" si="71"/>
        <v>25223472</v>
      </c>
      <c r="G117" s="225">
        <f t="shared" si="71"/>
        <v>25223472</v>
      </c>
      <c r="H117" s="225">
        <f t="shared" si="71"/>
        <v>25223472</v>
      </c>
      <c r="I117" s="225">
        <f t="shared" si="71"/>
        <v>25223472</v>
      </c>
      <c r="J117" s="225">
        <f t="shared" si="71"/>
        <v>25223472</v>
      </c>
      <c r="K117" s="237">
        <f t="shared" si="71"/>
        <v>25223472</v>
      </c>
      <c r="L117" s="237">
        <f t="shared" si="72"/>
        <v>25223472</v>
      </c>
      <c r="M117" s="237">
        <f t="shared" si="72"/>
        <v>25223472</v>
      </c>
      <c r="N117" s="237">
        <f t="shared" si="72"/>
        <v>25223472</v>
      </c>
      <c r="O117" s="237">
        <f t="shared" si="72"/>
        <v>25223472</v>
      </c>
      <c r="P117" s="237">
        <f t="shared" si="72"/>
        <v>25223472</v>
      </c>
      <c r="Q117" s="237">
        <f t="shared" si="72"/>
        <v>25223472</v>
      </c>
      <c r="R117" s="237">
        <f t="shared" si="72"/>
        <v>25223472</v>
      </c>
      <c r="S117" s="237">
        <f t="shared" si="72"/>
        <v>25223472</v>
      </c>
      <c r="T117" s="224">
        <v>25223472</v>
      </c>
      <c r="U117" s="224">
        <f t="shared" si="61"/>
        <v>25223472</v>
      </c>
      <c r="V117" s="224">
        <f t="shared" si="61"/>
        <v>25223472</v>
      </c>
      <c r="W117" s="224">
        <f t="shared" si="61"/>
        <v>25223472</v>
      </c>
      <c r="X117" s="226">
        <v>25223472</v>
      </c>
      <c r="Y117" s="226">
        <f t="shared" si="62"/>
        <v>25223472</v>
      </c>
      <c r="Z117" s="226">
        <f t="shared" si="62"/>
        <v>25223472</v>
      </c>
      <c r="AA117" s="224">
        <v>25223472</v>
      </c>
      <c r="AB117" s="224">
        <v>25223472</v>
      </c>
      <c r="AC117" s="224">
        <v>25223472</v>
      </c>
      <c r="AD117" s="224">
        <f t="shared" si="47"/>
        <v>25223472</v>
      </c>
      <c r="AE117" s="224">
        <v>25223472</v>
      </c>
      <c r="AF117" s="224">
        <v>25223472</v>
      </c>
      <c r="AG117" s="224">
        <f t="shared" si="48"/>
        <v>25223472</v>
      </c>
      <c r="AH117" s="226">
        <v>25223472</v>
      </c>
      <c r="AI117" s="226">
        <f t="shared" si="63"/>
        <v>25223472</v>
      </c>
      <c r="AJ117" s="226">
        <f t="shared" si="63"/>
        <v>25223472</v>
      </c>
      <c r="AK117" s="226">
        <f t="shared" si="63"/>
        <v>25223472</v>
      </c>
      <c r="AL117" s="226">
        <f t="shared" si="63"/>
        <v>25223472</v>
      </c>
      <c r="AM117" s="226">
        <f t="shared" si="63"/>
        <v>25223472</v>
      </c>
      <c r="AN117" s="235">
        <v>25223472</v>
      </c>
      <c r="AO117" s="235">
        <f t="shared" si="64"/>
        <v>25223472</v>
      </c>
      <c r="AP117" s="235">
        <f t="shared" si="64"/>
        <v>25223472</v>
      </c>
      <c r="AQ117" s="236">
        <f t="shared" si="64"/>
        <v>25223472</v>
      </c>
      <c r="AR117" s="236">
        <f t="shared" si="64"/>
        <v>25223472</v>
      </c>
      <c r="AS117" s="236">
        <f t="shared" si="64"/>
        <v>25223472</v>
      </c>
      <c r="AT117" s="236">
        <f t="shared" si="64"/>
        <v>25223472</v>
      </c>
      <c r="AU117" s="236">
        <f t="shared" si="64"/>
        <v>25223472</v>
      </c>
      <c r="AV117" s="236">
        <f t="shared" si="64"/>
        <v>25223472</v>
      </c>
      <c r="AW117" s="226">
        <v>25223472</v>
      </c>
      <c r="AX117" s="226">
        <f t="shared" si="65"/>
        <v>25223472</v>
      </c>
      <c r="AY117" s="226">
        <f t="shared" si="65"/>
        <v>25223472</v>
      </c>
      <c r="AZ117" s="226">
        <f t="shared" si="65"/>
        <v>25223472</v>
      </c>
      <c r="BA117" s="226">
        <f t="shared" si="65"/>
        <v>25223472</v>
      </c>
      <c r="BB117" s="226">
        <f t="shared" si="65"/>
        <v>25223472</v>
      </c>
      <c r="BC117" s="224">
        <v>25223472</v>
      </c>
      <c r="BD117" s="224">
        <f t="shared" si="66"/>
        <v>25223472</v>
      </c>
      <c r="BE117" s="224">
        <f t="shared" si="66"/>
        <v>25223472</v>
      </c>
      <c r="BF117" s="224">
        <f t="shared" si="66"/>
        <v>25223472</v>
      </c>
      <c r="BG117" s="224">
        <f t="shared" si="66"/>
        <v>25223472</v>
      </c>
      <c r="BH117" s="224">
        <f t="shared" si="66"/>
        <v>25223472</v>
      </c>
      <c r="BI117" s="224">
        <f t="shared" si="66"/>
        <v>25223472</v>
      </c>
      <c r="BJ117" s="224">
        <f t="shared" si="66"/>
        <v>25223472</v>
      </c>
      <c r="BK117" s="224">
        <f t="shared" si="66"/>
        <v>25223472</v>
      </c>
      <c r="BL117" s="224">
        <f t="shared" si="66"/>
        <v>25223472</v>
      </c>
      <c r="BM117" s="224">
        <f t="shared" si="66"/>
        <v>25223472</v>
      </c>
      <c r="BN117" s="224">
        <f t="shared" si="66"/>
        <v>25223472</v>
      </c>
      <c r="BO117" s="224">
        <f t="shared" si="66"/>
        <v>25223472</v>
      </c>
    </row>
    <row r="118" spans="1:67" ht="30">
      <c r="A118" s="223">
        <f>A117+1</f>
        <v>5</v>
      </c>
      <c r="B118" s="228" t="s">
        <v>480</v>
      </c>
      <c r="C118" s="223">
        <v>116</v>
      </c>
      <c r="D118" s="224">
        <f>(3*2*4+8)*600000</f>
        <v>19200000</v>
      </c>
      <c r="E118" s="225">
        <f t="shared" si="71"/>
        <v>19200000</v>
      </c>
      <c r="F118" s="225">
        <f t="shared" si="71"/>
        <v>19200000</v>
      </c>
      <c r="G118" s="225">
        <f t="shared" si="71"/>
        <v>19200000</v>
      </c>
      <c r="H118" s="225">
        <f t="shared" si="71"/>
        <v>19200000</v>
      </c>
      <c r="I118" s="225">
        <f t="shared" si="71"/>
        <v>19200000</v>
      </c>
      <c r="J118" s="225">
        <f t="shared" si="71"/>
        <v>19200000</v>
      </c>
      <c r="K118" s="237">
        <f t="shared" si="71"/>
        <v>19200000</v>
      </c>
      <c r="L118" s="237">
        <f t="shared" si="72"/>
        <v>19200000</v>
      </c>
      <c r="M118" s="237">
        <f t="shared" si="72"/>
        <v>19200000</v>
      </c>
      <c r="N118" s="237">
        <f t="shared" si="72"/>
        <v>19200000</v>
      </c>
      <c r="O118" s="237">
        <f t="shared" si="72"/>
        <v>19200000</v>
      </c>
      <c r="P118" s="237">
        <f t="shared" si="72"/>
        <v>19200000</v>
      </c>
      <c r="Q118" s="237">
        <f t="shared" si="72"/>
        <v>19200000</v>
      </c>
      <c r="R118" s="237">
        <f t="shared" si="72"/>
        <v>19200000</v>
      </c>
      <c r="S118" s="237">
        <f t="shared" si="72"/>
        <v>19200000</v>
      </c>
      <c r="T118" s="224">
        <f>(3*2*4+8)*600000</f>
        <v>19200000</v>
      </c>
      <c r="U118" s="224">
        <f t="shared" si="61"/>
        <v>19200000</v>
      </c>
      <c r="V118" s="224">
        <f t="shared" si="61"/>
        <v>19200000</v>
      </c>
      <c r="W118" s="224">
        <f t="shared" si="61"/>
        <v>19200000</v>
      </c>
      <c r="X118" s="226">
        <v>19200000</v>
      </c>
      <c r="Y118" s="226">
        <f t="shared" si="62"/>
        <v>19200000</v>
      </c>
      <c r="Z118" s="226">
        <f t="shared" si="62"/>
        <v>19200000</v>
      </c>
      <c r="AA118" s="224">
        <f>(3*2*4+8)*600000</f>
        <v>19200000</v>
      </c>
      <c r="AB118" s="224">
        <f>(3*2*4+8)*600000</f>
        <v>19200000</v>
      </c>
      <c r="AC118" s="224">
        <f>(3*2*4+8)*600000</f>
        <v>19200000</v>
      </c>
      <c r="AD118" s="224">
        <f t="shared" si="47"/>
        <v>19200000</v>
      </c>
      <c r="AE118" s="224">
        <f>(3*2*4+8)*600000</f>
        <v>19200000</v>
      </c>
      <c r="AF118" s="224">
        <f>(3*2*4+8)*600000</f>
        <v>19200000</v>
      </c>
      <c r="AG118" s="224">
        <f t="shared" si="48"/>
        <v>19200000</v>
      </c>
      <c r="AH118" s="226">
        <f>(3*2*4+8)*600000</f>
        <v>19200000</v>
      </c>
      <c r="AI118" s="226">
        <f t="shared" si="63"/>
        <v>19200000</v>
      </c>
      <c r="AJ118" s="226">
        <f t="shared" si="63"/>
        <v>19200000</v>
      </c>
      <c r="AK118" s="226">
        <f t="shared" si="63"/>
        <v>19200000</v>
      </c>
      <c r="AL118" s="226">
        <f t="shared" si="63"/>
        <v>19200000</v>
      </c>
      <c r="AM118" s="226">
        <f t="shared" si="63"/>
        <v>19200000</v>
      </c>
      <c r="AN118" s="235">
        <f>(3*2*4+8)*600000</f>
        <v>19200000</v>
      </c>
      <c r="AO118" s="235">
        <f t="shared" si="64"/>
        <v>19200000</v>
      </c>
      <c r="AP118" s="235">
        <f t="shared" si="64"/>
        <v>19200000</v>
      </c>
      <c r="AQ118" s="236">
        <f t="shared" si="64"/>
        <v>19200000</v>
      </c>
      <c r="AR118" s="236">
        <f t="shared" si="64"/>
        <v>19200000</v>
      </c>
      <c r="AS118" s="236">
        <f t="shared" si="64"/>
        <v>19200000</v>
      </c>
      <c r="AT118" s="236">
        <f t="shared" si="64"/>
        <v>19200000</v>
      </c>
      <c r="AU118" s="236">
        <f t="shared" si="64"/>
        <v>19200000</v>
      </c>
      <c r="AV118" s="236">
        <f t="shared" si="64"/>
        <v>19200000</v>
      </c>
      <c r="AW118" s="226">
        <f>(3*2*4+8)*600000</f>
        <v>19200000</v>
      </c>
      <c r="AX118" s="226">
        <f t="shared" si="65"/>
        <v>19200000</v>
      </c>
      <c r="AY118" s="226">
        <f t="shared" si="65"/>
        <v>19200000</v>
      </c>
      <c r="AZ118" s="226">
        <f t="shared" si="65"/>
        <v>19200000</v>
      </c>
      <c r="BA118" s="226">
        <f t="shared" si="65"/>
        <v>19200000</v>
      </c>
      <c r="BB118" s="226">
        <f t="shared" si="65"/>
        <v>19200000</v>
      </c>
      <c r="BC118" s="224">
        <f>(3*2*4+8)*600000</f>
        <v>19200000</v>
      </c>
      <c r="BD118" s="224">
        <f t="shared" si="66"/>
        <v>19200000</v>
      </c>
      <c r="BE118" s="224">
        <f t="shared" si="66"/>
        <v>19200000</v>
      </c>
      <c r="BF118" s="224">
        <f t="shared" si="66"/>
        <v>19200000</v>
      </c>
      <c r="BG118" s="224">
        <f t="shared" si="66"/>
        <v>19200000</v>
      </c>
      <c r="BH118" s="224">
        <f t="shared" si="66"/>
        <v>19200000</v>
      </c>
      <c r="BI118" s="224">
        <f t="shared" si="66"/>
        <v>19200000</v>
      </c>
      <c r="BJ118" s="224">
        <f t="shared" si="66"/>
        <v>19200000</v>
      </c>
      <c r="BK118" s="224">
        <f t="shared" si="66"/>
        <v>19200000</v>
      </c>
      <c r="BL118" s="224">
        <f t="shared" si="66"/>
        <v>19200000</v>
      </c>
      <c r="BM118" s="224">
        <f t="shared" si="66"/>
        <v>19200000</v>
      </c>
      <c r="BN118" s="224">
        <f t="shared" si="66"/>
        <v>19200000</v>
      </c>
      <c r="BO118" s="224">
        <f t="shared" si="66"/>
        <v>19200000</v>
      </c>
    </row>
    <row r="119" spans="1:67">
      <c r="A119" s="229" t="s">
        <v>222</v>
      </c>
      <c r="B119" s="230" t="s">
        <v>113</v>
      </c>
      <c r="C119" s="223">
        <v>117</v>
      </c>
      <c r="D119" s="224"/>
      <c r="E119" s="225"/>
      <c r="F119" s="225"/>
      <c r="G119" s="225"/>
      <c r="H119" s="225"/>
      <c r="I119" s="225"/>
      <c r="J119" s="225"/>
      <c r="K119" s="237"/>
      <c r="L119" s="237">
        <f t="shared" ref="L119:S132" si="73">K119</f>
        <v>0</v>
      </c>
      <c r="M119" s="237">
        <f t="shared" si="73"/>
        <v>0</v>
      </c>
      <c r="N119" s="237">
        <f t="shared" si="73"/>
        <v>0</v>
      </c>
      <c r="O119" s="237">
        <f t="shared" si="73"/>
        <v>0</v>
      </c>
      <c r="P119" s="237">
        <f t="shared" si="73"/>
        <v>0</v>
      </c>
      <c r="Q119" s="237">
        <f t="shared" si="73"/>
        <v>0</v>
      </c>
      <c r="R119" s="237">
        <f t="shared" si="73"/>
        <v>0</v>
      </c>
      <c r="S119" s="237">
        <f t="shared" si="73"/>
        <v>0</v>
      </c>
      <c r="T119" s="224"/>
      <c r="U119" s="224">
        <f t="shared" si="61"/>
        <v>0</v>
      </c>
      <c r="V119" s="224">
        <f t="shared" si="61"/>
        <v>0</v>
      </c>
      <c r="W119" s="224">
        <f t="shared" si="61"/>
        <v>0</v>
      </c>
      <c r="X119" s="226"/>
      <c r="Y119" s="226">
        <f t="shared" si="62"/>
        <v>0</v>
      </c>
      <c r="Z119" s="226">
        <f t="shared" si="62"/>
        <v>0</v>
      </c>
      <c r="AA119" s="224"/>
      <c r="AB119" s="224"/>
      <c r="AC119" s="224"/>
      <c r="AD119" s="224">
        <f t="shared" si="47"/>
        <v>0</v>
      </c>
      <c r="AE119" s="224"/>
      <c r="AF119" s="224"/>
      <c r="AG119" s="224">
        <f t="shared" si="48"/>
        <v>0</v>
      </c>
      <c r="AH119" s="226"/>
      <c r="AI119" s="226">
        <f t="shared" si="63"/>
        <v>0</v>
      </c>
      <c r="AJ119" s="226">
        <f t="shared" si="63"/>
        <v>0</v>
      </c>
      <c r="AK119" s="226">
        <f t="shared" si="63"/>
        <v>0</v>
      </c>
      <c r="AL119" s="226">
        <f t="shared" si="63"/>
        <v>0</v>
      </c>
      <c r="AM119" s="226">
        <f t="shared" si="63"/>
        <v>0</v>
      </c>
      <c r="AN119" s="235"/>
      <c r="AO119" s="235">
        <f t="shared" si="64"/>
        <v>0</v>
      </c>
      <c r="AP119" s="235">
        <f t="shared" si="64"/>
        <v>0</v>
      </c>
      <c r="AQ119" s="236">
        <f t="shared" si="64"/>
        <v>0</v>
      </c>
      <c r="AR119" s="236">
        <f t="shared" si="64"/>
        <v>0</v>
      </c>
      <c r="AS119" s="236">
        <f t="shared" si="64"/>
        <v>0</v>
      </c>
      <c r="AT119" s="236">
        <f t="shared" si="64"/>
        <v>0</v>
      </c>
      <c r="AU119" s="236">
        <f t="shared" si="64"/>
        <v>0</v>
      </c>
      <c r="AV119" s="236">
        <f t="shared" si="64"/>
        <v>0</v>
      </c>
      <c r="AW119" s="226"/>
      <c r="AX119" s="226">
        <f t="shared" si="65"/>
        <v>0</v>
      </c>
      <c r="AY119" s="226">
        <f t="shared" si="65"/>
        <v>0</v>
      </c>
      <c r="AZ119" s="226">
        <f t="shared" si="65"/>
        <v>0</v>
      </c>
      <c r="BA119" s="226">
        <f t="shared" si="65"/>
        <v>0</v>
      </c>
      <c r="BB119" s="226">
        <f t="shared" si="65"/>
        <v>0</v>
      </c>
      <c r="BC119" s="224"/>
      <c r="BD119" s="224">
        <f t="shared" si="66"/>
        <v>0</v>
      </c>
      <c r="BE119" s="224">
        <f t="shared" si="66"/>
        <v>0</v>
      </c>
      <c r="BF119" s="224">
        <f t="shared" si="66"/>
        <v>0</v>
      </c>
      <c r="BG119" s="224">
        <f t="shared" si="66"/>
        <v>0</v>
      </c>
      <c r="BH119" s="224">
        <f t="shared" si="66"/>
        <v>0</v>
      </c>
      <c r="BI119" s="224">
        <f t="shared" si="66"/>
        <v>0</v>
      </c>
      <c r="BJ119" s="224">
        <f t="shared" si="66"/>
        <v>0</v>
      </c>
      <c r="BK119" s="224">
        <f t="shared" si="66"/>
        <v>0</v>
      </c>
      <c r="BL119" s="224">
        <f t="shared" si="66"/>
        <v>0</v>
      </c>
      <c r="BM119" s="224">
        <f t="shared" si="66"/>
        <v>0</v>
      </c>
      <c r="BN119" s="224">
        <f t="shared" si="66"/>
        <v>0</v>
      </c>
      <c r="BO119" s="224">
        <f t="shared" si="66"/>
        <v>0</v>
      </c>
    </row>
    <row r="120" spans="1:67">
      <c r="A120" s="223">
        <v>1</v>
      </c>
      <c r="B120" s="151" t="s">
        <v>144</v>
      </c>
      <c r="C120" s="223">
        <v>118</v>
      </c>
      <c r="D120" s="224">
        <v>6716483.8084925003</v>
      </c>
      <c r="E120" s="225">
        <f t="shared" ref="E120:S135" si="74">D120</f>
        <v>6716483.8084925003</v>
      </c>
      <c r="F120" s="225">
        <f t="shared" si="74"/>
        <v>6716483.8084925003</v>
      </c>
      <c r="G120" s="225">
        <f t="shared" si="74"/>
        <v>6716483.8084925003</v>
      </c>
      <c r="H120" s="225">
        <f t="shared" si="74"/>
        <v>6716483.8084925003</v>
      </c>
      <c r="I120" s="225">
        <f t="shared" si="74"/>
        <v>6716483.8084925003</v>
      </c>
      <c r="J120" s="225">
        <f t="shared" si="74"/>
        <v>6716483.8084925003</v>
      </c>
      <c r="K120" s="237">
        <f>J120</f>
        <v>6716483.8084925003</v>
      </c>
      <c r="L120" s="237">
        <f t="shared" si="73"/>
        <v>6716483.8084925003</v>
      </c>
      <c r="M120" s="237">
        <f t="shared" si="73"/>
        <v>6716483.8084925003</v>
      </c>
      <c r="N120" s="237">
        <f t="shared" si="73"/>
        <v>6716483.8084925003</v>
      </c>
      <c r="O120" s="237">
        <f t="shared" si="73"/>
        <v>6716483.8084925003</v>
      </c>
      <c r="P120" s="237">
        <f t="shared" si="73"/>
        <v>6716483.8084925003</v>
      </c>
      <c r="Q120" s="237">
        <f t="shared" si="73"/>
        <v>6716483.8084925003</v>
      </c>
      <c r="R120" s="237">
        <f t="shared" si="73"/>
        <v>6716483.8084925003</v>
      </c>
      <c r="S120" s="237">
        <f t="shared" si="73"/>
        <v>6716483.8084925003</v>
      </c>
      <c r="T120" s="224">
        <v>6716483.8084925003</v>
      </c>
      <c r="U120" s="224">
        <f t="shared" si="61"/>
        <v>6716483.8084925003</v>
      </c>
      <c r="V120" s="224">
        <f t="shared" si="61"/>
        <v>6716483.8084925003</v>
      </c>
      <c r="W120" s="224">
        <f t="shared" si="61"/>
        <v>6716483.8084925003</v>
      </c>
      <c r="X120" s="226">
        <v>6716483.8084925003</v>
      </c>
      <c r="Y120" s="226">
        <f t="shared" si="62"/>
        <v>6716483.8084925003</v>
      </c>
      <c r="Z120" s="226">
        <f t="shared" si="62"/>
        <v>6716483.8084925003</v>
      </c>
      <c r="AA120" s="224">
        <v>6716483.8084925003</v>
      </c>
      <c r="AB120" s="224">
        <v>6716483.8084925003</v>
      </c>
      <c r="AC120" s="224">
        <v>6716483.8084925003</v>
      </c>
      <c r="AD120" s="224">
        <f t="shared" si="47"/>
        <v>6716483.8084925003</v>
      </c>
      <c r="AE120" s="224">
        <v>6716483.8084925003</v>
      </c>
      <c r="AF120" s="224">
        <v>6716483.8084925003</v>
      </c>
      <c r="AG120" s="224">
        <f t="shared" si="48"/>
        <v>6716483.8084925003</v>
      </c>
      <c r="AH120" s="226">
        <v>6754049.4845669996</v>
      </c>
      <c r="AI120" s="226">
        <f t="shared" si="63"/>
        <v>6754049.4845669996</v>
      </c>
      <c r="AJ120" s="226">
        <f t="shared" si="63"/>
        <v>6754049.4845669996</v>
      </c>
      <c r="AK120" s="226">
        <f t="shared" si="63"/>
        <v>6754049.4845669996</v>
      </c>
      <c r="AL120" s="226">
        <f t="shared" si="63"/>
        <v>6754049.4845669996</v>
      </c>
      <c r="AM120" s="226">
        <f t="shared" si="63"/>
        <v>6754049.4845669996</v>
      </c>
      <c r="AN120" s="235">
        <v>6754049.4845669996</v>
      </c>
      <c r="AO120" s="235">
        <f t="shared" si="64"/>
        <v>6754049.4845669996</v>
      </c>
      <c r="AP120" s="235">
        <f t="shared" si="64"/>
        <v>6754049.4845669996</v>
      </c>
      <c r="AQ120" s="236">
        <f t="shared" si="64"/>
        <v>6754049.4845669996</v>
      </c>
      <c r="AR120" s="236">
        <f t="shared" si="64"/>
        <v>6754049.4845669996</v>
      </c>
      <c r="AS120" s="236">
        <f t="shared" si="64"/>
        <v>6754049.4845669996</v>
      </c>
      <c r="AT120" s="236">
        <f t="shared" si="64"/>
        <v>6754049.4845669996</v>
      </c>
      <c r="AU120" s="236">
        <f t="shared" si="64"/>
        <v>6754049.4845669996</v>
      </c>
      <c r="AV120" s="236">
        <f t="shared" si="64"/>
        <v>6754049.4845669996</v>
      </c>
      <c r="AW120" s="226">
        <v>6732028.2261784999</v>
      </c>
      <c r="AX120" s="226">
        <f t="shared" si="65"/>
        <v>6732028.2261784999</v>
      </c>
      <c r="AY120" s="226">
        <f t="shared" si="65"/>
        <v>6732028.2261784999</v>
      </c>
      <c r="AZ120" s="226">
        <f t="shared" si="65"/>
        <v>6732028.2261784999</v>
      </c>
      <c r="BA120" s="226">
        <f t="shared" si="65"/>
        <v>6732028.2261784999</v>
      </c>
      <c r="BB120" s="226">
        <f t="shared" si="65"/>
        <v>6732028.2261784999</v>
      </c>
      <c r="BC120" s="226">
        <v>6732028.2261784999</v>
      </c>
      <c r="BD120" s="224">
        <f t="shared" si="66"/>
        <v>6732028.2261784999</v>
      </c>
      <c r="BE120" s="224">
        <f t="shared" si="66"/>
        <v>6732028.2261784999</v>
      </c>
      <c r="BF120" s="224">
        <f t="shared" si="66"/>
        <v>6732028.2261784999</v>
      </c>
      <c r="BG120" s="224">
        <f t="shared" si="66"/>
        <v>6732028.2261784999</v>
      </c>
      <c r="BH120" s="224">
        <f t="shared" si="66"/>
        <v>6732028.2261784999</v>
      </c>
      <c r="BI120" s="224">
        <f t="shared" si="66"/>
        <v>6732028.2261784999</v>
      </c>
      <c r="BJ120" s="224">
        <f t="shared" si="66"/>
        <v>6732028.2261784999</v>
      </c>
      <c r="BK120" s="224">
        <f t="shared" si="66"/>
        <v>6732028.2261784999</v>
      </c>
      <c r="BL120" s="224">
        <f t="shared" si="66"/>
        <v>6732028.2261784999</v>
      </c>
      <c r="BM120" s="224">
        <f t="shared" si="66"/>
        <v>6732028.2261784999</v>
      </c>
      <c r="BN120" s="224">
        <f t="shared" si="66"/>
        <v>6732028.2261784999</v>
      </c>
      <c r="BO120" s="224">
        <f t="shared" si="66"/>
        <v>6732028.2261784999</v>
      </c>
    </row>
    <row r="121" spans="1:67">
      <c r="A121" s="223">
        <f>A120+1</f>
        <v>2</v>
      </c>
      <c r="B121" s="151" t="s">
        <v>145</v>
      </c>
      <c r="C121" s="223">
        <v>119</v>
      </c>
      <c r="D121" s="224">
        <v>9481898.2978433501</v>
      </c>
      <c r="E121" s="225">
        <f t="shared" si="74"/>
        <v>9481898.2978433501</v>
      </c>
      <c r="F121" s="225">
        <f t="shared" si="74"/>
        <v>9481898.2978433501</v>
      </c>
      <c r="G121" s="225">
        <f t="shared" si="74"/>
        <v>9481898.2978433501</v>
      </c>
      <c r="H121" s="225">
        <f t="shared" si="74"/>
        <v>9481898.2978433501</v>
      </c>
      <c r="I121" s="225">
        <f t="shared" si="74"/>
        <v>9481898.2978433501</v>
      </c>
      <c r="J121" s="225">
        <f t="shared" si="74"/>
        <v>9481898.2978433501</v>
      </c>
      <c r="K121" s="237">
        <f t="shared" si="74"/>
        <v>9481898.2978433501</v>
      </c>
      <c r="L121" s="237">
        <f t="shared" si="73"/>
        <v>9481898.2978433501</v>
      </c>
      <c r="M121" s="237">
        <f t="shared" si="73"/>
        <v>9481898.2978433501</v>
      </c>
      <c r="N121" s="237">
        <f t="shared" si="73"/>
        <v>9481898.2978433501</v>
      </c>
      <c r="O121" s="237">
        <f t="shared" si="73"/>
        <v>9481898.2978433501</v>
      </c>
      <c r="P121" s="237">
        <f t="shared" si="73"/>
        <v>9481898.2978433501</v>
      </c>
      <c r="Q121" s="237">
        <f t="shared" si="73"/>
        <v>9481898.2978433501</v>
      </c>
      <c r="R121" s="237">
        <f t="shared" si="73"/>
        <v>9481898.2978433501</v>
      </c>
      <c r="S121" s="237">
        <f t="shared" si="73"/>
        <v>9481898.2978433501</v>
      </c>
      <c r="T121" s="224">
        <v>9481898.2978433501</v>
      </c>
      <c r="U121" s="224">
        <f t="shared" si="61"/>
        <v>9481898.2978433501</v>
      </c>
      <c r="V121" s="224">
        <f t="shared" si="61"/>
        <v>9481898.2978433501</v>
      </c>
      <c r="W121" s="224">
        <f t="shared" si="61"/>
        <v>9481898.2978433501</v>
      </c>
      <c r="X121" s="226">
        <v>9481898.2978433501</v>
      </c>
      <c r="Y121" s="226">
        <f t="shared" si="62"/>
        <v>9481898.2978433501</v>
      </c>
      <c r="Z121" s="226">
        <f t="shared" si="62"/>
        <v>9481898.2978433501</v>
      </c>
      <c r="AA121" s="224">
        <v>9481898.2978433501</v>
      </c>
      <c r="AB121" s="224">
        <v>9481898.2978433501</v>
      </c>
      <c r="AC121" s="224">
        <v>9481898.2978433501</v>
      </c>
      <c r="AD121" s="224">
        <f t="shared" si="47"/>
        <v>9481898.2978433501</v>
      </c>
      <c r="AE121" s="224">
        <v>9481898.2978433501</v>
      </c>
      <c r="AF121" s="224">
        <v>9481898.2978433501</v>
      </c>
      <c r="AG121" s="224">
        <f t="shared" si="48"/>
        <v>9481898.2978433501</v>
      </c>
      <c r="AH121" s="226">
        <v>9534931.0944947395</v>
      </c>
      <c r="AI121" s="226">
        <f t="shared" si="63"/>
        <v>9534931.0944947395</v>
      </c>
      <c r="AJ121" s="226">
        <f t="shared" si="63"/>
        <v>9534931.0944947395</v>
      </c>
      <c r="AK121" s="226">
        <f t="shared" si="63"/>
        <v>9534931.0944947395</v>
      </c>
      <c r="AL121" s="226">
        <f t="shared" si="63"/>
        <v>9534931.0944947395</v>
      </c>
      <c r="AM121" s="226">
        <f t="shared" si="63"/>
        <v>9534931.0944947395</v>
      </c>
      <c r="AN121" s="235">
        <v>9534931.0944947395</v>
      </c>
      <c r="AO121" s="235">
        <f t="shared" si="64"/>
        <v>9534931.0944947395</v>
      </c>
      <c r="AP121" s="235">
        <f t="shared" si="64"/>
        <v>9534931.0944947395</v>
      </c>
      <c r="AQ121" s="236">
        <f t="shared" si="64"/>
        <v>9534931.0944947395</v>
      </c>
      <c r="AR121" s="236">
        <f t="shared" si="64"/>
        <v>9534931.0944947395</v>
      </c>
      <c r="AS121" s="236">
        <f t="shared" si="64"/>
        <v>9534931.0944947395</v>
      </c>
      <c r="AT121" s="236">
        <f t="shared" si="64"/>
        <v>9534931.0944947395</v>
      </c>
      <c r="AU121" s="236">
        <f t="shared" si="64"/>
        <v>9534931.0944947395</v>
      </c>
      <c r="AV121" s="236">
        <f t="shared" si="64"/>
        <v>9534931.0944947395</v>
      </c>
      <c r="AW121" s="226">
        <v>9503842.9033542685</v>
      </c>
      <c r="AX121" s="226">
        <f t="shared" si="65"/>
        <v>9503842.9033542685</v>
      </c>
      <c r="AY121" s="226">
        <f t="shared" si="65"/>
        <v>9503842.9033542685</v>
      </c>
      <c r="AZ121" s="226">
        <f t="shared" si="65"/>
        <v>9503842.9033542685</v>
      </c>
      <c r="BA121" s="226">
        <f t="shared" si="65"/>
        <v>9503842.9033542685</v>
      </c>
      <c r="BB121" s="226">
        <f t="shared" si="65"/>
        <v>9503842.9033542685</v>
      </c>
      <c r="BC121" s="226">
        <v>9503842.9033542685</v>
      </c>
      <c r="BD121" s="224">
        <f t="shared" si="66"/>
        <v>9503842.9033542685</v>
      </c>
      <c r="BE121" s="224">
        <f t="shared" si="66"/>
        <v>9503842.9033542685</v>
      </c>
      <c r="BF121" s="224">
        <f t="shared" si="66"/>
        <v>9503842.9033542685</v>
      </c>
      <c r="BG121" s="224">
        <f t="shared" si="66"/>
        <v>9503842.9033542685</v>
      </c>
      <c r="BH121" s="224">
        <f t="shared" si="66"/>
        <v>9503842.9033542685</v>
      </c>
      <c r="BI121" s="224">
        <f t="shared" si="66"/>
        <v>9503842.9033542685</v>
      </c>
      <c r="BJ121" s="224">
        <f t="shared" si="66"/>
        <v>9503842.9033542685</v>
      </c>
      <c r="BK121" s="224">
        <f t="shared" si="66"/>
        <v>9503842.9033542685</v>
      </c>
      <c r="BL121" s="224">
        <f t="shared" si="66"/>
        <v>9503842.9033542685</v>
      </c>
      <c r="BM121" s="224">
        <f t="shared" si="66"/>
        <v>9503842.9033542685</v>
      </c>
      <c r="BN121" s="224">
        <f t="shared" si="66"/>
        <v>9503842.9033542685</v>
      </c>
      <c r="BO121" s="224">
        <f t="shared" si="66"/>
        <v>9503842.9033542685</v>
      </c>
    </row>
    <row r="122" spans="1:67">
      <c r="A122" s="223">
        <f t="shared" ref="A122:A130" si="75">A121+1</f>
        <v>3</v>
      </c>
      <c r="B122" s="151" t="s">
        <v>146</v>
      </c>
      <c r="C122" s="223">
        <v>120</v>
      </c>
      <c r="D122" s="224">
        <v>9577135.8935125005</v>
      </c>
      <c r="E122" s="225">
        <f t="shared" si="74"/>
        <v>9577135.8935125005</v>
      </c>
      <c r="F122" s="225">
        <f t="shared" si="74"/>
        <v>9577135.8935125005</v>
      </c>
      <c r="G122" s="225">
        <f t="shared" si="74"/>
        <v>9577135.8935125005</v>
      </c>
      <c r="H122" s="225">
        <f t="shared" si="74"/>
        <v>9577135.8935125005</v>
      </c>
      <c r="I122" s="225">
        <f t="shared" si="74"/>
        <v>9577135.8935125005</v>
      </c>
      <c r="J122" s="225">
        <f t="shared" si="74"/>
        <v>9577135.8935125005</v>
      </c>
      <c r="K122" s="237">
        <f t="shared" si="74"/>
        <v>9577135.8935125005</v>
      </c>
      <c r="L122" s="237">
        <f t="shared" si="73"/>
        <v>9577135.8935125005</v>
      </c>
      <c r="M122" s="237">
        <f t="shared" si="73"/>
        <v>9577135.8935125005</v>
      </c>
      <c r="N122" s="237">
        <f t="shared" si="73"/>
        <v>9577135.8935125005</v>
      </c>
      <c r="O122" s="237">
        <f t="shared" si="73"/>
        <v>9577135.8935125005</v>
      </c>
      <c r="P122" s="237">
        <f t="shared" si="73"/>
        <v>9577135.8935125005</v>
      </c>
      <c r="Q122" s="237">
        <f t="shared" si="73"/>
        <v>9577135.8935125005</v>
      </c>
      <c r="R122" s="237">
        <f t="shared" si="73"/>
        <v>9577135.8935125005</v>
      </c>
      <c r="S122" s="237">
        <f t="shared" si="73"/>
        <v>9577135.8935125005</v>
      </c>
      <c r="T122" s="224">
        <v>9577135.8935125005</v>
      </c>
      <c r="U122" s="224">
        <f t="shared" ref="U122:W137" si="76">T122</f>
        <v>9577135.8935125005</v>
      </c>
      <c r="V122" s="224">
        <f t="shared" si="76"/>
        <v>9577135.8935125005</v>
      </c>
      <c r="W122" s="224">
        <f t="shared" si="76"/>
        <v>9577135.8935125005</v>
      </c>
      <c r="X122" s="226">
        <v>9577135.8935125005</v>
      </c>
      <c r="Y122" s="226">
        <f t="shared" ref="Y122:Z137" si="77">X122</f>
        <v>9577135.8935125005</v>
      </c>
      <c r="Z122" s="226">
        <f t="shared" si="77"/>
        <v>9577135.8935125005</v>
      </c>
      <c r="AA122" s="224">
        <v>9577135.8935125005</v>
      </c>
      <c r="AB122" s="224">
        <v>9577135.8935125005</v>
      </c>
      <c r="AC122" s="224">
        <v>9577135.8935125005</v>
      </c>
      <c r="AD122" s="224">
        <f t="shared" si="47"/>
        <v>9577135.8935125005</v>
      </c>
      <c r="AE122" s="224">
        <v>9577135.8935125005</v>
      </c>
      <c r="AF122" s="224">
        <v>9577135.8935125005</v>
      </c>
      <c r="AG122" s="224">
        <f t="shared" si="48"/>
        <v>9577135.8935125005</v>
      </c>
      <c r="AH122" s="226">
        <v>9630701.3594550006</v>
      </c>
      <c r="AI122" s="226">
        <f t="shared" ref="AI122:AM137" si="78">AH122</f>
        <v>9630701.3594550006</v>
      </c>
      <c r="AJ122" s="226">
        <f t="shared" si="78"/>
        <v>9630701.3594550006</v>
      </c>
      <c r="AK122" s="226">
        <f t="shared" si="78"/>
        <v>9630701.3594550006</v>
      </c>
      <c r="AL122" s="226">
        <f t="shared" si="78"/>
        <v>9630701.3594550006</v>
      </c>
      <c r="AM122" s="226">
        <f t="shared" si="78"/>
        <v>9630701.3594550006</v>
      </c>
      <c r="AN122" s="235">
        <v>9630701.3594550006</v>
      </c>
      <c r="AO122" s="235">
        <f t="shared" ref="AO122:AV137" si="79">AN122</f>
        <v>9630701.3594550006</v>
      </c>
      <c r="AP122" s="235">
        <f t="shared" si="79"/>
        <v>9630701.3594550006</v>
      </c>
      <c r="AQ122" s="236">
        <f t="shared" si="79"/>
        <v>9630701.3594550006</v>
      </c>
      <c r="AR122" s="236">
        <f t="shared" si="79"/>
        <v>9630701.3594550006</v>
      </c>
      <c r="AS122" s="236">
        <f t="shared" si="79"/>
        <v>9630701.3594550006</v>
      </c>
      <c r="AT122" s="236">
        <f t="shared" si="79"/>
        <v>9630701.3594550006</v>
      </c>
      <c r="AU122" s="236">
        <f t="shared" si="79"/>
        <v>9630701.3594550006</v>
      </c>
      <c r="AV122" s="236">
        <f t="shared" si="79"/>
        <v>9630701.3594550006</v>
      </c>
      <c r="AW122" s="226">
        <v>9599300.9139025006</v>
      </c>
      <c r="AX122" s="226">
        <f t="shared" ref="AX122:BB137" si="80">AW122</f>
        <v>9599300.9139025006</v>
      </c>
      <c r="AY122" s="226">
        <f t="shared" si="80"/>
        <v>9599300.9139025006</v>
      </c>
      <c r="AZ122" s="226">
        <f t="shared" si="80"/>
        <v>9599300.9139025006</v>
      </c>
      <c r="BA122" s="226">
        <f t="shared" si="80"/>
        <v>9599300.9139025006</v>
      </c>
      <c r="BB122" s="226">
        <f t="shared" si="80"/>
        <v>9599300.9139025006</v>
      </c>
      <c r="BC122" s="226">
        <v>9599300.9139025006</v>
      </c>
      <c r="BD122" s="224">
        <f t="shared" ref="BD122:BO137" si="81">BC122</f>
        <v>9599300.9139025006</v>
      </c>
      <c r="BE122" s="224">
        <f t="shared" si="81"/>
        <v>9599300.9139025006</v>
      </c>
      <c r="BF122" s="224">
        <f t="shared" si="81"/>
        <v>9599300.9139025006</v>
      </c>
      <c r="BG122" s="224">
        <f t="shared" si="81"/>
        <v>9599300.9139025006</v>
      </c>
      <c r="BH122" s="224">
        <f t="shared" si="81"/>
        <v>9599300.9139025006</v>
      </c>
      <c r="BI122" s="224">
        <f t="shared" si="81"/>
        <v>9599300.9139025006</v>
      </c>
      <c r="BJ122" s="224">
        <f t="shared" si="81"/>
        <v>9599300.9139025006</v>
      </c>
      <c r="BK122" s="224">
        <f t="shared" si="81"/>
        <v>9599300.9139025006</v>
      </c>
      <c r="BL122" s="224">
        <f t="shared" si="81"/>
        <v>9599300.9139025006</v>
      </c>
      <c r="BM122" s="224">
        <f t="shared" si="81"/>
        <v>9599300.9139025006</v>
      </c>
      <c r="BN122" s="224">
        <f t="shared" si="81"/>
        <v>9599300.9139025006</v>
      </c>
      <c r="BO122" s="224">
        <f t="shared" si="81"/>
        <v>9599300.9139025006</v>
      </c>
    </row>
    <row r="123" spans="1:67">
      <c r="A123" s="223">
        <f t="shared" si="75"/>
        <v>4</v>
      </c>
      <c r="B123" s="151" t="s">
        <v>114</v>
      </c>
      <c r="C123" s="223">
        <v>121</v>
      </c>
      <c r="D123" s="224">
        <v>21013707.091364276</v>
      </c>
      <c r="E123" s="225">
        <f t="shared" si="74"/>
        <v>21013707.091364276</v>
      </c>
      <c r="F123" s="225">
        <f t="shared" si="74"/>
        <v>21013707.091364276</v>
      </c>
      <c r="G123" s="225">
        <f t="shared" si="74"/>
        <v>21013707.091364276</v>
      </c>
      <c r="H123" s="225">
        <f t="shared" si="74"/>
        <v>21013707.091364276</v>
      </c>
      <c r="I123" s="225">
        <f t="shared" si="74"/>
        <v>21013707.091364276</v>
      </c>
      <c r="J123" s="225">
        <f t="shared" si="74"/>
        <v>21013707.091364276</v>
      </c>
      <c r="K123" s="237">
        <f t="shared" si="74"/>
        <v>21013707.091364276</v>
      </c>
      <c r="L123" s="237">
        <f t="shared" si="73"/>
        <v>21013707.091364276</v>
      </c>
      <c r="M123" s="237">
        <f t="shared" si="73"/>
        <v>21013707.091364276</v>
      </c>
      <c r="N123" s="237">
        <f t="shared" si="73"/>
        <v>21013707.091364276</v>
      </c>
      <c r="O123" s="237">
        <f t="shared" si="73"/>
        <v>21013707.091364276</v>
      </c>
      <c r="P123" s="237">
        <f t="shared" si="73"/>
        <v>21013707.091364276</v>
      </c>
      <c r="Q123" s="237">
        <f t="shared" si="73"/>
        <v>21013707.091364276</v>
      </c>
      <c r="R123" s="237">
        <f t="shared" si="73"/>
        <v>21013707.091364276</v>
      </c>
      <c r="S123" s="237">
        <f t="shared" si="73"/>
        <v>21013707.091364276</v>
      </c>
      <c r="T123" s="224">
        <v>21013707.091364276</v>
      </c>
      <c r="U123" s="224">
        <f t="shared" si="76"/>
        <v>21013707.091364276</v>
      </c>
      <c r="V123" s="224">
        <f t="shared" si="76"/>
        <v>21013707.091364276</v>
      </c>
      <c r="W123" s="224">
        <f t="shared" si="76"/>
        <v>21013707.091364276</v>
      </c>
      <c r="X123" s="226">
        <v>21013707.091364276</v>
      </c>
      <c r="Y123" s="226">
        <f t="shared" si="77"/>
        <v>21013707.091364276</v>
      </c>
      <c r="Z123" s="226">
        <f t="shared" si="77"/>
        <v>21013707.091364276</v>
      </c>
      <c r="AA123" s="224">
        <v>21013707.091364276</v>
      </c>
      <c r="AB123" s="224">
        <v>21013707.091364276</v>
      </c>
      <c r="AC123" s="224">
        <v>21013707.091364276</v>
      </c>
      <c r="AD123" s="224">
        <f t="shared" si="47"/>
        <v>21013707.091364276</v>
      </c>
      <c r="AE123" s="224">
        <v>21013707.091364276</v>
      </c>
      <c r="AF123" s="224">
        <v>21013707.091364276</v>
      </c>
      <c r="AG123" s="224">
        <f t="shared" si="48"/>
        <v>21013707.091364276</v>
      </c>
      <c r="AH123" s="226">
        <v>21131237.950698812</v>
      </c>
      <c r="AI123" s="226">
        <f t="shared" si="78"/>
        <v>21131237.950698812</v>
      </c>
      <c r="AJ123" s="226">
        <f t="shared" si="78"/>
        <v>21131237.950698812</v>
      </c>
      <c r="AK123" s="226">
        <f t="shared" si="78"/>
        <v>21131237.950698812</v>
      </c>
      <c r="AL123" s="226">
        <f t="shared" si="78"/>
        <v>21131237.950698812</v>
      </c>
      <c r="AM123" s="226">
        <f t="shared" si="78"/>
        <v>21131237.950698812</v>
      </c>
      <c r="AN123" s="235">
        <v>21131237.950698812</v>
      </c>
      <c r="AO123" s="235">
        <f t="shared" si="79"/>
        <v>21131237.950698812</v>
      </c>
      <c r="AP123" s="235">
        <f t="shared" si="79"/>
        <v>21131237.950698812</v>
      </c>
      <c r="AQ123" s="236">
        <f t="shared" si="79"/>
        <v>21131237.950698812</v>
      </c>
      <c r="AR123" s="236">
        <f t="shared" si="79"/>
        <v>21131237.950698812</v>
      </c>
      <c r="AS123" s="236">
        <f t="shared" si="79"/>
        <v>21131237.950698812</v>
      </c>
      <c r="AT123" s="236">
        <f t="shared" si="79"/>
        <v>21131237.950698812</v>
      </c>
      <c r="AU123" s="236">
        <f t="shared" si="79"/>
        <v>21131237.950698812</v>
      </c>
      <c r="AV123" s="236">
        <f t="shared" si="79"/>
        <v>21131237.950698812</v>
      </c>
      <c r="AW123" s="226">
        <v>21062340.550399259</v>
      </c>
      <c r="AX123" s="226">
        <f t="shared" si="80"/>
        <v>21062340.550399259</v>
      </c>
      <c r="AY123" s="226">
        <f t="shared" si="80"/>
        <v>21062340.550399259</v>
      </c>
      <c r="AZ123" s="226">
        <f t="shared" si="80"/>
        <v>21062340.550399259</v>
      </c>
      <c r="BA123" s="226">
        <f t="shared" si="80"/>
        <v>21062340.550399259</v>
      </c>
      <c r="BB123" s="226">
        <f t="shared" si="80"/>
        <v>21062340.550399259</v>
      </c>
      <c r="BC123" s="226">
        <v>21062340.550399259</v>
      </c>
      <c r="BD123" s="224">
        <f t="shared" si="81"/>
        <v>21062340.550399259</v>
      </c>
      <c r="BE123" s="224">
        <f t="shared" si="81"/>
        <v>21062340.550399259</v>
      </c>
      <c r="BF123" s="224">
        <f t="shared" si="81"/>
        <v>21062340.550399259</v>
      </c>
      <c r="BG123" s="224">
        <f t="shared" si="81"/>
        <v>21062340.550399259</v>
      </c>
      <c r="BH123" s="224">
        <f t="shared" si="81"/>
        <v>21062340.550399259</v>
      </c>
      <c r="BI123" s="224">
        <f t="shared" si="81"/>
        <v>21062340.550399259</v>
      </c>
      <c r="BJ123" s="224">
        <f t="shared" si="81"/>
        <v>21062340.550399259</v>
      </c>
      <c r="BK123" s="224">
        <f t="shared" si="81"/>
        <v>21062340.550399259</v>
      </c>
      <c r="BL123" s="224">
        <f t="shared" si="81"/>
        <v>21062340.550399259</v>
      </c>
      <c r="BM123" s="224">
        <f t="shared" si="81"/>
        <v>21062340.550399259</v>
      </c>
      <c r="BN123" s="224">
        <f t="shared" si="81"/>
        <v>21062340.550399259</v>
      </c>
      <c r="BO123" s="224">
        <f t="shared" si="81"/>
        <v>21062340.550399259</v>
      </c>
    </row>
    <row r="124" spans="1:67">
      <c r="A124" s="223">
        <f t="shared" si="75"/>
        <v>5</v>
      </c>
      <c r="B124" s="151" t="s">
        <v>115</v>
      </c>
      <c r="C124" s="223">
        <v>122</v>
      </c>
      <c r="D124" s="224">
        <v>22324537.160999276</v>
      </c>
      <c r="E124" s="225">
        <f t="shared" si="74"/>
        <v>22324537.160999276</v>
      </c>
      <c r="F124" s="225">
        <f t="shared" si="74"/>
        <v>22324537.160999276</v>
      </c>
      <c r="G124" s="225">
        <f t="shared" si="74"/>
        <v>22324537.160999276</v>
      </c>
      <c r="H124" s="225">
        <f t="shared" si="74"/>
        <v>22324537.160999276</v>
      </c>
      <c r="I124" s="225">
        <f t="shared" si="74"/>
        <v>22324537.160999276</v>
      </c>
      <c r="J124" s="225">
        <f t="shared" si="74"/>
        <v>22324537.160999276</v>
      </c>
      <c r="K124" s="237">
        <f t="shared" si="74"/>
        <v>22324537.160999276</v>
      </c>
      <c r="L124" s="237">
        <f t="shared" si="73"/>
        <v>22324537.160999276</v>
      </c>
      <c r="M124" s="237">
        <f t="shared" si="73"/>
        <v>22324537.160999276</v>
      </c>
      <c r="N124" s="237">
        <f t="shared" si="73"/>
        <v>22324537.160999276</v>
      </c>
      <c r="O124" s="237">
        <f t="shared" si="73"/>
        <v>22324537.160999276</v>
      </c>
      <c r="P124" s="237">
        <f t="shared" si="73"/>
        <v>22324537.160999276</v>
      </c>
      <c r="Q124" s="237">
        <f t="shared" si="73"/>
        <v>22324537.160999276</v>
      </c>
      <c r="R124" s="237">
        <f t="shared" si="73"/>
        <v>22324537.160999276</v>
      </c>
      <c r="S124" s="237">
        <f t="shared" si="73"/>
        <v>22324537.160999276</v>
      </c>
      <c r="T124" s="224">
        <v>22324537.160999276</v>
      </c>
      <c r="U124" s="224">
        <f t="shared" si="76"/>
        <v>22324537.160999276</v>
      </c>
      <c r="V124" s="224">
        <f t="shared" si="76"/>
        <v>22324537.160999276</v>
      </c>
      <c r="W124" s="224">
        <f t="shared" si="76"/>
        <v>22324537.160999276</v>
      </c>
      <c r="X124" s="226">
        <v>22324537.160999276</v>
      </c>
      <c r="Y124" s="226">
        <f t="shared" si="77"/>
        <v>22324537.160999276</v>
      </c>
      <c r="Z124" s="226">
        <f t="shared" si="77"/>
        <v>22324537.160999276</v>
      </c>
      <c r="AA124" s="224">
        <v>22324537.160999276</v>
      </c>
      <c r="AB124" s="224">
        <v>22324537.160999276</v>
      </c>
      <c r="AC124" s="224">
        <v>22324537.160999276</v>
      </c>
      <c r="AD124" s="224">
        <f t="shared" si="47"/>
        <v>22324537.160999276</v>
      </c>
      <c r="AE124" s="224">
        <v>22324537.160999276</v>
      </c>
      <c r="AF124" s="224">
        <v>22324537.160999276</v>
      </c>
      <c r="AG124" s="224">
        <f t="shared" si="48"/>
        <v>22324537.160999276</v>
      </c>
      <c r="AH124" s="226">
        <v>22449399.567492813</v>
      </c>
      <c r="AI124" s="226">
        <f t="shared" si="78"/>
        <v>22449399.567492813</v>
      </c>
      <c r="AJ124" s="226">
        <f t="shared" si="78"/>
        <v>22449399.567492813</v>
      </c>
      <c r="AK124" s="226">
        <f t="shared" si="78"/>
        <v>22449399.567492813</v>
      </c>
      <c r="AL124" s="226">
        <f t="shared" si="78"/>
        <v>22449399.567492813</v>
      </c>
      <c r="AM124" s="226">
        <f t="shared" si="78"/>
        <v>22449399.567492813</v>
      </c>
      <c r="AN124" s="235">
        <v>22449399.567492813</v>
      </c>
      <c r="AO124" s="235">
        <f t="shared" si="79"/>
        <v>22449399.567492813</v>
      </c>
      <c r="AP124" s="235">
        <f t="shared" si="79"/>
        <v>22449399.567492813</v>
      </c>
      <c r="AQ124" s="236">
        <f t="shared" si="79"/>
        <v>22449399.567492813</v>
      </c>
      <c r="AR124" s="236">
        <f t="shared" si="79"/>
        <v>22449399.567492813</v>
      </c>
      <c r="AS124" s="236">
        <f t="shared" si="79"/>
        <v>22449399.567492813</v>
      </c>
      <c r="AT124" s="236">
        <f t="shared" si="79"/>
        <v>22449399.567492813</v>
      </c>
      <c r="AU124" s="236">
        <f t="shared" si="79"/>
        <v>22449399.567492813</v>
      </c>
      <c r="AV124" s="236">
        <f t="shared" si="79"/>
        <v>22449399.567492813</v>
      </c>
      <c r="AW124" s="226">
        <v>22376204.363686252</v>
      </c>
      <c r="AX124" s="226">
        <f t="shared" si="80"/>
        <v>22376204.363686252</v>
      </c>
      <c r="AY124" s="226">
        <f t="shared" si="80"/>
        <v>22376204.363686252</v>
      </c>
      <c r="AZ124" s="226">
        <f t="shared" si="80"/>
        <v>22376204.363686252</v>
      </c>
      <c r="BA124" s="226">
        <f t="shared" si="80"/>
        <v>22376204.363686252</v>
      </c>
      <c r="BB124" s="226">
        <f t="shared" si="80"/>
        <v>22376204.363686252</v>
      </c>
      <c r="BC124" s="226">
        <v>22376204.363686252</v>
      </c>
      <c r="BD124" s="224">
        <f t="shared" si="81"/>
        <v>22376204.363686252</v>
      </c>
      <c r="BE124" s="224">
        <f t="shared" si="81"/>
        <v>22376204.363686252</v>
      </c>
      <c r="BF124" s="224">
        <f t="shared" si="81"/>
        <v>22376204.363686252</v>
      </c>
      <c r="BG124" s="224">
        <f t="shared" si="81"/>
        <v>22376204.363686252</v>
      </c>
      <c r="BH124" s="224">
        <f t="shared" si="81"/>
        <v>22376204.363686252</v>
      </c>
      <c r="BI124" s="224">
        <f t="shared" si="81"/>
        <v>22376204.363686252</v>
      </c>
      <c r="BJ124" s="224">
        <f t="shared" si="81"/>
        <v>22376204.363686252</v>
      </c>
      <c r="BK124" s="224">
        <f t="shared" si="81"/>
        <v>22376204.363686252</v>
      </c>
      <c r="BL124" s="224">
        <f t="shared" si="81"/>
        <v>22376204.363686252</v>
      </c>
      <c r="BM124" s="224">
        <f t="shared" si="81"/>
        <v>22376204.363686252</v>
      </c>
      <c r="BN124" s="224">
        <f t="shared" si="81"/>
        <v>22376204.363686252</v>
      </c>
      <c r="BO124" s="224">
        <f t="shared" si="81"/>
        <v>22376204.363686252</v>
      </c>
    </row>
    <row r="125" spans="1:67">
      <c r="A125" s="223">
        <f t="shared" si="75"/>
        <v>6</v>
      </c>
      <c r="B125" s="151" t="s">
        <v>117</v>
      </c>
      <c r="C125" s="223">
        <v>123</v>
      </c>
      <c r="D125" s="224">
        <v>61682377.268801302</v>
      </c>
      <c r="E125" s="225">
        <f t="shared" si="74"/>
        <v>61682377.268801302</v>
      </c>
      <c r="F125" s="225">
        <f t="shared" si="74"/>
        <v>61682377.268801302</v>
      </c>
      <c r="G125" s="225">
        <f t="shared" si="74"/>
        <v>61682377.268801302</v>
      </c>
      <c r="H125" s="225">
        <f t="shared" si="74"/>
        <v>61682377.268801302</v>
      </c>
      <c r="I125" s="225">
        <f t="shared" si="74"/>
        <v>61682377.268801302</v>
      </c>
      <c r="J125" s="225">
        <f t="shared" si="74"/>
        <v>61682377.268801302</v>
      </c>
      <c r="K125" s="237">
        <f t="shared" si="74"/>
        <v>61682377.268801302</v>
      </c>
      <c r="L125" s="237">
        <f t="shared" si="73"/>
        <v>61682377.268801302</v>
      </c>
      <c r="M125" s="237">
        <f t="shared" si="73"/>
        <v>61682377.268801302</v>
      </c>
      <c r="N125" s="237">
        <f t="shared" si="73"/>
        <v>61682377.268801302</v>
      </c>
      <c r="O125" s="237">
        <f t="shared" si="73"/>
        <v>61682377.268801302</v>
      </c>
      <c r="P125" s="237">
        <f t="shared" si="73"/>
        <v>61682377.268801302</v>
      </c>
      <c r="Q125" s="237">
        <f t="shared" si="73"/>
        <v>61682377.268801302</v>
      </c>
      <c r="R125" s="237">
        <f t="shared" si="73"/>
        <v>61682377.268801302</v>
      </c>
      <c r="S125" s="237">
        <f t="shared" si="73"/>
        <v>61682377.268801302</v>
      </c>
      <c r="T125" s="224">
        <v>61682377.268801302</v>
      </c>
      <c r="U125" s="224">
        <f t="shared" si="76"/>
        <v>61682377.268801302</v>
      </c>
      <c r="V125" s="224">
        <f t="shared" si="76"/>
        <v>61682377.268801302</v>
      </c>
      <c r="W125" s="224">
        <f t="shared" si="76"/>
        <v>61682377.268801302</v>
      </c>
      <c r="X125" s="226">
        <v>61682377.268801302</v>
      </c>
      <c r="Y125" s="226">
        <f t="shared" si="77"/>
        <v>61682377.268801302</v>
      </c>
      <c r="Z125" s="226">
        <f t="shared" si="77"/>
        <v>61682377.268801302</v>
      </c>
      <c r="AA125" s="224">
        <v>61682377.268801302</v>
      </c>
      <c r="AB125" s="224">
        <v>61682377.268801302</v>
      </c>
      <c r="AC125" s="224">
        <v>61682377.268801302</v>
      </c>
      <c r="AD125" s="224">
        <f t="shared" si="47"/>
        <v>61682377.268801302</v>
      </c>
      <c r="AE125" s="224">
        <v>61682377.268801302</v>
      </c>
      <c r="AF125" s="224">
        <v>61682377.268801302</v>
      </c>
      <c r="AG125" s="224">
        <f t="shared" si="48"/>
        <v>61682377.268801302</v>
      </c>
      <c r="AH125" s="226">
        <v>62027370.314277716</v>
      </c>
      <c r="AI125" s="226">
        <f t="shared" si="78"/>
        <v>62027370.314277716</v>
      </c>
      <c r="AJ125" s="226">
        <f t="shared" si="78"/>
        <v>62027370.314277716</v>
      </c>
      <c r="AK125" s="226">
        <f t="shared" si="78"/>
        <v>62027370.314277716</v>
      </c>
      <c r="AL125" s="226">
        <f t="shared" si="78"/>
        <v>62027370.314277716</v>
      </c>
      <c r="AM125" s="226">
        <f t="shared" si="78"/>
        <v>62027370.314277716</v>
      </c>
      <c r="AN125" s="235">
        <v>62027370.314277716</v>
      </c>
      <c r="AO125" s="235">
        <f t="shared" si="79"/>
        <v>62027370.314277716</v>
      </c>
      <c r="AP125" s="235">
        <f t="shared" si="79"/>
        <v>62027370.314277716</v>
      </c>
      <c r="AQ125" s="236">
        <f t="shared" si="79"/>
        <v>62027370.314277716</v>
      </c>
      <c r="AR125" s="236">
        <f t="shared" si="79"/>
        <v>62027370.314277716</v>
      </c>
      <c r="AS125" s="236">
        <f t="shared" si="79"/>
        <v>62027370.314277716</v>
      </c>
      <c r="AT125" s="236">
        <f t="shared" si="79"/>
        <v>62027370.314277716</v>
      </c>
      <c r="AU125" s="236">
        <f t="shared" si="79"/>
        <v>62027370.314277716</v>
      </c>
      <c r="AV125" s="236">
        <f t="shared" si="79"/>
        <v>62027370.314277716</v>
      </c>
      <c r="AW125" s="226">
        <v>61825133.011757061</v>
      </c>
      <c r="AX125" s="226">
        <f t="shared" si="80"/>
        <v>61825133.011757061</v>
      </c>
      <c r="AY125" s="226">
        <f t="shared" si="80"/>
        <v>61825133.011757061</v>
      </c>
      <c r="AZ125" s="226">
        <f t="shared" si="80"/>
        <v>61825133.011757061</v>
      </c>
      <c r="BA125" s="226">
        <f t="shared" si="80"/>
        <v>61825133.011757061</v>
      </c>
      <c r="BB125" s="226">
        <f t="shared" si="80"/>
        <v>61825133.011757061</v>
      </c>
      <c r="BC125" s="226">
        <v>61825133.011757061</v>
      </c>
      <c r="BD125" s="224">
        <f t="shared" si="81"/>
        <v>61825133.011757061</v>
      </c>
      <c r="BE125" s="224">
        <f t="shared" si="81"/>
        <v>61825133.011757061</v>
      </c>
      <c r="BF125" s="224">
        <f t="shared" si="81"/>
        <v>61825133.011757061</v>
      </c>
      <c r="BG125" s="224">
        <f t="shared" si="81"/>
        <v>61825133.011757061</v>
      </c>
      <c r="BH125" s="224">
        <f t="shared" si="81"/>
        <v>61825133.011757061</v>
      </c>
      <c r="BI125" s="224">
        <f t="shared" si="81"/>
        <v>61825133.011757061</v>
      </c>
      <c r="BJ125" s="224">
        <f t="shared" si="81"/>
        <v>61825133.011757061</v>
      </c>
      <c r="BK125" s="224">
        <f t="shared" si="81"/>
        <v>61825133.011757061</v>
      </c>
      <c r="BL125" s="224">
        <f t="shared" si="81"/>
        <v>61825133.011757061</v>
      </c>
      <c r="BM125" s="224">
        <f t="shared" si="81"/>
        <v>61825133.011757061</v>
      </c>
      <c r="BN125" s="224">
        <f t="shared" si="81"/>
        <v>61825133.011757061</v>
      </c>
      <c r="BO125" s="224">
        <f t="shared" si="81"/>
        <v>61825133.011757061</v>
      </c>
    </row>
    <row r="126" spans="1:67">
      <c r="A126" s="223">
        <f t="shared" si="75"/>
        <v>7</v>
      </c>
      <c r="B126" s="151" t="s">
        <v>118</v>
      </c>
      <c r="C126" s="223">
        <v>124</v>
      </c>
      <c r="D126" s="224">
        <v>51056506.070551433</v>
      </c>
      <c r="E126" s="225">
        <f t="shared" si="74"/>
        <v>51056506.070551433</v>
      </c>
      <c r="F126" s="225">
        <f t="shared" si="74"/>
        <v>51056506.070551433</v>
      </c>
      <c r="G126" s="225">
        <f t="shared" si="74"/>
        <v>51056506.070551433</v>
      </c>
      <c r="H126" s="225">
        <f t="shared" si="74"/>
        <v>51056506.070551433</v>
      </c>
      <c r="I126" s="225">
        <f t="shared" si="74"/>
        <v>51056506.070551433</v>
      </c>
      <c r="J126" s="225">
        <f t="shared" si="74"/>
        <v>51056506.070551433</v>
      </c>
      <c r="K126" s="237">
        <f t="shared" si="74"/>
        <v>51056506.070551433</v>
      </c>
      <c r="L126" s="237">
        <f t="shared" si="73"/>
        <v>51056506.070551433</v>
      </c>
      <c r="M126" s="237">
        <f t="shared" si="73"/>
        <v>51056506.070551433</v>
      </c>
      <c r="N126" s="237">
        <f t="shared" si="73"/>
        <v>51056506.070551433</v>
      </c>
      <c r="O126" s="237">
        <f t="shared" si="73"/>
        <v>51056506.070551433</v>
      </c>
      <c r="P126" s="237">
        <f t="shared" si="73"/>
        <v>51056506.070551433</v>
      </c>
      <c r="Q126" s="237">
        <f t="shared" si="73"/>
        <v>51056506.070551433</v>
      </c>
      <c r="R126" s="237">
        <f t="shared" si="73"/>
        <v>51056506.070551433</v>
      </c>
      <c r="S126" s="237">
        <f t="shared" si="73"/>
        <v>51056506.070551433</v>
      </c>
      <c r="T126" s="224">
        <v>51056506.070551433</v>
      </c>
      <c r="U126" s="224">
        <f t="shared" si="76"/>
        <v>51056506.070551433</v>
      </c>
      <c r="V126" s="224">
        <f t="shared" si="76"/>
        <v>51056506.070551433</v>
      </c>
      <c r="W126" s="224">
        <f t="shared" si="76"/>
        <v>51056506.070551433</v>
      </c>
      <c r="X126" s="226">
        <v>51056506.070551433</v>
      </c>
      <c r="Y126" s="226">
        <f t="shared" si="77"/>
        <v>51056506.070551433</v>
      </c>
      <c r="Z126" s="226">
        <f t="shared" si="77"/>
        <v>51056506.070551433</v>
      </c>
      <c r="AA126" s="224">
        <v>51056506.070551433</v>
      </c>
      <c r="AB126" s="224">
        <v>51056506.070551433</v>
      </c>
      <c r="AC126" s="224">
        <v>51056506.070551433</v>
      </c>
      <c r="AD126" s="224">
        <f t="shared" si="47"/>
        <v>51056506.070551433</v>
      </c>
      <c r="AE126" s="224">
        <v>51056506.070551433</v>
      </c>
      <c r="AF126" s="224">
        <v>51056506.070551433</v>
      </c>
      <c r="AG126" s="224">
        <f t="shared" si="48"/>
        <v>51056506.070551433</v>
      </c>
      <c r="AH126" s="226">
        <v>51342068.013858274</v>
      </c>
      <c r="AI126" s="226">
        <f t="shared" si="78"/>
        <v>51342068.013858274</v>
      </c>
      <c r="AJ126" s="226">
        <f t="shared" si="78"/>
        <v>51342068.013858274</v>
      </c>
      <c r="AK126" s="226">
        <f t="shared" si="78"/>
        <v>51342068.013858274</v>
      </c>
      <c r="AL126" s="226">
        <f t="shared" si="78"/>
        <v>51342068.013858274</v>
      </c>
      <c r="AM126" s="226">
        <f t="shared" si="78"/>
        <v>51342068.013858274</v>
      </c>
      <c r="AN126" s="235">
        <v>51342068.013858274</v>
      </c>
      <c r="AO126" s="235">
        <f t="shared" si="79"/>
        <v>51342068.013858274</v>
      </c>
      <c r="AP126" s="235">
        <f t="shared" si="79"/>
        <v>51342068.013858274</v>
      </c>
      <c r="AQ126" s="236">
        <f t="shared" si="79"/>
        <v>51342068.013858274</v>
      </c>
      <c r="AR126" s="236">
        <f t="shared" si="79"/>
        <v>51342068.013858274</v>
      </c>
      <c r="AS126" s="236">
        <f t="shared" si="79"/>
        <v>51342068.013858274</v>
      </c>
      <c r="AT126" s="236">
        <f t="shared" si="79"/>
        <v>51342068.013858274</v>
      </c>
      <c r="AU126" s="236">
        <f t="shared" si="79"/>
        <v>51342068.013858274</v>
      </c>
      <c r="AV126" s="236">
        <f t="shared" si="79"/>
        <v>51342068.013858274</v>
      </c>
      <c r="AW126" s="226">
        <v>51174669.63329909</v>
      </c>
      <c r="AX126" s="226">
        <f t="shared" si="80"/>
        <v>51174669.63329909</v>
      </c>
      <c r="AY126" s="226">
        <f t="shared" si="80"/>
        <v>51174669.63329909</v>
      </c>
      <c r="AZ126" s="226">
        <f t="shared" si="80"/>
        <v>51174669.63329909</v>
      </c>
      <c r="BA126" s="226">
        <f t="shared" si="80"/>
        <v>51174669.63329909</v>
      </c>
      <c r="BB126" s="226">
        <f t="shared" si="80"/>
        <v>51174669.63329909</v>
      </c>
      <c r="BC126" s="226">
        <v>51174669.63329909</v>
      </c>
      <c r="BD126" s="224">
        <f t="shared" si="81"/>
        <v>51174669.63329909</v>
      </c>
      <c r="BE126" s="224">
        <f t="shared" si="81"/>
        <v>51174669.63329909</v>
      </c>
      <c r="BF126" s="224">
        <f t="shared" si="81"/>
        <v>51174669.63329909</v>
      </c>
      <c r="BG126" s="224">
        <f t="shared" si="81"/>
        <v>51174669.63329909</v>
      </c>
      <c r="BH126" s="224">
        <f t="shared" si="81"/>
        <v>51174669.63329909</v>
      </c>
      <c r="BI126" s="224">
        <f t="shared" si="81"/>
        <v>51174669.63329909</v>
      </c>
      <c r="BJ126" s="224">
        <f t="shared" si="81"/>
        <v>51174669.63329909</v>
      </c>
      <c r="BK126" s="224">
        <f t="shared" si="81"/>
        <v>51174669.63329909</v>
      </c>
      <c r="BL126" s="224">
        <f t="shared" si="81"/>
        <v>51174669.63329909</v>
      </c>
      <c r="BM126" s="224">
        <f t="shared" si="81"/>
        <v>51174669.63329909</v>
      </c>
      <c r="BN126" s="224">
        <f t="shared" si="81"/>
        <v>51174669.63329909</v>
      </c>
      <c r="BO126" s="224">
        <f t="shared" si="81"/>
        <v>51174669.63329909</v>
      </c>
    </row>
    <row r="127" spans="1:67">
      <c r="A127" s="223">
        <f t="shared" si="75"/>
        <v>8</v>
      </c>
      <c r="B127" s="151" t="s">
        <v>119</v>
      </c>
      <c r="C127" s="223">
        <v>125</v>
      </c>
      <c r="D127" s="224">
        <v>23740730.021765273</v>
      </c>
      <c r="E127" s="225">
        <f t="shared" si="74"/>
        <v>23740730.021765273</v>
      </c>
      <c r="F127" s="225">
        <f t="shared" si="74"/>
        <v>23740730.021765273</v>
      </c>
      <c r="G127" s="225">
        <f t="shared" si="74"/>
        <v>23740730.021765273</v>
      </c>
      <c r="H127" s="225">
        <f t="shared" si="74"/>
        <v>23740730.021765273</v>
      </c>
      <c r="I127" s="225">
        <f t="shared" si="74"/>
        <v>23740730.021765273</v>
      </c>
      <c r="J127" s="225">
        <f t="shared" si="74"/>
        <v>23740730.021765273</v>
      </c>
      <c r="K127" s="237">
        <f t="shared" si="74"/>
        <v>23740730.021765273</v>
      </c>
      <c r="L127" s="237">
        <f t="shared" si="73"/>
        <v>23740730.021765273</v>
      </c>
      <c r="M127" s="237">
        <f t="shared" si="73"/>
        <v>23740730.021765273</v>
      </c>
      <c r="N127" s="237">
        <f t="shared" si="73"/>
        <v>23740730.021765273</v>
      </c>
      <c r="O127" s="237">
        <f t="shared" si="73"/>
        <v>23740730.021765273</v>
      </c>
      <c r="P127" s="237">
        <f t="shared" si="73"/>
        <v>23740730.021765273</v>
      </c>
      <c r="Q127" s="237">
        <f t="shared" si="73"/>
        <v>23740730.021765273</v>
      </c>
      <c r="R127" s="237">
        <f t="shared" si="73"/>
        <v>23740730.021765273</v>
      </c>
      <c r="S127" s="237">
        <f t="shared" si="73"/>
        <v>23740730.021765273</v>
      </c>
      <c r="T127" s="224">
        <v>23740730.021765273</v>
      </c>
      <c r="U127" s="224">
        <f t="shared" si="76"/>
        <v>23740730.021765273</v>
      </c>
      <c r="V127" s="224">
        <f t="shared" si="76"/>
        <v>23740730.021765273</v>
      </c>
      <c r="W127" s="224">
        <f t="shared" si="76"/>
        <v>23740730.021765273</v>
      </c>
      <c r="X127" s="226">
        <v>23740730.021765273</v>
      </c>
      <c r="Y127" s="226">
        <f t="shared" si="77"/>
        <v>23740730.021765273</v>
      </c>
      <c r="Z127" s="226">
        <f t="shared" si="77"/>
        <v>23740730.021765273</v>
      </c>
      <c r="AA127" s="224">
        <v>23740730.021765273</v>
      </c>
      <c r="AB127" s="224">
        <v>23740730.021765273</v>
      </c>
      <c r="AC127" s="224">
        <v>23740730.021765273</v>
      </c>
      <c r="AD127" s="224">
        <f t="shared" si="47"/>
        <v>23740730.021765273</v>
      </c>
      <c r="AE127" s="224">
        <v>23740730.021765273</v>
      </c>
      <c r="AF127" s="224">
        <v>23740730.021765273</v>
      </c>
      <c r="AG127" s="224">
        <f t="shared" si="48"/>
        <v>23740730.021765273</v>
      </c>
      <c r="AH127" s="226">
        <v>23873513.275503211</v>
      </c>
      <c r="AI127" s="226">
        <f t="shared" si="78"/>
        <v>23873513.275503211</v>
      </c>
      <c r="AJ127" s="226">
        <f t="shared" si="78"/>
        <v>23873513.275503211</v>
      </c>
      <c r="AK127" s="226">
        <f t="shared" si="78"/>
        <v>23873513.275503211</v>
      </c>
      <c r="AL127" s="226">
        <f t="shared" si="78"/>
        <v>23873513.275503211</v>
      </c>
      <c r="AM127" s="226">
        <f t="shared" si="78"/>
        <v>23873513.275503211</v>
      </c>
      <c r="AN127" s="235">
        <v>23873513.275503211</v>
      </c>
      <c r="AO127" s="235">
        <f t="shared" si="79"/>
        <v>23873513.275503211</v>
      </c>
      <c r="AP127" s="235">
        <f t="shared" si="79"/>
        <v>23873513.275503211</v>
      </c>
      <c r="AQ127" s="236">
        <f t="shared" si="79"/>
        <v>23873513.275503211</v>
      </c>
      <c r="AR127" s="236">
        <f t="shared" si="79"/>
        <v>23873513.275503211</v>
      </c>
      <c r="AS127" s="236">
        <f t="shared" si="79"/>
        <v>23873513.275503211</v>
      </c>
      <c r="AT127" s="236">
        <f t="shared" si="79"/>
        <v>23873513.275503211</v>
      </c>
      <c r="AU127" s="236">
        <f t="shared" si="79"/>
        <v>23873513.275503211</v>
      </c>
      <c r="AV127" s="236">
        <f t="shared" si="79"/>
        <v>23873513.275503211</v>
      </c>
      <c r="AW127" s="226">
        <v>23795674.816415455</v>
      </c>
      <c r="AX127" s="226">
        <f t="shared" si="80"/>
        <v>23795674.816415455</v>
      </c>
      <c r="AY127" s="226">
        <f t="shared" si="80"/>
        <v>23795674.816415455</v>
      </c>
      <c r="AZ127" s="226">
        <f t="shared" si="80"/>
        <v>23795674.816415455</v>
      </c>
      <c r="BA127" s="226">
        <f t="shared" si="80"/>
        <v>23795674.816415455</v>
      </c>
      <c r="BB127" s="226">
        <f t="shared" si="80"/>
        <v>23795674.816415455</v>
      </c>
      <c r="BC127" s="226">
        <v>23795674.816415455</v>
      </c>
      <c r="BD127" s="224">
        <f t="shared" si="81"/>
        <v>23795674.816415455</v>
      </c>
      <c r="BE127" s="224">
        <f t="shared" si="81"/>
        <v>23795674.816415455</v>
      </c>
      <c r="BF127" s="224">
        <f t="shared" si="81"/>
        <v>23795674.816415455</v>
      </c>
      <c r="BG127" s="224">
        <f t="shared" si="81"/>
        <v>23795674.816415455</v>
      </c>
      <c r="BH127" s="224">
        <f t="shared" si="81"/>
        <v>23795674.816415455</v>
      </c>
      <c r="BI127" s="224">
        <f t="shared" si="81"/>
        <v>23795674.816415455</v>
      </c>
      <c r="BJ127" s="224">
        <f t="shared" si="81"/>
        <v>23795674.816415455</v>
      </c>
      <c r="BK127" s="224">
        <f t="shared" si="81"/>
        <v>23795674.816415455</v>
      </c>
      <c r="BL127" s="224">
        <f t="shared" si="81"/>
        <v>23795674.816415455</v>
      </c>
      <c r="BM127" s="224">
        <f t="shared" si="81"/>
        <v>23795674.816415455</v>
      </c>
      <c r="BN127" s="224">
        <f t="shared" si="81"/>
        <v>23795674.816415455</v>
      </c>
      <c r="BO127" s="224">
        <f t="shared" si="81"/>
        <v>23795674.816415455</v>
      </c>
    </row>
    <row r="128" spans="1:67">
      <c r="A128" s="223">
        <f t="shared" si="75"/>
        <v>9</v>
      </c>
      <c r="B128" s="151" t="s">
        <v>120</v>
      </c>
      <c r="C128" s="223">
        <v>126</v>
      </c>
      <c r="D128" s="224">
        <v>14579421.985697825</v>
      </c>
      <c r="E128" s="225">
        <f t="shared" si="74"/>
        <v>14579421.985697825</v>
      </c>
      <c r="F128" s="225">
        <f t="shared" si="74"/>
        <v>14579421.985697825</v>
      </c>
      <c r="G128" s="225">
        <f t="shared" si="74"/>
        <v>14579421.985697825</v>
      </c>
      <c r="H128" s="225">
        <f t="shared" si="74"/>
        <v>14579421.985697825</v>
      </c>
      <c r="I128" s="225">
        <f t="shared" si="74"/>
        <v>14579421.985697825</v>
      </c>
      <c r="J128" s="225">
        <f t="shared" si="74"/>
        <v>14579421.985697825</v>
      </c>
      <c r="K128" s="237">
        <f t="shared" si="74"/>
        <v>14579421.985697825</v>
      </c>
      <c r="L128" s="237">
        <f t="shared" si="73"/>
        <v>14579421.985697825</v>
      </c>
      <c r="M128" s="237">
        <f t="shared" si="73"/>
        <v>14579421.985697825</v>
      </c>
      <c r="N128" s="237">
        <f t="shared" si="73"/>
        <v>14579421.985697825</v>
      </c>
      <c r="O128" s="237">
        <f t="shared" si="73"/>
        <v>14579421.985697825</v>
      </c>
      <c r="P128" s="237">
        <f t="shared" si="73"/>
        <v>14579421.985697825</v>
      </c>
      <c r="Q128" s="237">
        <f t="shared" si="73"/>
        <v>14579421.985697825</v>
      </c>
      <c r="R128" s="237">
        <f t="shared" si="73"/>
        <v>14579421.985697825</v>
      </c>
      <c r="S128" s="237">
        <f t="shared" si="73"/>
        <v>14579421.985697825</v>
      </c>
      <c r="T128" s="224">
        <v>14579421.985697825</v>
      </c>
      <c r="U128" s="224">
        <f t="shared" si="76"/>
        <v>14579421.985697825</v>
      </c>
      <c r="V128" s="224">
        <f t="shared" si="76"/>
        <v>14579421.985697825</v>
      </c>
      <c r="W128" s="224">
        <f t="shared" si="76"/>
        <v>14579421.985697825</v>
      </c>
      <c r="X128" s="226">
        <v>14579421.985697825</v>
      </c>
      <c r="Y128" s="226">
        <f t="shared" si="77"/>
        <v>14579421.985697825</v>
      </c>
      <c r="Z128" s="226">
        <f t="shared" si="77"/>
        <v>14579421.985697825</v>
      </c>
      <c r="AA128" s="224">
        <v>14579421.985697825</v>
      </c>
      <c r="AB128" s="224">
        <v>14579421.985697825</v>
      </c>
      <c r="AC128" s="224">
        <v>14579421.985697825</v>
      </c>
      <c r="AD128" s="224">
        <f t="shared" si="47"/>
        <v>14579421.985697825</v>
      </c>
      <c r="AE128" s="224">
        <v>14579421.985697825</v>
      </c>
      <c r="AF128" s="224">
        <v>14579421.985697825</v>
      </c>
      <c r="AG128" s="224">
        <f t="shared" si="48"/>
        <v>14579421.985697825</v>
      </c>
      <c r="AH128" s="226">
        <v>14660965.522358431</v>
      </c>
      <c r="AI128" s="226">
        <f t="shared" si="78"/>
        <v>14660965.522358431</v>
      </c>
      <c r="AJ128" s="226">
        <f t="shared" si="78"/>
        <v>14660965.522358431</v>
      </c>
      <c r="AK128" s="226">
        <f t="shared" si="78"/>
        <v>14660965.522358431</v>
      </c>
      <c r="AL128" s="226">
        <f t="shared" si="78"/>
        <v>14660965.522358431</v>
      </c>
      <c r="AM128" s="226">
        <f t="shared" si="78"/>
        <v>14660965.522358431</v>
      </c>
      <c r="AN128" s="235">
        <v>14660965.522358431</v>
      </c>
      <c r="AO128" s="235">
        <f t="shared" si="79"/>
        <v>14660965.522358431</v>
      </c>
      <c r="AP128" s="235">
        <f t="shared" si="79"/>
        <v>14660965.522358431</v>
      </c>
      <c r="AQ128" s="236">
        <f t="shared" si="79"/>
        <v>14660965.522358431</v>
      </c>
      <c r="AR128" s="236">
        <f t="shared" si="79"/>
        <v>14660965.522358431</v>
      </c>
      <c r="AS128" s="236">
        <f t="shared" si="79"/>
        <v>14660965.522358431</v>
      </c>
      <c r="AT128" s="236">
        <f t="shared" si="79"/>
        <v>14660965.522358431</v>
      </c>
      <c r="AU128" s="236">
        <f t="shared" si="79"/>
        <v>14660965.522358431</v>
      </c>
      <c r="AV128" s="236">
        <f t="shared" si="79"/>
        <v>14660965.522358431</v>
      </c>
      <c r="AW128" s="226">
        <v>14613164.138798764</v>
      </c>
      <c r="AX128" s="226">
        <f t="shared" si="80"/>
        <v>14613164.138798764</v>
      </c>
      <c r="AY128" s="226">
        <f t="shared" si="80"/>
        <v>14613164.138798764</v>
      </c>
      <c r="AZ128" s="226">
        <f t="shared" si="80"/>
        <v>14613164.138798764</v>
      </c>
      <c r="BA128" s="226">
        <f t="shared" si="80"/>
        <v>14613164.138798764</v>
      </c>
      <c r="BB128" s="226">
        <f t="shared" si="80"/>
        <v>14613164.138798764</v>
      </c>
      <c r="BC128" s="226">
        <v>14613164.138798764</v>
      </c>
      <c r="BD128" s="224">
        <f t="shared" si="81"/>
        <v>14613164.138798764</v>
      </c>
      <c r="BE128" s="224">
        <f t="shared" si="81"/>
        <v>14613164.138798764</v>
      </c>
      <c r="BF128" s="224">
        <f t="shared" si="81"/>
        <v>14613164.138798764</v>
      </c>
      <c r="BG128" s="224">
        <f t="shared" si="81"/>
        <v>14613164.138798764</v>
      </c>
      <c r="BH128" s="224">
        <f t="shared" si="81"/>
        <v>14613164.138798764</v>
      </c>
      <c r="BI128" s="224">
        <f t="shared" si="81"/>
        <v>14613164.138798764</v>
      </c>
      <c r="BJ128" s="224">
        <f t="shared" si="81"/>
        <v>14613164.138798764</v>
      </c>
      <c r="BK128" s="224">
        <f t="shared" si="81"/>
        <v>14613164.138798764</v>
      </c>
      <c r="BL128" s="224">
        <f t="shared" si="81"/>
        <v>14613164.138798764</v>
      </c>
      <c r="BM128" s="224">
        <f t="shared" si="81"/>
        <v>14613164.138798764</v>
      </c>
      <c r="BN128" s="224">
        <f t="shared" si="81"/>
        <v>14613164.138798764</v>
      </c>
      <c r="BO128" s="224">
        <f t="shared" si="81"/>
        <v>14613164.138798764</v>
      </c>
    </row>
    <row r="129" spans="1:67">
      <c r="A129" s="223">
        <f t="shared" si="75"/>
        <v>10</v>
      </c>
      <c r="B129" s="151" t="s">
        <v>116</v>
      </c>
      <c r="C129" s="223">
        <v>127</v>
      </c>
      <c r="D129" s="224">
        <v>13420576.521873249</v>
      </c>
      <c r="E129" s="225">
        <f t="shared" si="74"/>
        <v>13420576.521873249</v>
      </c>
      <c r="F129" s="225">
        <f t="shared" si="74"/>
        <v>13420576.521873249</v>
      </c>
      <c r="G129" s="225">
        <f t="shared" si="74"/>
        <v>13420576.521873249</v>
      </c>
      <c r="H129" s="225">
        <f t="shared" si="74"/>
        <v>13420576.521873249</v>
      </c>
      <c r="I129" s="225">
        <f t="shared" si="74"/>
        <v>13420576.521873249</v>
      </c>
      <c r="J129" s="225">
        <f t="shared" si="74"/>
        <v>13420576.521873249</v>
      </c>
      <c r="K129" s="237">
        <f t="shared" si="74"/>
        <v>13420576.521873249</v>
      </c>
      <c r="L129" s="237">
        <f t="shared" si="73"/>
        <v>13420576.521873249</v>
      </c>
      <c r="M129" s="237">
        <f t="shared" si="73"/>
        <v>13420576.521873249</v>
      </c>
      <c r="N129" s="237">
        <f t="shared" si="73"/>
        <v>13420576.521873249</v>
      </c>
      <c r="O129" s="237">
        <f t="shared" si="73"/>
        <v>13420576.521873249</v>
      </c>
      <c r="P129" s="237">
        <f t="shared" si="73"/>
        <v>13420576.521873249</v>
      </c>
      <c r="Q129" s="237">
        <f t="shared" si="73"/>
        <v>13420576.521873249</v>
      </c>
      <c r="R129" s="237">
        <f t="shared" si="73"/>
        <v>13420576.521873249</v>
      </c>
      <c r="S129" s="237">
        <f t="shared" si="73"/>
        <v>13420576.521873249</v>
      </c>
      <c r="T129" s="224">
        <v>13420576.521873249</v>
      </c>
      <c r="U129" s="224">
        <f t="shared" si="76"/>
        <v>13420576.521873249</v>
      </c>
      <c r="V129" s="224">
        <f t="shared" si="76"/>
        <v>13420576.521873249</v>
      </c>
      <c r="W129" s="224">
        <f t="shared" si="76"/>
        <v>13420576.521873249</v>
      </c>
      <c r="X129" s="226">
        <v>13420576.521873249</v>
      </c>
      <c r="Y129" s="226">
        <f t="shared" si="77"/>
        <v>13420576.521873249</v>
      </c>
      <c r="Z129" s="226">
        <f t="shared" si="77"/>
        <v>13420576.521873249</v>
      </c>
      <c r="AA129" s="224">
        <v>13420576.521873249</v>
      </c>
      <c r="AB129" s="224">
        <v>13420576.521873249</v>
      </c>
      <c r="AC129" s="224">
        <v>13420576.521873249</v>
      </c>
      <c r="AD129" s="224">
        <f t="shared" si="47"/>
        <v>13420576.521873249</v>
      </c>
      <c r="AE129" s="224">
        <v>13420576.521873249</v>
      </c>
      <c r="AF129" s="224">
        <v>13420576.521873249</v>
      </c>
      <c r="AG129" s="224">
        <f t="shared" si="48"/>
        <v>13420576.521873249</v>
      </c>
      <c r="AH129" s="226">
        <v>13495638.5699223</v>
      </c>
      <c r="AI129" s="226">
        <f t="shared" si="78"/>
        <v>13495638.5699223</v>
      </c>
      <c r="AJ129" s="226">
        <f t="shared" si="78"/>
        <v>13495638.5699223</v>
      </c>
      <c r="AK129" s="226">
        <f t="shared" si="78"/>
        <v>13495638.5699223</v>
      </c>
      <c r="AL129" s="226">
        <f t="shared" si="78"/>
        <v>13495638.5699223</v>
      </c>
      <c r="AM129" s="226">
        <f t="shared" si="78"/>
        <v>13495638.5699223</v>
      </c>
      <c r="AN129" s="235">
        <v>13495638.5699223</v>
      </c>
      <c r="AO129" s="235">
        <f t="shared" si="79"/>
        <v>13495638.5699223</v>
      </c>
      <c r="AP129" s="235">
        <f t="shared" si="79"/>
        <v>13495638.5699223</v>
      </c>
      <c r="AQ129" s="236">
        <f t="shared" si="79"/>
        <v>13495638.5699223</v>
      </c>
      <c r="AR129" s="236">
        <f t="shared" si="79"/>
        <v>13495638.5699223</v>
      </c>
      <c r="AS129" s="236">
        <f t="shared" si="79"/>
        <v>13495638.5699223</v>
      </c>
      <c r="AT129" s="236">
        <f t="shared" si="79"/>
        <v>13495638.5699223</v>
      </c>
      <c r="AU129" s="236">
        <f t="shared" si="79"/>
        <v>13495638.5699223</v>
      </c>
      <c r="AV129" s="236">
        <f t="shared" si="79"/>
        <v>13495638.5699223</v>
      </c>
      <c r="AW129" s="226">
        <v>13451636.679686649</v>
      </c>
      <c r="AX129" s="226">
        <f t="shared" si="80"/>
        <v>13451636.679686649</v>
      </c>
      <c r="AY129" s="226">
        <f t="shared" si="80"/>
        <v>13451636.679686649</v>
      </c>
      <c r="AZ129" s="226">
        <f t="shared" si="80"/>
        <v>13451636.679686649</v>
      </c>
      <c r="BA129" s="226">
        <f t="shared" si="80"/>
        <v>13451636.679686649</v>
      </c>
      <c r="BB129" s="226">
        <f t="shared" si="80"/>
        <v>13451636.679686649</v>
      </c>
      <c r="BC129" s="226">
        <v>13451636.679686649</v>
      </c>
      <c r="BD129" s="224">
        <f t="shared" si="81"/>
        <v>13451636.679686649</v>
      </c>
      <c r="BE129" s="224">
        <f t="shared" si="81"/>
        <v>13451636.679686649</v>
      </c>
      <c r="BF129" s="224">
        <f t="shared" si="81"/>
        <v>13451636.679686649</v>
      </c>
      <c r="BG129" s="224">
        <f t="shared" si="81"/>
        <v>13451636.679686649</v>
      </c>
      <c r="BH129" s="224">
        <f t="shared" si="81"/>
        <v>13451636.679686649</v>
      </c>
      <c r="BI129" s="224">
        <f t="shared" si="81"/>
        <v>13451636.679686649</v>
      </c>
      <c r="BJ129" s="224">
        <f t="shared" si="81"/>
        <v>13451636.679686649</v>
      </c>
      <c r="BK129" s="224">
        <f t="shared" si="81"/>
        <v>13451636.679686649</v>
      </c>
      <c r="BL129" s="224">
        <f t="shared" si="81"/>
        <v>13451636.679686649</v>
      </c>
      <c r="BM129" s="224">
        <f t="shared" si="81"/>
        <v>13451636.679686649</v>
      </c>
      <c r="BN129" s="224">
        <f t="shared" si="81"/>
        <v>13451636.679686649</v>
      </c>
      <c r="BO129" s="224">
        <f t="shared" si="81"/>
        <v>13451636.679686649</v>
      </c>
    </row>
    <row r="130" spans="1:67" ht="30">
      <c r="A130" s="223">
        <f t="shared" si="75"/>
        <v>11</v>
      </c>
      <c r="B130" s="228" t="s">
        <v>121</v>
      </c>
      <c r="C130" s="223">
        <v>128</v>
      </c>
      <c r="D130" s="224">
        <v>11368584.78324325</v>
      </c>
      <c r="E130" s="225">
        <f t="shared" si="74"/>
        <v>11368584.78324325</v>
      </c>
      <c r="F130" s="225">
        <f t="shared" si="74"/>
        <v>11368584.78324325</v>
      </c>
      <c r="G130" s="225">
        <f t="shared" si="74"/>
        <v>11368584.78324325</v>
      </c>
      <c r="H130" s="225">
        <f t="shared" si="74"/>
        <v>11368584.78324325</v>
      </c>
      <c r="I130" s="225">
        <f t="shared" si="74"/>
        <v>11368584.78324325</v>
      </c>
      <c r="J130" s="225">
        <f t="shared" si="74"/>
        <v>11368584.78324325</v>
      </c>
      <c r="K130" s="237">
        <f t="shared" si="74"/>
        <v>11368584.78324325</v>
      </c>
      <c r="L130" s="237">
        <f t="shared" si="73"/>
        <v>11368584.78324325</v>
      </c>
      <c r="M130" s="237">
        <f t="shared" si="73"/>
        <v>11368584.78324325</v>
      </c>
      <c r="N130" s="237">
        <f t="shared" si="73"/>
        <v>11368584.78324325</v>
      </c>
      <c r="O130" s="237">
        <f t="shared" si="73"/>
        <v>11368584.78324325</v>
      </c>
      <c r="P130" s="237">
        <f t="shared" si="73"/>
        <v>11368584.78324325</v>
      </c>
      <c r="Q130" s="237">
        <f t="shared" si="73"/>
        <v>11368584.78324325</v>
      </c>
      <c r="R130" s="237">
        <f t="shared" si="73"/>
        <v>11368584.78324325</v>
      </c>
      <c r="S130" s="237">
        <f t="shared" si="73"/>
        <v>11368584.78324325</v>
      </c>
      <c r="T130" s="224">
        <v>11368584.78324325</v>
      </c>
      <c r="U130" s="224">
        <f t="shared" si="76"/>
        <v>11368584.78324325</v>
      </c>
      <c r="V130" s="224">
        <f t="shared" si="76"/>
        <v>11368584.78324325</v>
      </c>
      <c r="W130" s="224">
        <f t="shared" si="76"/>
        <v>11368584.78324325</v>
      </c>
      <c r="X130" s="226">
        <v>11368584.78324325</v>
      </c>
      <c r="Y130" s="226">
        <f t="shared" si="77"/>
        <v>11368584.78324325</v>
      </c>
      <c r="Z130" s="226">
        <f t="shared" si="77"/>
        <v>11368584.78324325</v>
      </c>
      <c r="AA130" s="224">
        <v>11368584.78324325</v>
      </c>
      <c r="AB130" s="224">
        <v>11368584.78324325</v>
      </c>
      <c r="AC130" s="224">
        <v>11368584.78324325</v>
      </c>
      <c r="AD130" s="224">
        <f t="shared" si="47"/>
        <v>11368584.78324325</v>
      </c>
      <c r="AE130" s="224">
        <v>11368584.78324325</v>
      </c>
      <c r="AF130" s="224">
        <v>11368584.78324325</v>
      </c>
      <c r="AG130" s="224">
        <f t="shared" si="48"/>
        <v>11368584.78324325</v>
      </c>
      <c r="AH130" s="226">
        <v>11432169.924750298</v>
      </c>
      <c r="AI130" s="226">
        <f t="shared" si="78"/>
        <v>11432169.924750298</v>
      </c>
      <c r="AJ130" s="226">
        <f t="shared" si="78"/>
        <v>11432169.924750298</v>
      </c>
      <c r="AK130" s="226">
        <f t="shared" si="78"/>
        <v>11432169.924750298</v>
      </c>
      <c r="AL130" s="226">
        <f t="shared" si="78"/>
        <v>11432169.924750298</v>
      </c>
      <c r="AM130" s="226">
        <f t="shared" si="78"/>
        <v>11432169.924750298</v>
      </c>
      <c r="AN130" s="235">
        <v>11432169.924750298</v>
      </c>
      <c r="AO130" s="235">
        <f t="shared" si="79"/>
        <v>11432169.924750298</v>
      </c>
      <c r="AP130" s="235">
        <f t="shared" si="79"/>
        <v>11432169.924750298</v>
      </c>
      <c r="AQ130" s="236">
        <f t="shared" si="79"/>
        <v>11432169.924750298</v>
      </c>
      <c r="AR130" s="236">
        <f t="shared" si="79"/>
        <v>11432169.924750298</v>
      </c>
      <c r="AS130" s="236">
        <f t="shared" si="79"/>
        <v>11432169.924750298</v>
      </c>
      <c r="AT130" s="236">
        <f t="shared" si="79"/>
        <v>11432169.924750298</v>
      </c>
      <c r="AU130" s="236">
        <f t="shared" si="79"/>
        <v>11432169.924750298</v>
      </c>
      <c r="AV130" s="236">
        <f t="shared" si="79"/>
        <v>11432169.924750298</v>
      </c>
      <c r="AW130" s="226">
        <v>11394895.876280649</v>
      </c>
      <c r="AX130" s="226">
        <f t="shared" si="80"/>
        <v>11394895.876280649</v>
      </c>
      <c r="AY130" s="226">
        <f t="shared" si="80"/>
        <v>11394895.876280649</v>
      </c>
      <c r="AZ130" s="226">
        <f t="shared" si="80"/>
        <v>11394895.876280649</v>
      </c>
      <c r="BA130" s="226">
        <f t="shared" si="80"/>
        <v>11394895.876280649</v>
      </c>
      <c r="BB130" s="226">
        <f t="shared" si="80"/>
        <v>11394895.876280649</v>
      </c>
      <c r="BC130" s="226">
        <v>11394895.876280649</v>
      </c>
      <c r="BD130" s="224">
        <f t="shared" si="81"/>
        <v>11394895.876280649</v>
      </c>
      <c r="BE130" s="224">
        <f t="shared" si="81"/>
        <v>11394895.876280649</v>
      </c>
      <c r="BF130" s="224">
        <f t="shared" si="81"/>
        <v>11394895.876280649</v>
      </c>
      <c r="BG130" s="224">
        <f t="shared" si="81"/>
        <v>11394895.876280649</v>
      </c>
      <c r="BH130" s="224">
        <f t="shared" si="81"/>
        <v>11394895.876280649</v>
      </c>
      <c r="BI130" s="224">
        <f t="shared" si="81"/>
        <v>11394895.876280649</v>
      </c>
      <c r="BJ130" s="224">
        <f t="shared" si="81"/>
        <v>11394895.876280649</v>
      </c>
      <c r="BK130" s="224">
        <f t="shared" si="81"/>
        <v>11394895.876280649</v>
      </c>
      <c r="BL130" s="224">
        <f t="shared" si="81"/>
        <v>11394895.876280649</v>
      </c>
      <c r="BM130" s="224">
        <f t="shared" si="81"/>
        <v>11394895.876280649</v>
      </c>
      <c r="BN130" s="224">
        <f t="shared" si="81"/>
        <v>11394895.876280649</v>
      </c>
      <c r="BO130" s="224">
        <f t="shared" si="81"/>
        <v>11394895.876280649</v>
      </c>
    </row>
    <row r="131" spans="1:67">
      <c r="A131" s="229" t="s">
        <v>223</v>
      </c>
      <c r="B131" s="230" t="s">
        <v>122</v>
      </c>
      <c r="C131" s="223">
        <v>129</v>
      </c>
      <c r="D131" s="224"/>
      <c r="E131" s="225">
        <f t="shared" si="74"/>
        <v>0</v>
      </c>
      <c r="F131" s="225">
        <f t="shared" si="74"/>
        <v>0</v>
      </c>
      <c r="G131" s="225">
        <f t="shared" si="74"/>
        <v>0</v>
      </c>
      <c r="H131" s="225">
        <f t="shared" si="74"/>
        <v>0</v>
      </c>
      <c r="I131" s="225">
        <f t="shared" si="74"/>
        <v>0</v>
      </c>
      <c r="J131" s="225">
        <f t="shared" si="74"/>
        <v>0</v>
      </c>
      <c r="K131" s="237"/>
      <c r="L131" s="237">
        <f t="shared" si="73"/>
        <v>0</v>
      </c>
      <c r="M131" s="237">
        <f t="shared" si="73"/>
        <v>0</v>
      </c>
      <c r="N131" s="237">
        <f t="shared" si="73"/>
        <v>0</v>
      </c>
      <c r="O131" s="237">
        <f t="shared" si="73"/>
        <v>0</v>
      </c>
      <c r="P131" s="237">
        <f t="shared" si="73"/>
        <v>0</v>
      </c>
      <c r="Q131" s="237">
        <f t="shared" si="73"/>
        <v>0</v>
      </c>
      <c r="R131" s="237">
        <f t="shared" si="73"/>
        <v>0</v>
      </c>
      <c r="S131" s="237">
        <f t="shared" si="73"/>
        <v>0</v>
      </c>
      <c r="T131" s="224"/>
      <c r="U131" s="224">
        <f t="shared" si="76"/>
        <v>0</v>
      </c>
      <c r="V131" s="224">
        <f t="shared" si="76"/>
        <v>0</v>
      </c>
      <c r="W131" s="224">
        <f t="shared" si="76"/>
        <v>0</v>
      </c>
      <c r="X131" s="226"/>
      <c r="Y131" s="226">
        <f t="shared" si="77"/>
        <v>0</v>
      </c>
      <c r="Z131" s="226">
        <f t="shared" si="77"/>
        <v>0</v>
      </c>
      <c r="AA131" s="224"/>
      <c r="AB131" s="224"/>
      <c r="AC131" s="224"/>
      <c r="AD131" s="224">
        <f t="shared" si="47"/>
        <v>0</v>
      </c>
      <c r="AE131" s="224"/>
      <c r="AF131" s="224"/>
      <c r="AG131" s="224">
        <f t="shared" si="48"/>
        <v>0</v>
      </c>
      <c r="AH131" s="226"/>
      <c r="AI131" s="226">
        <f t="shared" si="78"/>
        <v>0</v>
      </c>
      <c r="AJ131" s="226">
        <f t="shared" si="78"/>
        <v>0</v>
      </c>
      <c r="AK131" s="226">
        <f t="shared" si="78"/>
        <v>0</v>
      </c>
      <c r="AL131" s="226">
        <f t="shared" si="78"/>
        <v>0</v>
      </c>
      <c r="AM131" s="226">
        <f t="shared" si="78"/>
        <v>0</v>
      </c>
      <c r="AN131" s="235"/>
      <c r="AO131" s="235">
        <f t="shared" si="79"/>
        <v>0</v>
      </c>
      <c r="AP131" s="235">
        <f t="shared" si="79"/>
        <v>0</v>
      </c>
      <c r="AQ131" s="236">
        <f t="shared" si="79"/>
        <v>0</v>
      </c>
      <c r="AR131" s="236">
        <f t="shared" si="79"/>
        <v>0</v>
      </c>
      <c r="AS131" s="236">
        <f t="shared" si="79"/>
        <v>0</v>
      </c>
      <c r="AT131" s="236">
        <f t="shared" si="79"/>
        <v>0</v>
      </c>
      <c r="AU131" s="236">
        <f t="shared" si="79"/>
        <v>0</v>
      </c>
      <c r="AV131" s="236">
        <f t="shared" si="79"/>
        <v>0</v>
      </c>
      <c r="AW131" s="226"/>
      <c r="AX131" s="226">
        <f t="shared" si="80"/>
        <v>0</v>
      </c>
      <c r="AY131" s="226">
        <f t="shared" si="80"/>
        <v>0</v>
      </c>
      <c r="AZ131" s="226">
        <f t="shared" si="80"/>
        <v>0</v>
      </c>
      <c r="BA131" s="226">
        <f t="shared" si="80"/>
        <v>0</v>
      </c>
      <c r="BB131" s="226">
        <f t="shared" si="80"/>
        <v>0</v>
      </c>
      <c r="BC131" s="224"/>
      <c r="BD131" s="224">
        <f t="shared" si="81"/>
        <v>0</v>
      </c>
      <c r="BE131" s="224">
        <f t="shared" si="81"/>
        <v>0</v>
      </c>
      <c r="BF131" s="224">
        <f t="shared" si="81"/>
        <v>0</v>
      </c>
      <c r="BG131" s="224">
        <f t="shared" si="81"/>
        <v>0</v>
      </c>
      <c r="BH131" s="224">
        <f t="shared" si="81"/>
        <v>0</v>
      </c>
      <c r="BI131" s="224">
        <f t="shared" si="81"/>
        <v>0</v>
      </c>
      <c r="BJ131" s="224">
        <f t="shared" si="81"/>
        <v>0</v>
      </c>
      <c r="BK131" s="224">
        <f t="shared" si="81"/>
        <v>0</v>
      </c>
      <c r="BL131" s="224">
        <f t="shared" si="81"/>
        <v>0</v>
      </c>
      <c r="BM131" s="224">
        <f t="shared" si="81"/>
        <v>0</v>
      </c>
      <c r="BN131" s="224">
        <f t="shared" si="81"/>
        <v>0</v>
      </c>
      <c r="BO131" s="224">
        <f t="shared" si="81"/>
        <v>0</v>
      </c>
    </row>
    <row r="132" spans="1:67">
      <c r="A132" s="229">
        <v>1</v>
      </c>
      <c r="B132" s="230" t="s">
        <v>123</v>
      </c>
      <c r="C132" s="223">
        <v>130</v>
      </c>
      <c r="D132" s="224"/>
      <c r="E132" s="225">
        <f t="shared" si="74"/>
        <v>0</v>
      </c>
      <c r="F132" s="225">
        <f t="shared" si="74"/>
        <v>0</v>
      </c>
      <c r="G132" s="225">
        <f t="shared" si="74"/>
        <v>0</v>
      </c>
      <c r="H132" s="225">
        <f t="shared" si="74"/>
        <v>0</v>
      </c>
      <c r="I132" s="225">
        <f t="shared" si="74"/>
        <v>0</v>
      </c>
      <c r="J132" s="225">
        <f t="shared" si="74"/>
        <v>0</v>
      </c>
      <c r="K132" s="237"/>
      <c r="L132" s="237">
        <f t="shared" si="73"/>
        <v>0</v>
      </c>
      <c r="M132" s="237">
        <f t="shared" si="73"/>
        <v>0</v>
      </c>
      <c r="N132" s="237">
        <f t="shared" si="73"/>
        <v>0</v>
      </c>
      <c r="O132" s="237">
        <f t="shared" si="73"/>
        <v>0</v>
      </c>
      <c r="P132" s="237">
        <f t="shared" si="73"/>
        <v>0</v>
      </c>
      <c r="Q132" s="237">
        <f t="shared" si="73"/>
        <v>0</v>
      </c>
      <c r="R132" s="237">
        <f t="shared" si="73"/>
        <v>0</v>
      </c>
      <c r="S132" s="237">
        <f t="shared" si="73"/>
        <v>0</v>
      </c>
      <c r="T132" s="224"/>
      <c r="U132" s="224">
        <f t="shared" si="76"/>
        <v>0</v>
      </c>
      <c r="V132" s="224">
        <f t="shared" si="76"/>
        <v>0</v>
      </c>
      <c r="W132" s="224">
        <f t="shared" si="76"/>
        <v>0</v>
      </c>
      <c r="X132" s="226"/>
      <c r="Y132" s="226">
        <f t="shared" si="77"/>
        <v>0</v>
      </c>
      <c r="Z132" s="226">
        <f t="shared" si="77"/>
        <v>0</v>
      </c>
      <c r="AA132" s="224"/>
      <c r="AB132" s="224"/>
      <c r="AC132" s="224"/>
      <c r="AD132" s="224">
        <f t="shared" si="47"/>
        <v>0</v>
      </c>
      <c r="AE132" s="224"/>
      <c r="AF132" s="224"/>
      <c r="AG132" s="224">
        <f t="shared" si="48"/>
        <v>0</v>
      </c>
      <c r="AH132" s="226"/>
      <c r="AI132" s="226">
        <f t="shared" si="78"/>
        <v>0</v>
      </c>
      <c r="AJ132" s="226">
        <f t="shared" si="78"/>
        <v>0</v>
      </c>
      <c r="AK132" s="226">
        <f t="shared" si="78"/>
        <v>0</v>
      </c>
      <c r="AL132" s="226">
        <f t="shared" si="78"/>
        <v>0</v>
      </c>
      <c r="AM132" s="226">
        <f t="shared" si="78"/>
        <v>0</v>
      </c>
      <c r="AN132" s="235"/>
      <c r="AO132" s="235">
        <f t="shared" si="79"/>
        <v>0</v>
      </c>
      <c r="AP132" s="235">
        <f t="shared" si="79"/>
        <v>0</v>
      </c>
      <c r="AQ132" s="236">
        <f t="shared" si="79"/>
        <v>0</v>
      </c>
      <c r="AR132" s="236">
        <f t="shared" si="79"/>
        <v>0</v>
      </c>
      <c r="AS132" s="236">
        <f t="shared" si="79"/>
        <v>0</v>
      </c>
      <c r="AT132" s="236">
        <f t="shared" si="79"/>
        <v>0</v>
      </c>
      <c r="AU132" s="236">
        <f t="shared" si="79"/>
        <v>0</v>
      </c>
      <c r="AV132" s="236">
        <f t="shared" si="79"/>
        <v>0</v>
      </c>
      <c r="AW132" s="226"/>
      <c r="AX132" s="226">
        <f t="shared" si="80"/>
        <v>0</v>
      </c>
      <c r="AY132" s="226">
        <f t="shared" si="80"/>
        <v>0</v>
      </c>
      <c r="AZ132" s="226">
        <f t="shared" si="80"/>
        <v>0</v>
      </c>
      <c r="BA132" s="226">
        <f t="shared" si="80"/>
        <v>0</v>
      </c>
      <c r="BB132" s="226">
        <f t="shared" si="80"/>
        <v>0</v>
      </c>
      <c r="BC132" s="224"/>
      <c r="BD132" s="224">
        <f t="shared" si="81"/>
        <v>0</v>
      </c>
      <c r="BE132" s="224">
        <f t="shared" si="81"/>
        <v>0</v>
      </c>
      <c r="BF132" s="224">
        <f t="shared" si="81"/>
        <v>0</v>
      </c>
      <c r="BG132" s="224">
        <f t="shared" si="81"/>
        <v>0</v>
      </c>
      <c r="BH132" s="224">
        <f t="shared" si="81"/>
        <v>0</v>
      </c>
      <c r="BI132" s="224">
        <f t="shared" si="81"/>
        <v>0</v>
      </c>
      <c r="BJ132" s="224">
        <f t="shared" si="81"/>
        <v>0</v>
      </c>
      <c r="BK132" s="224">
        <f t="shared" si="81"/>
        <v>0</v>
      </c>
      <c r="BL132" s="224">
        <f t="shared" si="81"/>
        <v>0</v>
      </c>
      <c r="BM132" s="224">
        <f t="shared" si="81"/>
        <v>0</v>
      </c>
      <c r="BN132" s="224">
        <f t="shared" si="81"/>
        <v>0</v>
      </c>
      <c r="BO132" s="224">
        <f t="shared" si="81"/>
        <v>0</v>
      </c>
    </row>
    <row r="133" spans="1:67">
      <c r="A133" s="223" t="s">
        <v>1</v>
      </c>
      <c r="B133" s="151" t="s">
        <v>443</v>
      </c>
      <c r="C133" s="223">
        <v>131</v>
      </c>
      <c r="D133" s="224">
        <v>4494346.3455720553</v>
      </c>
      <c r="E133" s="225">
        <f t="shared" si="74"/>
        <v>4494346.3455720553</v>
      </c>
      <c r="F133" s="225">
        <f t="shared" si="74"/>
        <v>4494346.3455720553</v>
      </c>
      <c r="G133" s="225">
        <f t="shared" si="74"/>
        <v>4494346.3455720553</v>
      </c>
      <c r="H133" s="225">
        <f t="shared" si="74"/>
        <v>4494346.3455720553</v>
      </c>
      <c r="I133" s="225">
        <f t="shared" si="74"/>
        <v>4494346.3455720553</v>
      </c>
      <c r="J133" s="225">
        <f t="shared" si="74"/>
        <v>4494346.3455720553</v>
      </c>
      <c r="K133" s="237">
        <f t="shared" si="74"/>
        <v>4494346.3455720553</v>
      </c>
      <c r="L133" s="237">
        <f t="shared" si="74"/>
        <v>4494346.3455720553</v>
      </c>
      <c r="M133" s="237">
        <f t="shared" si="74"/>
        <v>4494346.3455720553</v>
      </c>
      <c r="N133" s="237">
        <f t="shared" si="74"/>
        <v>4494346.3455720553</v>
      </c>
      <c r="O133" s="237">
        <f t="shared" si="74"/>
        <v>4494346.3455720553</v>
      </c>
      <c r="P133" s="237">
        <f t="shared" si="74"/>
        <v>4494346.3455720553</v>
      </c>
      <c r="Q133" s="237">
        <f t="shared" si="74"/>
        <v>4494346.3455720553</v>
      </c>
      <c r="R133" s="237">
        <f t="shared" si="74"/>
        <v>4494346.3455720553</v>
      </c>
      <c r="S133" s="237">
        <f t="shared" si="74"/>
        <v>4494346.3455720553</v>
      </c>
      <c r="T133" s="224">
        <v>4494346.3455720553</v>
      </c>
      <c r="U133" s="224">
        <f t="shared" si="76"/>
        <v>4494346.3455720553</v>
      </c>
      <c r="V133" s="224">
        <f t="shared" si="76"/>
        <v>4494346.3455720553</v>
      </c>
      <c r="W133" s="224">
        <f t="shared" si="76"/>
        <v>4494346.3455720553</v>
      </c>
      <c r="X133" s="226">
        <v>4494346.3455720553</v>
      </c>
      <c r="Y133" s="226">
        <f t="shared" si="77"/>
        <v>4494346.3455720553</v>
      </c>
      <c r="Z133" s="226">
        <f t="shared" si="77"/>
        <v>4494346.3455720553</v>
      </c>
      <c r="AA133" s="224">
        <v>4494346.3455720553</v>
      </c>
      <c r="AB133" s="224">
        <v>4494346.3455720553</v>
      </c>
      <c r="AC133" s="224">
        <v>4494346.3455720553</v>
      </c>
      <c r="AD133" s="224">
        <f t="shared" si="47"/>
        <v>4494346.3455720553</v>
      </c>
      <c r="AE133" s="224">
        <v>4494346.3455720553</v>
      </c>
      <c r="AF133" s="224">
        <v>4494346.3455720553</v>
      </c>
      <c r="AG133" s="224">
        <f t="shared" si="48"/>
        <v>4494346.3455720553</v>
      </c>
      <c r="AH133" s="226">
        <v>4519483.4803881766</v>
      </c>
      <c r="AI133" s="226">
        <f t="shared" si="78"/>
        <v>4519483.4803881766</v>
      </c>
      <c r="AJ133" s="226">
        <f t="shared" si="78"/>
        <v>4519483.4803881766</v>
      </c>
      <c r="AK133" s="226">
        <f t="shared" si="78"/>
        <v>4519483.4803881766</v>
      </c>
      <c r="AL133" s="226">
        <f t="shared" si="78"/>
        <v>4519483.4803881766</v>
      </c>
      <c r="AM133" s="226">
        <f t="shared" si="78"/>
        <v>4519483.4803881766</v>
      </c>
      <c r="AN133" s="235">
        <v>4519483.4803881766</v>
      </c>
      <c r="AO133" s="235">
        <f t="shared" si="79"/>
        <v>4519483.4803881766</v>
      </c>
      <c r="AP133" s="235">
        <f t="shared" si="79"/>
        <v>4519483.4803881766</v>
      </c>
      <c r="AQ133" s="236">
        <f t="shared" si="79"/>
        <v>4519483.4803881766</v>
      </c>
      <c r="AR133" s="236">
        <f t="shared" si="79"/>
        <v>4519483.4803881766</v>
      </c>
      <c r="AS133" s="236">
        <f t="shared" si="79"/>
        <v>4519483.4803881766</v>
      </c>
      <c r="AT133" s="236">
        <f t="shared" si="79"/>
        <v>4519483.4803881766</v>
      </c>
      <c r="AU133" s="236">
        <f t="shared" si="79"/>
        <v>4519483.4803881766</v>
      </c>
      <c r="AV133" s="236">
        <f t="shared" si="79"/>
        <v>4519483.4803881766</v>
      </c>
      <c r="AW133" s="226">
        <v>4504747.9185994165</v>
      </c>
      <c r="AX133" s="226">
        <f t="shared" si="80"/>
        <v>4504747.9185994165</v>
      </c>
      <c r="AY133" s="226">
        <f t="shared" si="80"/>
        <v>4504747.9185994165</v>
      </c>
      <c r="AZ133" s="226">
        <f t="shared" si="80"/>
        <v>4504747.9185994165</v>
      </c>
      <c r="BA133" s="226">
        <f t="shared" si="80"/>
        <v>4504747.9185994165</v>
      </c>
      <c r="BB133" s="226">
        <f t="shared" si="80"/>
        <v>4504747.9185994165</v>
      </c>
      <c r="BC133" s="226">
        <v>4504747.9185994165</v>
      </c>
      <c r="BD133" s="224">
        <f t="shared" si="81"/>
        <v>4504747.9185994165</v>
      </c>
      <c r="BE133" s="224">
        <f t="shared" si="81"/>
        <v>4504747.9185994165</v>
      </c>
      <c r="BF133" s="224">
        <f t="shared" si="81"/>
        <v>4504747.9185994165</v>
      </c>
      <c r="BG133" s="224">
        <f t="shared" si="81"/>
        <v>4504747.9185994165</v>
      </c>
      <c r="BH133" s="224">
        <f t="shared" si="81"/>
        <v>4504747.9185994165</v>
      </c>
      <c r="BI133" s="224">
        <f t="shared" si="81"/>
        <v>4504747.9185994165</v>
      </c>
      <c r="BJ133" s="224">
        <f t="shared" si="81"/>
        <v>4504747.9185994165</v>
      </c>
      <c r="BK133" s="224">
        <f t="shared" si="81"/>
        <v>4504747.9185994165</v>
      </c>
      <c r="BL133" s="224">
        <f t="shared" si="81"/>
        <v>4504747.9185994165</v>
      </c>
      <c r="BM133" s="224">
        <f t="shared" si="81"/>
        <v>4504747.9185994165</v>
      </c>
      <c r="BN133" s="224">
        <f t="shared" si="81"/>
        <v>4504747.9185994165</v>
      </c>
      <c r="BO133" s="224">
        <f t="shared" si="81"/>
        <v>4504747.9185994165</v>
      </c>
    </row>
    <row r="134" spans="1:67">
      <c r="A134" s="223" t="s">
        <v>2</v>
      </c>
      <c r="B134" s="151" t="s">
        <v>444</v>
      </c>
      <c r="C134" s="223">
        <v>132</v>
      </c>
      <c r="D134" s="224">
        <v>6030277.7122716196</v>
      </c>
      <c r="E134" s="225">
        <f t="shared" si="74"/>
        <v>6030277.7122716196</v>
      </c>
      <c r="F134" s="225">
        <f t="shared" si="74"/>
        <v>6030277.7122716196</v>
      </c>
      <c r="G134" s="225">
        <f t="shared" si="74"/>
        <v>6030277.7122716196</v>
      </c>
      <c r="H134" s="225">
        <f t="shared" si="74"/>
        <v>6030277.7122716196</v>
      </c>
      <c r="I134" s="225">
        <f t="shared" si="74"/>
        <v>6030277.7122716196</v>
      </c>
      <c r="J134" s="225">
        <f t="shared" si="74"/>
        <v>6030277.7122716196</v>
      </c>
      <c r="K134" s="237">
        <f t="shared" si="74"/>
        <v>6030277.7122716196</v>
      </c>
      <c r="L134" s="237">
        <f t="shared" si="74"/>
        <v>6030277.7122716196</v>
      </c>
      <c r="M134" s="237">
        <f t="shared" si="74"/>
        <v>6030277.7122716196</v>
      </c>
      <c r="N134" s="237">
        <f t="shared" si="74"/>
        <v>6030277.7122716196</v>
      </c>
      <c r="O134" s="237">
        <f t="shared" si="74"/>
        <v>6030277.7122716196</v>
      </c>
      <c r="P134" s="237">
        <f t="shared" si="74"/>
        <v>6030277.7122716196</v>
      </c>
      <c r="Q134" s="237">
        <f t="shared" si="74"/>
        <v>6030277.7122716196</v>
      </c>
      <c r="R134" s="237">
        <f t="shared" si="74"/>
        <v>6030277.7122716196</v>
      </c>
      <c r="S134" s="237">
        <f t="shared" si="74"/>
        <v>6030277.7122716196</v>
      </c>
      <c r="T134" s="224">
        <v>6030277.7122716196</v>
      </c>
      <c r="U134" s="224">
        <f t="shared" si="76"/>
        <v>6030277.7122716196</v>
      </c>
      <c r="V134" s="224">
        <f t="shared" si="76"/>
        <v>6030277.7122716196</v>
      </c>
      <c r="W134" s="224">
        <f t="shared" si="76"/>
        <v>6030277.7122716196</v>
      </c>
      <c r="X134" s="226">
        <v>6030277.7122716196</v>
      </c>
      <c r="Y134" s="226">
        <f t="shared" si="77"/>
        <v>6030277.7122716196</v>
      </c>
      <c r="Z134" s="226">
        <f t="shared" si="77"/>
        <v>6030277.7122716196</v>
      </c>
      <c r="AA134" s="224">
        <v>6030277.7122716196</v>
      </c>
      <c r="AB134" s="224">
        <v>6030277.7122716196</v>
      </c>
      <c r="AC134" s="224">
        <v>6030277.7122716196</v>
      </c>
      <c r="AD134" s="224">
        <f t="shared" si="47"/>
        <v>6030277.7122716196</v>
      </c>
      <c r="AE134" s="224">
        <v>6030277.7122716196</v>
      </c>
      <c r="AF134" s="224">
        <v>6030277.7122716196</v>
      </c>
      <c r="AG134" s="224">
        <f t="shared" si="48"/>
        <v>6030277.7122716196</v>
      </c>
      <c r="AH134" s="226">
        <v>6064005.3986083362</v>
      </c>
      <c r="AI134" s="226">
        <f t="shared" si="78"/>
        <v>6064005.3986083362</v>
      </c>
      <c r="AJ134" s="226">
        <f t="shared" si="78"/>
        <v>6064005.3986083362</v>
      </c>
      <c r="AK134" s="226">
        <f t="shared" si="78"/>
        <v>6064005.3986083362</v>
      </c>
      <c r="AL134" s="226">
        <f t="shared" si="78"/>
        <v>6064005.3986083362</v>
      </c>
      <c r="AM134" s="226">
        <f t="shared" si="78"/>
        <v>6064005.3986083362</v>
      </c>
      <c r="AN134" s="235">
        <v>6064005.3986083362</v>
      </c>
      <c r="AO134" s="235">
        <f t="shared" si="79"/>
        <v>6064005.3986083362</v>
      </c>
      <c r="AP134" s="235">
        <f t="shared" si="79"/>
        <v>6064005.3986083362</v>
      </c>
      <c r="AQ134" s="236">
        <f t="shared" si="79"/>
        <v>6064005.3986083362</v>
      </c>
      <c r="AR134" s="236">
        <f t="shared" si="79"/>
        <v>6064005.3986083362</v>
      </c>
      <c r="AS134" s="236">
        <f t="shared" si="79"/>
        <v>6064005.3986083362</v>
      </c>
      <c r="AT134" s="236">
        <f t="shared" si="79"/>
        <v>6064005.3986083362</v>
      </c>
      <c r="AU134" s="236">
        <f t="shared" si="79"/>
        <v>6064005.3986083362</v>
      </c>
      <c r="AV134" s="236">
        <f t="shared" si="79"/>
        <v>6064005.3986083362</v>
      </c>
      <c r="AW134" s="226">
        <v>6044233.9962730203</v>
      </c>
      <c r="AX134" s="226">
        <f t="shared" si="80"/>
        <v>6044233.9962730203</v>
      </c>
      <c r="AY134" s="226">
        <f t="shared" si="80"/>
        <v>6044233.9962730203</v>
      </c>
      <c r="AZ134" s="226">
        <f t="shared" si="80"/>
        <v>6044233.9962730203</v>
      </c>
      <c r="BA134" s="226">
        <f t="shared" si="80"/>
        <v>6044233.9962730203</v>
      </c>
      <c r="BB134" s="226">
        <f t="shared" si="80"/>
        <v>6044233.9962730203</v>
      </c>
      <c r="BC134" s="226">
        <v>6044233.9962730203</v>
      </c>
      <c r="BD134" s="224">
        <f t="shared" si="81"/>
        <v>6044233.9962730203</v>
      </c>
      <c r="BE134" s="224">
        <f t="shared" si="81"/>
        <v>6044233.9962730203</v>
      </c>
      <c r="BF134" s="224">
        <f t="shared" si="81"/>
        <v>6044233.9962730203</v>
      </c>
      <c r="BG134" s="224">
        <f t="shared" si="81"/>
        <v>6044233.9962730203</v>
      </c>
      <c r="BH134" s="224">
        <f t="shared" si="81"/>
        <v>6044233.9962730203</v>
      </c>
      <c r="BI134" s="224">
        <f t="shared" si="81"/>
        <v>6044233.9962730203</v>
      </c>
      <c r="BJ134" s="224">
        <f t="shared" si="81"/>
        <v>6044233.9962730203</v>
      </c>
      <c r="BK134" s="224">
        <f t="shared" si="81"/>
        <v>6044233.9962730203</v>
      </c>
      <c r="BL134" s="224">
        <f t="shared" si="81"/>
        <v>6044233.9962730203</v>
      </c>
      <c r="BM134" s="224">
        <f t="shared" si="81"/>
        <v>6044233.9962730203</v>
      </c>
      <c r="BN134" s="224">
        <f t="shared" si="81"/>
        <v>6044233.9962730203</v>
      </c>
      <c r="BO134" s="224">
        <f t="shared" si="81"/>
        <v>6044233.9962730203</v>
      </c>
    </row>
    <row r="135" spans="1:67">
      <c r="A135" s="223" t="s">
        <v>3</v>
      </c>
      <c r="B135" s="151" t="s">
        <v>445</v>
      </c>
      <c r="C135" s="223">
        <v>133</v>
      </c>
      <c r="D135" s="224">
        <v>8782682.2256707437</v>
      </c>
      <c r="E135" s="225">
        <f t="shared" si="74"/>
        <v>8782682.2256707437</v>
      </c>
      <c r="F135" s="225">
        <f t="shared" si="74"/>
        <v>8782682.2256707437</v>
      </c>
      <c r="G135" s="225">
        <f t="shared" si="74"/>
        <v>8782682.2256707437</v>
      </c>
      <c r="H135" s="225">
        <f t="shared" si="74"/>
        <v>8782682.2256707437</v>
      </c>
      <c r="I135" s="225">
        <f t="shared" si="74"/>
        <v>8782682.2256707437</v>
      </c>
      <c r="J135" s="225">
        <f t="shared" si="74"/>
        <v>8782682.2256707437</v>
      </c>
      <c r="K135" s="237">
        <f t="shared" si="74"/>
        <v>8782682.2256707437</v>
      </c>
      <c r="L135" s="237">
        <f t="shared" si="74"/>
        <v>8782682.2256707437</v>
      </c>
      <c r="M135" s="237">
        <f t="shared" si="74"/>
        <v>8782682.2256707437</v>
      </c>
      <c r="N135" s="237">
        <f t="shared" si="74"/>
        <v>8782682.2256707437</v>
      </c>
      <c r="O135" s="237">
        <f t="shared" si="74"/>
        <v>8782682.2256707437</v>
      </c>
      <c r="P135" s="237">
        <f t="shared" si="74"/>
        <v>8782682.2256707437</v>
      </c>
      <c r="Q135" s="237">
        <f t="shared" si="74"/>
        <v>8782682.2256707437</v>
      </c>
      <c r="R135" s="237">
        <f t="shared" si="74"/>
        <v>8782682.2256707437</v>
      </c>
      <c r="S135" s="237">
        <f t="shared" si="74"/>
        <v>8782682.2256707437</v>
      </c>
      <c r="T135" s="224">
        <v>8782682.2256707437</v>
      </c>
      <c r="U135" s="224">
        <f t="shared" si="76"/>
        <v>8782682.2256707437</v>
      </c>
      <c r="V135" s="224">
        <f t="shared" si="76"/>
        <v>8782682.2256707437</v>
      </c>
      <c r="W135" s="224">
        <f t="shared" si="76"/>
        <v>8782682.2256707437</v>
      </c>
      <c r="X135" s="226">
        <v>8782682.2256707437</v>
      </c>
      <c r="Y135" s="226">
        <f t="shared" si="77"/>
        <v>8782682.2256707437</v>
      </c>
      <c r="Z135" s="226">
        <f t="shared" si="77"/>
        <v>8782682.2256707437</v>
      </c>
      <c r="AA135" s="224">
        <v>8782682.2256707437</v>
      </c>
      <c r="AB135" s="224">
        <v>8782682.2256707437</v>
      </c>
      <c r="AC135" s="224">
        <v>8782682.2256707437</v>
      </c>
      <c r="AD135" s="224">
        <f t="shared" si="47"/>
        <v>8782682.2256707437</v>
      </c>
      <c r="AE135" s="224">
        <v>8782682.2256707437</v>
      </c>
      <c r="AF135" s="224">
        <v>8782682.2256707437</v>
      </c>
      <c r="AG135" s="224">
        <f t="shared" si="48"/>
        <v>8782682.2256707437</v>
      </c>
      <c r="AH135" s="226">
        <v>8831804.2670486514</v>
      </c>
      <c r="AI135" s="226">
        <f t="shared" si="78"/>
        <v>8831804.2670486514</v>
      </c>
      <c r="AJ135" s="226">
        <f t="shared" si="78"/>
        <v>8831804.2670486514</v>
      </c>
      <c r="AK135" s="226">
        <f t="shared" si="78"/>
        <v>8831804.2670486514</v>
      </c>
      <c r="AL135" s="226">
        <f t="shared" si="78"/>
        <v>8831804.2670486514</v>
      </c>
      <c r="AM135" s="226">
        <f t="shared" si="78"/>
        <v>8831804.2670486514</v>
      </c>
      <c r="AN135" s="235">
        <v>8831804.2670486514</v>
      </c>
      <c r="AO135" s="235">
        <f t="shared" si="79"/>
        <v>8831804.2670486514</v>
      </c>
      <c r="AP135" s="235">
        <f t="shared" si="79"/>
        <v>8831804.2670486514</v>
      </c>
      <c r="AQ135" s="236">
        <f t="shared" si="79"/>
        <v>8831804.2670486514</v>
      </c>
      <c r="AR135" s="236">
        <f t="shared" si="79"/>
        <v>8831804.2670486514</v>
      </c>
      <c r="AS135" s="236">
        <f t="shared" si="79"/>
        <v>8831804.2670486514</v>
      </c>
      <c r="AT135" s="236">
        <f t="shared" si="79"/>
        <v>8831804.2670486514</v>
      </c>
      <c r="AU135" s="236">
        <f t="shared" si="79"/>
        <v>8831804.2670486514</v>
      </c>
      <c r="AV135" s="236">
        <f t="shared" si="79"/>
        <v>8831804.2670486514</v>
      </c>
      <c r="AW135" s="226">
        <v>8803008.5876202248</v>
      </c>
      <c r="AX135" s="226">
        <f t="shared" si="80"/>
        <v>8803008.5876202248</v>
      </c>
      <c r="AY135" s="226">
        <f t="shared" si="80"/>
        <v>8803008.5876202248</v>
      </c>
      <c r="AZ135" s="226">
        <f t="shared" si="80"/>
        <v>8803008.5876202248</v>
      </c>
      <c r="BA135" s="226">
        <f t="shared" si="80"/>
        <v>8803008.5876202248</v>
      </c>
      <c r="BB135" s="226">
        <f t="shared" si="80"/>
        <v>8803008.5876202248</v>
      </c>
      <c r="BC135" s="226">
        <v>8803008.5876202248</v>
      </c>
      <c r="BD135" s="224">
        <f t="shared" si="81"/>
        <v>8803008.5876202248</v>
      </c>
      <c r="BE135" s="224">
        <f t="shared" si="81"/>
        <v>8803008.5876202248</v>
      </c>
      <c r="BF135" s="224">
        <f t="shared" si="81"/>
        <v>8803008.5876202248</v>
      </c>
      <c r="BG135" s="224">
        <f t="shared" si="81"/>
        <v>8803008.5876202248</v>
      </c>
      <c r="BH135" s="224">
        <f t="shared" si="81"/>
        <v>8803008.5876202248</v>
      </c>
      <c r="BI135" s="224">
        <f t="shared" si="81"/>
        <v>8803008.5876202248</v>
      </c>
      <c r="BJ135" s="224">
        <f t="shared" si="81"/>
        <v>8803008.5876202248</v>
      </c>
      <c r="BK135" s="224">
        <f t="shared" si="81"/>
        <v>8803008.5876202248</v>
      </c>
      <c r="BL135" s="224">
        <f t="shared" si="81"/>
        <v>8803008.5876202248</v>
      </c>
      <c r="BM135" s="224">
        <f t="shared" si="81"/>
        <v>8803008.5876202248</v>
      </c>
      <c r="BN135" s="224">
        <f t="shared" si="81"/>
        <v>8803008.5876202248</v>
      </c>
      <c r="BO135" s="224">
        <f t="shared" si="81"/>
        <v>8803008.5876202248</v>
      </c>
    </row>
    <row r="136" spans="1:67">
      <c r="A136" s="223" t="s">
        <v>4</v>
      </c>
      <c r="B136" s="151" t="s">
        <v>446</v>
      </c>
      <c r="C136" s="223">
        <v>134</v>
      </c>
      <c r="D136" s="224">
        <v>10179661.883506425</v>
      </c>
      <c r="E136" s="225">
        <f t="shared" ref="E136:K141" si="82">D136</f>
        <v>10179661.883506425</v>
      </c>
      <c r="F136" s="225">
        <f t="shared" si="82"/>
        <v>10179661.883506425</v>
      </c>
      <c r="G136" s="225">
        <f t="shared" si="82"/>
        <v>10179661.883506425</v>
      </c>
      <c r="H136" s="225">
        <f t="shared" si="82"/>
        <v>10179661.883506425</v>
      </c>
      <c r="I136" s="225">
        <f t="shared" si="82"/>
        <v>10179661.883506425</v>
      </c>
      <c r="J136" s="225">
        <f t="shared" si="82"/>
        <v>10179661.883506425</v>
      </c>
      <c r="K136" s="237">
        <v>10147814.827720597</v>
      </c>
      <c r="L136" s="237">
        <f t="shared" ref="L136:S159" si="83">K136</f>
        <v>10147814.827720597</v>
      </c>
      <c r="M136" s="237">
        <f t="shared" si="83"/>
        <v>10147814.827720597</v>
      </c>
      <c r="N136" s="237">
        <f t="shared" si="83"/>
        <v>10147814.827720597</v>
      </c>
      <c r="O136" s="237">
        <f t="shared" si="83"/>
        <v>10147814.827720597</v>
      </c>
      <c r="P136" s="237">
        <f t="shared" si="83"/>
        <v>10147814.827720597</v>
      </c>
      <c r="Q136" s="237">
        <f t="shared" si="83"/>
        <v>10147814.827720597</v>
      </c>
      <c r="R136" s="237">
        <f t="shared" si="83"/>
        <v>10147814.827720597</v>
      </c>
      <c r="S136" s="237">
        <f t="shared" si="83"/>
        <v>10147814.827720597</v>
      </c>
      <c r="T136" s="224">
        <v>10171373.503323225</v>
      </c>
      <c r="U136" s="224">
        <f t="shared" si="76"/>
        <v>10171373.503323225</v>
      </c>
      <c r="V136" s="224">
        <f t="shared" si="76"/>
        <v>10171373.503323225</v>
      </c>
      <c r="W136" s="224">
        <f t="shared" si="76"/>
        <v>10171373.503323225</v>
      </c>
      <c r="X136" s="226">
        <v>10209477.349571852</v>
      </c>
      <c r="Y136" s="226">
        <f t="shared" si="77"/>
        <v>10209477.349571852</v>
      </c>
      <c r="Z136" s="226">
        <f t="shared" si="77"/>
        <v>10209477.349571852</v>
      </c>
      <c r="AA136" s="224">
        <v>10179661.883506425</v>
      </c>
      <c r="AB136" s="224">
        <v>10179661.883506425</v>
      </c>
      <c r="AC136" s="224">
        <v>10161097.530430194</v>
      </c>
      <c r="AD136" s="224">
        <f t="shared" si="47"/>
        <v>10161097.530430194</v>
      </c>
      <c r="AE136" s="224">
        <v>10223396.138820013</v>
      </c>
      <c r="AF136" s="224">
        <v>10215176.644128103</v>
      </c>
      <c r="AG136" s="224">
        <f t="shared" si="48"/>
        <v>10215176.644128103</v>
      </c>
      <c r="AH136" s="226">
        <v>10275180.35962175</v>
      </c>
      <c r="AI136" s="226">
        <f t="shared" si="78"/>
        <v>10275180.35962175</v>
      </c>
      <c r="AJ136" s="226">
        <f t="shared" si="78"/>
        <v>10275180.35962175</v>
      </c>
      <c r="AK136" s="226">
        <f t="shared" si="78"/>
        <v>10275180.35962175</v>
      </c>
      <c r="AL136" s="226">
        <f t="shared" si="78"/>
        <v>10275180.35962175</v>
      </c>
      <c r="AM136" s="226">
        <f t="shared" si="78"/>
        <v>10275180.35962175</v>
      </c>
      <c r="AN136" s="235">
        <v>10275180.35962175</v>
      </c>
      <c r="AO136" s="235">
        <f t="shared" si="79"/>
        <v>10275180.35962175</v>
      </c>
      <c r="AP136" s="235">
        <f t="shared" si="79"/>
        <v>10275180.35962175</v>
      </c>
      <c r="AQ136" s="236">
        <f t="shared" si="79"/>
        <v>10275180.35962175</v>
      </c>
      <c r="AR136" s="236">
        <f t="shared" si="79"/>
        <v>10275180.35962175</v>
      </c>
      <c r="AS136" s="236">
        <f t="shared" si="79"/>
        <v>10275180.35962175</v>
      </c>
      <c r="AT136" s="236">
        <f t="shared" si="79"/>
        <v>10275180.35962175</v>
      </c>
      <c r="AU136" s="236">
        <f t="shared" si="79"/>
        <v>10275180.35962175</v>
      </c>
      <c r="AV136" s="236">
        <f t="shared" si="79"/>
        <v>10275180.35962175</v>
      </c>
      <c r="AW136" s="226">
        <v>10203221.37098995</v>
      </c>
      <c r="AX136" s="226">
        <f t="shared" si="80"/>
        <v>10203221.37098995</v>
      </c>
      <c r="AY136" s="226">
        <f t="shared" si="80"/>
        <v>10203221.37098995</v>
      </c>
      <c r="AZ136" s="226">
        <f t="shared" si="80"/>
        <v>10203221.37098995</v>
      </c>
      <c r="BA136" s="226">
        <f t="shared" si="80"/>
        <v>10203221.37098995</v>
      </c>
      <c r="BB136" s="226">
        <f t="shared" si="80"/>
        <v>10203221.37098995</v>
      </c>
      <c r="BC136" s="226">
        <v>10203221.37098995</v>
      </c>
      <c r="BD136" s="224">
        <f t="shared" si="81"/>
        <v>10203221.37098995</v>
      </c>
      <c r="BE136" s="224">
        <f t="shared" si="81"/>
        <v>10203221.37098995</v>
      </c>
      <c r="BF136" s="224">
        <f t="shared" si="81"/>
        <v>10203221.37098995</v>
      </c>
      <c r="BG136" s="224">
        <f t="shared" si="81"/>
        <v>10203221.37098995</v>
      </c>
      <c r="BH136" s="224">
        <f t="shared" si="81"/>
        <v>10203221.37098995</v>
      </c>
      <c r="BI136" s="224">
        <f t="shared" si="81"/>
        <v>10203221.37098995</v>
      </c>
      <c r="BJ136" s="224">
        <f t="shared" si="81"/>
        <v>10203221.37098995</v>
      </c>
      <c r="BK136" s="224">
        <f t="shared" si="81"/>
        <v>10203221.37098995</v>
      </c>
      <c r="BL136" s="224">
        <f t="shared" si="81"/>
        <v>10203221.37098995</v>
      </c>
      <c r="BM136" s="224">
        <f t="shared" si="81"/>
        <v>10203221.37098995</v>
      </c>
      <c r="BN136" s="224">
        <f t="shared" si="81"/>
        <v>10203221.37098995</v>
      </c>
      <c r="BO136" s="224">
        <f t="shared" si="81"/>
        <v>10203221.37098995</v>
      </c>
    </row>
    <row r="137" spans="1:67">
      <c r="A137" s="223" t="s">
        <v>5</v>
      </c>
      <c r="B137" s="151" t="s">
        <v>447</v>
      </c>
      <c r="C137" s="223">
        <v>135</v>
      </c>
      <c r="D137" s="224">
        <v>14558251.019173177</v>
      </c>
      <c r="E137" s="225">
        <f t="shared" si="82"/>
        <v>14558251.019173177</v>
      </c>
      <c r="F137" s="225">
        <f t="shared" si="82"/>
        <v>14558251.019173177</v>
      </c>
      <c r="G137" s="225">
        <f t="shared" si="82"/>
        <v>14558251.019173177</v>
      </c>
      <c r="H137" s="225">
        <f t="shared" si="82"/>
        <v>14558251.019173177</v>
      </c>
      <c r="I137" s="225">
        <f t="shared" si="82"/>
        <v>14558251.019173177</v>
      </c>
      <c r="J137" s="225">
        <f t="shared" si="82"/>
        <v>14558251.019173177</v>
      </c>
      <c r="K137" s="237">
        <v>14510480.435494432</v>
      </c>
      <c r="L137" s="237">
        <f t="shared" si="83"/>
        <v>14510480.435494432</v>
      </c>
      <c r="M137" s="237">
        <f t="shared" si="83"/>
        <v>14510480.435494432</v>
      </c>
      <c r="N137" s="237">
        <f t="shared" si="83"/>
        <v>14510480.435494432</v>
      </c>
      <c r="O137" s="237">
        <f t="shared" si="83"/>
        <v>14510480.435494432</v>
      </c>
      <c r="P137" s="237">
        <f t="shared" si="83"/>
        <v>14510480.435494432</v>
      </c>
      <c r="Q137" s="237">
        <f t="shared" si="83"/>
        <v>14510480.435494432</v>
      </c>
      <c r="R137" s="237">
        <f t="shared" si="83"/>
        <v>14510480.435494432</v>
      </c>
      <c r="S137" s="237">
        <f t="shared" si="83"/>
        <v>14510480.435494432</v>
      </c>
      <c r="T137" s="224">
        <v>14545818.448898373</v>
      </c>
      <c r="U137" s="224">
        <f t="shared" si="76"/>
        <v>14545818.448898373</v>
      </c>
      <c r="V137" s="224">
        <f t="shared" si="76"/>
        <v>14545818.448898373</v>
      </c>
      <c r="W137" s="224">
        <f t="shared" si="76"/>
        <v>14545818.448898373</v>
      </c>
      <c r="X137" s="226">
        <v>14602974.218271315</v>
      </c>
      <c r="Y137" s="226">
        <f t="shared" si="77"/>
        <v>14602974.218271315</v>
      </c>
      <c r="Z137" s="226">
        <f t="shared" si="77"/>
        <v>14602974.218271315</v>
      </c>
      <c r="AA137" s="224">
        <v>14558251.019173177</v>
      </c>
      <c r="AB137" s="224">
        <v>14558251.019173177</v>
      </c>
      <c r="AC137" s="224">
        <v>14530404.489558827</v>
      </c>
      <c r="AD137" s="224">
        <f t="shared" si="47"/>
        <v>14530404.489558827</v>
      </c>
      <c r="AE137" s="224">
        <v>14623852.402143557</v>
      </c>
      <c r="AF137" s="224">
        <v>14611523.160105692</v>
      </c>
      <c r="AG137" s="224">
        <f t="shared" si="48"/>
        <v>14611523.160105692</v>
      </c>
      <c r="AH137" s="226">
        <v>14697550.717458697</v>
      </c>
      <c r="AI137" s="226">
        <f t="shared" si="78"/>
        <v>14697550.717458697</v>
      </c>
      <c r="AJ137" s="226">
        <f t="shared" si="78"/>
        <v>14697550.717458697</v>
      </c>
      <c r="AK137" s="226">
        <f t="shared" si="78"/>
        <v>14697550.717458697</v>
      </c>
      <c r="AL137" s="226">
        <f t="shared" si="78"/>
        <v>14697550.717458697</v>
      </c>
      <c r="AM137" s="226">
        <f t="shared" si="78"/>
        <v>14697550.717458697</v>
      </c>
      <c r="AN137" s="235">
        <v>14697550.717458697</v>
      </c>
      <c r="AO137" s="235">
        <f t="shared" si="79"/>
        <v>14697550.717458697</v>
      </c>
      <c r="AP137" s="235">
        <f t="shared" si="79"/>
        <v>14697550.717458697</v>
      </c>
      <c r="AQ137" s="236">
        <f t="shared" si="79"/>
        <v>14697550.717458697</v>
      </c>
      <c r="AR137" s="236">
        <f t="shared" si="79"/>
        <v>14697550.717458697</v>
      </c>
      <c r="AS137" s="236">
        <f t="shared" si="79"/>
        <v>14697550.717458697</v>
      </c>
      <c r="AT137" s="236">
        <f t="shared" si="79"/>
        <v>14697550.717458697</v>
      </c>
      <c r="AU137" s="236">
        <f t="shared" si="79"/>
        <v>14697550.717458697</v>
      </c>
      <c r="AV137" s="236">
        <f t="shared" si="79"/>
        <v>14697550.717458697</v>
      </c>
      <c r="AW137" s="226">
        <v>14591944.174858822</v>
      </c>
      <c r="AX137" s="226">
        <f t="shared" si="80"/>
        <v>14591944.174858822</v>
      </c>
      <c r="AY137" s="226">
        <f t="shared" si="80"/>
        <v>14591944.174858822</v>
      </c>
      <c r="AZ137" s="226">
        <f t="shared" si="80"/>
        <v>14591944.174858822</v>
      </c>
      <c r="BA137" s="226">
        <f t="shared" si="80"/>
        <v>14591944.174858822</v>
      </c>
      <c r="BB137" s="226">
        <f t="shared" si="80"/>
        <v>14591944.174858822</v>
      </c>
      <c r="BC137" s="226">
        <v>14591944.174858822</v>
      </c>
      <c r="BD137" s="224">
        <f t="shared" si="81"/>
        <v>14591944.174858822</v>
      </c>
      <c r="BE137" s="224">
        <f t="shared" si="81"/>
        <v>14591944.174858822</v>
      </c>
      <c r="BF137" s="224">
        <f t="shared" si="81"/>
        <v>14591944.174858822</v>
      </c>
      <c r="BG137" s="224">
        <f t="shared" si="81"/>
        <v>14591944.174858822</v>
      </c>
      <c r="BH137" s="224">
        <f t="shared" si="81"/>
        <v>14591944.174858822</v>
      </c>
      <c r="BI137" s="224">
        <f t="shared" si="81"/>
        <v>14591944.174858822</v>
      </c>
      <c r="BJ137" s="224">
        <f t="shared" si="81"/>
        <v>14591944.174858822</v>
      </c>
      <c r="BK137" s="224">
        <f t="shared" si="81"/>
        <v>14591944.174858822</v>
      </c>
      <c r="BL137" s="224">
        <f t="shared" si="81"/>
        <v>14591944.174858822</v>
      </c>
      <c r="BM137" s="224">
        <f t="shared" si="81"/>
        <v>14591944.174858822</v>
      </c>
      <c r="BN137" s="224">
        <f t="shared" si="81"/>
        <v>14591944.174858822</v>
      </c>
      <c r="BO137" s="224">
        <f t="shared" si="81"/>
        <v>14591944.174858822</v>
      </c>
    </row>
    <row r="138" spans="1:67">
      <c r="A138" s="223" t="s">
        <v>6</v>
      </c>
      <c r="B138" s="151" t="s">
        <v>448</v>
      </c>
      <c r="C138" s="223">
        <v>136</v>
      </c>
      <c r="D138" s="224">
        <v>22995971.07050667</v>
      </c>
      <c r="E138" s="225">
        <f t="shared" si="82"/>
        <v>22995971.07050667</v>
      </c>
      <c r="F138" s="225">
        <f t="shared" si="82"/>
        <v>22995971.07050667</v>
      </c>
      <c r="G138" s="225">
        <f t="shared" si="82"/>
        <v>22995971.07050667</v>
      </c>
      <c r="H138" s="225">
        <f t="shared" si="82"/>
        <v>22995971.07050667</v>
      </c>
      <c r="I138" s="225">
        <f t="shared" si="82"/>
        <v>22995971.07050667</v>
      </c>
      <c r="J138" s="225">
        <f t="shared" si="82"/>
        <v>22995971.07050667</v>
      </c>
      <c r="K138" s="237">
        <v>22916353.431042101</v>
      </c>
      <c r="L138" s="237">
        <f t="shared" si="83"/>
        <v>22916353.431042101</v>
      </c>
      <c r="M138" s="237">
        <f t="shared" si="83"/>
        <v>22916353.431042101</v>
      </c>
      <c r="N138" s="237">
        <f t="shared" si="83"/>
        <v>22916353.431042101</v>
      </c>
      <c r="O138" s="237">
        <f t="shared" si="83"/>
        <v>22916353.431042101</v>
      </c>
      <c r="P138" s="237">
        <f t="shared" si="83"/>
        <v>22916353.431042101</v>
      </c>
      <c r="Q138" s="237">
        <f t="shared" si="83"/>
        <v>22916353.431042101</v>
      </c>
      <c r="R138" s="237">
        <f t="shared" si="83"/>
        <v>22916353.431042101</v>
      </c>
      <c r="S138" s="237">
        <f t="shared" si="83"/>
        <v>22916353.431042101</v>
      </c>
      <c r="T138" s="224">
        <v>22975250.120048672</v>
      </c>
      <c r="U138" s="224">
        <f t="shared" ref="U138:W153" si="84">T138</f>
        <v>22975250.120048672</v>
      </c>
      <c r="V138" s="224">
        <f t="shared" si="84"/>
        <v>22975250.120048672</v>
      </c>
      <c r="W138" s="224">
        <f t="shared" si="84"/>
        <v>22975250.120048672</v>
      </c>
      <c r="X138" s="226">
        <v>23070509.735670239</v>
      </c>
      <c r="Y138" s="226">
        <f t="shared" ref="Y138:Z153" si="85">X138</f>
        <v>23070509.735670239</v>
      </c>
      <c r="Z138" s="226">
        <f t="shared" si="85"/>
        <v>23070509.735670239</v>
      </c>
      <c r="AA138" s="224">
        <v>22995971.07050667</v>
      </c>
      <c r="AB138" s="224">
        <v>22995971.07050667</v>
      </c>
      <c r="AC138" s="224">
        <v>22949560.187816091</v>
      </c>
      <c r="AD138" s="224">
        <f t="shared" si="47"/>
        <v>22949560.187816091</v>
      </c>
      <c r="AE138" s="224">
        <v>23105306.708790641</v>
      </c>
      <c r="AF138" s="224">
        <v>23084757.972060863</v>
      </c>
      <c r="AG138" s="224">
        <f t="shared" si="48"/>
        <v>23084757.972060863</v>
      </c>
      <c r="AH138" s="226">
        <v>23221046.465132587</v>
      </c>
      <c r="AI138" s="226">
        <f t="shared" ref="AI138:AM153" si="86">AH138</f>
        <v>23221046.465132587</v>
      </c>
      <c r="AJ138" s="226">
        <f t="shared" si="86"/>
        <v>23221046.465132587</v>
      </c>
      <c r="AK138" s="226">
        <f t="shared" si="86"/>
        <v>23221046.465132587</v>
      </c>
      <c r="AL138" s="226">
        <f t="shared" si="86"/>
        <v>23221046.465132587</v>
      </c>
      <c r="AM138" s="226">
        <f t="shared" si="86"/>
        <v>23221046.465132587</v>
      </c>
      <c r="AN138" s="235">
        <v>23221046.465132587</v>
      </c>
      <c r="AO138" s="235">
        <f t="shared" ref="AO138:AV141" si="87">AN138</f>
        <v>23221046.465132587</v>
      </c>
      <c r="AP138" s="235">
        <f t="shared" si="87"/>
        <v>23221046.465132587</v>
      </c>
      <c r="AQ138" s="236">
        <f t="shared" si="87"/>
        <v>23221046.465132587</v>
      </c>
      <c r="AR138" s="236">
        <f t="shared" si="87"/>
        <v>23221046.465132587</v>
      </c>
      <c r="AS138" s="236">
        <f t="shared" si="87"/>
        <v>23221046.465132587</v>
      </c>
      <c r="AT138" s="236">
        <f t="shared" si="87"/>
        <v>23221046.465132587</v>
      </c>
      <c r="AU138" s="236">
        <f t="shared" si="87"/>
        <v>23221046.465132587</v>
      </c>
      <c r="AV138" s="236">
        <f t="shared" si="87"/>
        <v>23221046.465132587</v>
      </c>
      <c r="AW138" s="226">
        <v>23049192.218596563</v>
      </c>
      <c r="AX138" s="226">
        <f t="shared" ref="AX138:BM153" si="88">AW138</f>
        <v>23049192.218596563</v>
      </c>
      <c r="AY138" s="226">
        <f t="shared" si="88"/>
        <v>23049192.218596563</v>
      </c>
      <c r="AZ138" s="226">
        <f t="shared" si="88"/>
        <v>23049192.218596563</v>
      </c>
      <c r="BA138" s="226">
        <f t="shared" si="88"/>
        <v>23049192.218596563</v>
      </c>
      <c r="BB138" s="226">
        <f t="shared" si="88"/>
        <v>23049192.218596563</v>
      </c>
      <c r="BC138" s="226">
        <f t="shared" si="88"/>
        <v>23049192.218596563</v>
      </c>
      <c r="BD138" s="224">
        <f t="shared" si="88"/>
        <v>23049192.218596563</v>
      </c>
      <c r="BE138" s="224">
        <f t="shared" si="88"/>
        <v>23049192.218596563</v>
      </c>
      <c r="BF138" s="224">
        <f t="shared" si="88"/>
        <v>23049192.218596563</v>
      </c>
      <c r="BG138" s="224">
        <f t="shared" si="88"/>
        <v>23049192.218596563</v>
      </c>
      <c r="BH138" s="224">
        <f t="shared" si="88"/>
        <v>23049192.218596563</v>
      </c>
      <c r="BI138" s="224">
        <f t="shared" si="88"/>
        <v>23049192.218596563</v>
      </c>
      <c r="BJ138" s="224">
        <f t="shared" si="88"/>
        <v>23049192.218596563</v>
      </c>
      <c r="BK138" s="224">
        <f t="shared" si="88"/>
        <v>23049192.218596563</v>
      </c>
      <c r="BL138" s="224">
        <f t="shared" si="88"/>
        <v>23049192.218596563</v>
      </c>
      <c r="BM138" s="224">
        <f t="shared" si="88"/>
        <v>23049192.218596563</v>
      </c>
      <c r="BN138" s="224">
        <f t="shared" ref="BN138:BO153" si="89">BM138</f>
        <v>23049192.218596563</v>
      </c>
      <c r="BO138" s="224">
        <f t="shared" si="89"/>
        <v>23049192.218596563</v>
      </c>
    </row>
    <row r="139" spans="1:67">
      <c r="A139" s="223" t="s">
        <v>7</v>
      </c>
      <c r="B139" s="151" t="s">
        <v>449</v>
      </c>
      <c r="C139" s="223">
        <v>137</v>
      </c>
      <c r="D139" s="224">
        <v>42129695.290755302</v>
      </c>
      <c r="E139" s="225">
        <f t="shared" si="82"/>
        <v>42129695.290755302</v>
      </c>
      <c r="F139" s="225">
        <f t="shared" si="82"/>
        <v>42129695.290755302</v>
      </c>
      <c r="G139" s="225">
        <f t="shared" si="82"/>
        <v>42129695.290755302</v>
      </c>
      <c r="H139" s="225">
        <f t="shared" si="82"/>
        <v>42129695.290755302</v>
      </c>
      <c r="I139" s="225">
        <f t="shared" si="82"/>
        <v>42129695.290755302</v>
      </c>
      <c r="J139" s="225">
        <f t="shared" si="82"/>
        <v>42129695.290755302</v>
      </c>
      <c r="K139" s="237">
        <v>41978384.615074314</v>
      </c>
      <c r="L139" s="237">
        <f t="shared" si="83"/>
        <v>41978384.615074314</v>
      </c>
      <c r="M139" s="237">
        <f t="shared" si="83"/>
        <v>41978384.615074314</v>
      </c>
      <c r="N139" s="237">
        <f t="shared" si="83"/>
        <v>41978384.615074314</v>
      </c>
      <c r="O139" s="237">
        <f t="shared" si="83"/>
        <v>41978384.615074314</v>
      </c>
      <c r="P139" s="237">
        <f t="shared" si="83"/>
        <v>41978384.615074314</v>
      </c>
      <c r="Q139" s="237">
        <f t="shared" si="83"/>
        <v>41978384.615074314</v>
      </c>
      <c r="R139" s="237">
        <f t="shared" si="83"/>
        <v>41978384.615074314</v>
      </c>
      <c r="S139" s="237">
        <f t="shared" si="83"/>
        <v>41978384.615074314</v>
      </c>
      <c r="T139" s="224">
        <v>41978384.615074314</v>
      </c>
      <c r="U139" s="224">
        <f t="shared" si="84"/>
        <v>41978384.615074314</v>
      </c>
      <c r="V139" s="224">
        <f t="shared" si="84"/>
        <v>41978384.615074314</v>
      </c>
      <c r="W139" s="224">
        <f t="shared" si="84"/>
        <v>41978384.615074314</v>
      </c>
      <c r="X139" s="226">
        <v>42271679.854960904</v>
      </c>
      <c r="Y139" s="226">
        <f t="shared" si="85"/>
        <v>42271679.854960904</v>
      </c>
      <c r="Z139" s="226">
        <f t="shared" si="85"/>
        <v>42271679.854960904</v>
      </c>
      <c r="AA139" s="224">
        <v>42129695.290755302</v>
      </c>
      <c r="AB139" s="224">
        <v>42129695.290755302</v>
      </c>
      <c r="AC139" s="224">
        <v>42060141.393036731</v>
      </c>
      <c r="AD139" s="224">
        <f t="shared" si="47"/>
        <v>42060141.393036731</v>
      </c>
      <c r="AE139" s="224">
        <v>42348160.314751461</v>
      </c>
      <c r="AF139" s="224">
        <v>42309086.527910866</v>
      </c>
      <c r="AG139" s="224">
        <f t="shared" si="48"/>
        <v>42309086.527910866</v>
      </c>
      <c r="AH139" s="226">
        <v>42549587.26410839</v>
      </c>
      <c r="AI139" s="226">
        <f t="shared" si="86"/>
        <v>42549587.26410839</v>
      </c>
      <c r="AJ139" s="226">
        <f t="shared" si="86"/>
        <v>42549587.26410839</v>
      </c>
      <c r="AK139" s="226">
        <f t="shared" si="86"/>
        <v>42549587.26410839</v>
      </c>
      <c r="AL139" s="226">
        <f t="shared" si="86"/>
        <v>42549587.26410839</v>
      </c>
      <c r="AM139" s="226">
        <f t="shared" si="86"/>
        <v>42549587.26410839</v>
      </c>
      <c r="AN139" s="235">
        <v>42549587.26410839</v>
      </c>
      <c r="AO139" s="235">
        <f t="shared" si="87"/>
        <v>42549587.26410839</v>
      </c>
      <c r="AP139" s="235">
        <f t="shared" si="87"/>
        <v>42549587.26410839</v>
      </c>
      <c r="AQ139" s="236">
        <f t="shared" si="87"/>
        <v>42549587.26410839</v>
      </c>
      <c r="AR139" s="236">
        <f t="shared" si="87"/>
        <v>42549587.26410839</v>
      </c>
      <c r="AS139" s="236">
        <f t="shared" si="87"/>
        <v>42549587.26410839</v>
      </c>
      <c r="AT139" s="236">
        <f t="shared" si="87"/>
        <v>42549587.26410839</v>
      </c>
      <c r="AU139" s="236">
        <f t="shared" si="87"/>
        <v>42549587.26410839</v>
      </c>
      <c r="AV139" s="236">
        <f t="shared" si="87"/>
        <v>42549587.26410839</v>
      </c>
      <c r="AW139" s="226">
        <v>42227198.924986556</v>
      </c>
      <c r="AX139" s="226">
        <f t="shared" si="88"/>
        <v>42227198.924986556</v>
      </c>
      <c r="AY139" s="226">
        <f t="shared" si="88"/>
        <v>42227198.924986556</v>
      </c>
      <c r="AZ139" s="226">
        <f t="shared" si="88"/>
        <v>42227198.924986556</v>
      </c>
      <c r="BA139" s="226">
        <f t="shared" si="88"/>
        <v>42227198.924986556</v>
      </c>
      <c r="BB139" s="226">
        <f t="shared" si="88"/>
        <v>42227198.924986556</v>
      </c>
      <c r="BC139" s="226">
        <f t="shared" si="88"/>
        <v>42227198.924986556</v>
      </c>
      <c r="BD139" s="224">
        <f t="shared" si="88"/>
        <v>42227198.924986556</v>
      </c>
      <c r="BE139" s="224">
        <f t="shared" si="88"/>
        <v>42227198.924986556</v>
      </c>
      <c r="BF139" s="224">
        <f t="shared" si="88"/>
        <v>42227198.924986556</v>
      </c>
      <c r="BG139" s="224">
        <f t="shared" si="88"/>
        <v>42227198.924986556</v>
      </c>
      <c r="BH139" s="224">
        <f t="shared" si="88"/>
        <v>42227198.924986556</v>
      </c>
      <c r="BI139" s="224">
        <f t="shared" si="88"/>
        <v>42227198.924986556</v>
      </c>
      <c r="BJ139" s="224">
        <f t="shared" si="88"/>
        <v>42227198.924986556</v>
      </c>
      <c r="BK139" s="224">
        <f t="shared" si="88"/>
        <v>42227198.924986556</v>
      </c>
      <c r="BL139" s="224">
        <f t="shared" si="88"/>
        <v>42227198.924986556</v>
      </c>
      <c r="BM139" s="224">
        <f t="shared" si="88"/>
        <v>42227198.924986556</v>
      </c>
      <c r="BN139" s="224">
        <f t="shared" si="89"/>
        <v>42227198.924986556</v>
      </c>
      <c r="BO139" s="224">
        <f t="shared" si="89"/>
        <v>42227198.924986556</v>
      </c>
    </row>
    <row r="140" spans="1:67">
      <c r="A140" s="223" t="s">
        <v>450</v>
      </c>
      <c r="B140" s="151" t="s">
        <v>451</v>
      </c>
      <c r="C140" s="223">
        <v>138</v>
      </c>
      <c r="D140" s="224">
        <v>30079266.647492625</v>
      </c>
      <c r="E140" s="225">
        <f t="shared" si="82"/>
        <v>30079266.647492625</v>
      </c>
      <c r="F140" s="225">
        <f t="shared" si="82"/>
        <v>30079266.647492625</v>
      </c>
      <c r="G140" s="225">
        <f t="shared" si="82"/>
        <v>30079266.647492625</v>
      </c>
      <c r="H140" s="225">
        <f t="shared" si="82"/>
        <v>30079266.647492625</v>
      </c>
      <c r="I140" s="225">
        <f t="shared" si="82"/>
        <v>30079266.647492625</v>
      </c>
      <c r="J140" s="225">
        <f t="shared" si="82"/>
        <v>30079266.647492625</v>
      </c>
      <c r="K140" s="237">
        <v>30079266.647492625</v>
      </c>
      <c r="L140" s="237">
        <f t="shared" si="83"/>
        <v>30079266.647492625</v>
      </c>
      <c r="M140" s="237">
        <f t="shared" si="83"/>
        <v>30079266.647492625</v>
      </c>
      <c r="N140" s="237">
        <f t="shared" si="83"/>
        <v>30079266.647492625</v>
      </c>
      <c r="O140" s="237">
        <f t="shared" si="83"/>
        <v>30079266.647492625</v>
      </c>
      <c r="P140" s="237">
        <f t="shared" si="83"/>
        <v>30079266.647492625</v>
      </c>
      <c r="Q140" s="237">
        <f t="shared" si="83"/>
        <v>30079266.647492625</v>
      </c>
      <c r="R140" s="237">
        <f t="shared" si="83"/>
        <v>30079266.647492625</v>
      </c>
      <c r="S140" s="237">
        <f t="shared" si="83"/>
        <v>30079266.647492625</v>
      </c>
      <c r="T140" s="224">
        <v>30079266.647492625</v>
      </c>
      <c r="U140" s="224">
        <f t="shared" si="84"/>
        <v>30079266.647492625</v>
      </c>
      <c r="V140" s="224">
        <f t="shared" si="84"/>
        <v>30079266.647492625</v>
      </c>
      <c r="W140" s="224">
        <f t="shared" si="84"/>
        <v>30079266.647492625</v>
      </c>
      <c r="X140" s="226">
        <v>30079266.647492625</v>
      </c>
      <c r="Y140" s="226">
        <f t="shared" si="85"/>
        <v>30079266.647492625</v>
      </c>
      <c r="Z140" s="226">
        <f t="shared" si="85"/>
        <v>30079266.647492625</v>
      </c>
      <c r="AA140" s="224">
        <v>30079266.647492625</v>
      </c>
      <c r="AB140" s="224">
        <v>30079266.647492625</v>
      </c>
      <c r="AC140" s="224">
        <v>30079266.647492625</v>
      </c>
      <c r="AD140" s="224">
        <f t="shared" si="47"/>
        <v>30079266.647492625</v>
      </c>
      <c r="AE140" s="224">
        <v>30079266.647492625</v>
      </c>
      <c r="AF140" s="224">
        <v>30079266.647492625</v>
      </c>
      <c r="AG140" s="224">
        <f t="shared" si="48"/>
        <v>30079266.647492625</v>
      </c>
      <c r="AH140" s="226">
        <v>30247501.697208591</v>
      </c>
      <c r="AI140" s="226">
        <f t="shared" si="86"/>
        <v>30247501.697208591</v>
      </c>
      <c r="AJ140" s="226">
        <f t="shared" si="86"/>
        <v>30247501.697208591</v>
      </c>
      <c r="AK140" s="226">
        <f t="shared" si="86"/>
        <v>30247501.697208591</v>
      </c>
      <c r="AL140" s="226">
        <f t="shared" si="86"/>
        <v>30247501.697208591</v>
      </c>
      <c r="AM140" s="226">
        <f t="shared" si="86"/>
        <v>30247501.697208591</v>
      </c>
      <c r="AN140" s="235">
        <v>30247501.697208591</v>
      </c>
      <c r="AO140" s="235">
        <f t="shared" si="87"/>
        <v>30247501.697208591</v>
      </c>
      <c r="AP140" s="235">
        <f t="shared" si="87"/>
        <v>30247501.697208591</v>
      </c>
      <c r="AQ140" s="236">
        <f t="shared" si="87"/>
        <v>30247501.697208591</v>
      </c>
      <c r="AR140" s="236">
        <f t="shared" si="87"/>
        <v>30247501.697208591</v>
      </c>
      <c r="AS140" s="236">
        <f t="shared" si="87"/>
        <v>30247501.697208591</v>
      </c>
      <c r="AT140" s="236">
        <f t="shared" si="87"/>
        <v>30247501.697208591</v>
      </c>
      <c r="AU140" s="236">
        <f t="shared" si="87"/>
        <v>30247501.697208591</v>
      </c>
      <c r="AV140" s="236">
        <f t="shared" si="87"/>
        <v>30247501.697208591</v>
      </c>
      <c r="AW140" s="226">
        <v>30148881.150823366</v>
      </c>
      <c r="AX140" s="226">
        <f t="shared" si="88"/>
        <v>30148881.150823366</v>
      </c>
      <c r="AY140" s="226">
        <f t="shared" si="88"/>
        <v>30148881.150823366</v>
      </c>
      <c r="AZ140" s="226">
        <f t="shared" si="88"/>
        <v>30148881.150823366</v>
      </c>
      <c r="BA140" s="226">
        <f t="shared" si="88"/>
        <v>30148881.150823366</v>
      </c>
      <c r="BB140" s="226">
        <f t="shared" si="88"/>
        <v>30148881.150823366</v>
      </c>
      <c r="BC140" s="226">
        <f t="shared" si="88"/>
        <v>30148881.150823366</v>
      </c>
      <c r="BD140" s="224">
        <f t="shared" si="88"/>
        <v>30148881.150823366</v>
      </c>
      <c r="BE140" s="224">
        <f t="shared" si="88"/>
        <v>30148881.150823366</v>
      </c>
      <c r="BF140" s="224">
        <f t="shared" si="88"/>
        <v>30148881.150823366</v>
      </c>
      <c r="BG140" s="224">
        <f t="shared" si="88"/>
        <v>30148881.150823366</v>
      </c>
      <c r="BH140" s="224">
        <f t="shared" si="88"/>
        <v>30148881.150823366</v>
      </c>
      <c r="BI140" s="224">
        <f t="shared" si="88"/>
        <v>30148881.150823366</v>
      </c>
      <c r="BJ140" s="224">
        <f t="shared" si="88"/>
        <v>30148881.150823366</v>
      </c>
      <c r="BK140" s="224">
        <f t="shared" si="88"/>
        <v>30148881.150823366</v>
      </c>
      <c r="BL140" s="224">
        <f t="shared" si="88"/>
        <v>30148881.150823366</v>
      </c>
      <c r="BM140" s="224">
        <f t="shared" si="88"/>
        <v>30148881.150823366</v>
      </c>
      <c r="BN140" s="224">
        <f t="shared" si="89"/>
        <v>30148881.150823366</v>
      </c>
      <c r="BO140" s="224">
        <f t="shared" si="89"/>
        <v>30148881.150823366</v>
      </c>
    </row>
    <row r="141" spans="1:67">
      <c r="A141" s="223" t="s">
        <v>452</v>
      </c>
      <c r="B141" s="151" t="s">
        <v>453</v>
      </c>
      <c r="C141" s="223">
        <v>139</v>
      </c>
      <c r="D141" s="224">
        <v>15865977.802656699</v>
      </c>
      <c r="E141" s="225">
        <f t="shared" si="82"/>
        <v>15865977.802656699</v>
      </c>
      <c r="F141" s="225">
        <f t="shared" si="82"/>
        <v>15865977.802656699</v>
      </c>
      <c r="G141" s="225">
        <f t="shared" si="82"/>
        <v>15865977.802656699</v>
      </c>
      <c r="H141" s="225">
        <f t="shared" si="82"/>
        <v>15865977.802656699</v>
      </c>
      <c r="I141" s="225">
        <f t="shared" si="82"/>
        <v>15865977.802656699</v>
      </c>
      <c r="J141" s="225">
        <f t="shared" si="82"/>
        <v>15865977.802656699</v>
      </c>
      <c r="K141" s="237">
        <f t="shared" si="82"/>
        <v>15865977.802656699</v>
      </c>
      <c r="L141" s="237">
        <f t="shared" si="83"/>
        <v>15865977.802656699</v>
      </c>
      <c r="M141" s="237">
        <f t="shared" si="83"/>
        <v>15865977.802656699</v>
      </c>
      <c r="N141" s="237">
        <f t="shared" si="83"/>
        <v>15865977.802656699</v>
      </c>
      <c r="O141" s="237">
        <f t="shared" si="83"/>
        <v>15865977.802656699</v>
      </c>
      <c r="P141" s="237">
        <f t="shared" si="83"/>
        <v>15865977.802656699</v>
      </c>
      <c r="Q141" s="237">
        <f t="shared" si="83"/>
        <v>15865977.802656699</v>
      </c>
      <c r="R141" s="237">
        <f t="shared" si="83"/>
        <v>15865977.802656699</v>
      </c>
      <c r="S141" s="237">
        <f t="shared" si="83"/>
        <v>15865977.802656699</v>
      </c>
      <c r="T141" s="224">
        <v>15865977.802656699</v>
      </c>
      <c r="U141" s="224">
        <f t="shared" si="84"/>
        <v>15865977.802656699</v>
      </c>
      <c r="V141" s="224">
        <f t="shared" si="84"/>
        <v>15865977.802656699</v>
      </c>
      <c r="W141" s="224">
        <f t="shared" si="84"/>
        <v>15865977.802656699</v>
      </c>
      <c r="X141" s="226">
        <v>15865977.802656699</v>
      </c>
      <c r="Y141" s="226">
        <f t="shared" si="85"/>
        <v>15865977.802656699</v>
      </c>
      <c r="Z141" s="226">
        <f t="shared" si="85"/>
        <v>15865977.802656699</v>
      </c>
      <c r="AA141" s="224">
        <v>15865977.802656699</v>
      </c>
      <c r="AB141" s="224">
        <v>15865977.802656699</v>
      </c>
      <c r="AC141" s="224">
        <v>15865977.802656699</v>
      </c>
      <c r="AD141" s="224">
        <f t="shared" si="47"/>
        <v>15865977.802656699</v>
      </c>
      <c r="AE141" s="224">
        <v>15865977.802656699</v>
      </c>
      <c r="AF141" s="224">
        <v>15865977.802656699</v>
      </c>
      <c r="AG141" s="224">
        <f t="shared" si="48"/>
        <v>15865977.802656699</v>
      </c>
      <c r="AH141" s="226">
        <v>15954717.119200006</v>
      </c>
      <c r="AI141" s="226">
        <f t="shared" si="86"/>
        <v>15954717.119200006</v>
      </c>
      <c r="AJ141" s="226">
        <f t="shared" si="86"/>
        <v>15954717.119200006</v>
      </c>
      <c r="AK141" s="226">
        <f t="shared" si="86"/>
        <v>15954717.119200006</v>
      </c>
      <c r="AL141" s="226">
        <f t="shared" si="86"/>
        <v>15954717.119200006</v>
      </c>
      <c r="AM141" s="226">
        <f t="shared" si="86"/>
        <v>15954717.119200006</v>
      </c>
      <c r="AN141" s="235">
        <v>15954717.119200006</v>
      </c>
      <c r="AO141" s="235">
        <f t="shared" si="87"/>
        <v>15954717.119200006</v>
      </c>
      <c r="AP141" s="235">
        <f t="shared" si="87"/>
        <v>15954717.119200006</v>
      </c>
      <c r="AQ141" s="236">
        <f t="shared" si="87"/>
        <v>15954717.119200006</v>
      </c>
      <c r="AR141" s="236">
        <f t="shared" si="87"/>
        <v>15954717.119200006</v>
      </c>
      <c r="AS141" s="236">
        <f t="shared" si="87"/>
        <v>15954717.119200006</v>
      </c>
      <c r="AT141" s="236">
        <f t="shared" si="87"/>
        <v>15954717.119200006</v>
      </c>
      <c r="AU141" s="236">
        <f t="shared" si="87"/>
        <v>15954717.119200006</v>
      </c>
      <c r="AV141" s="236">
        <f t="shared" si="87"/>
        <v>15954717.119200006</v>
      </c>
      <c r="AW141" s="226">
        <v>15902697.519847034</v>
      </c>
      <c r="AX141" s="226">
        <f t="shared" si="88"/>
        <v>15902697.519847034</v>
      </c>
      <c r="AY141" s="226">
        <f t="shared" si="88"/>
        <v>15902697.519847034</v>
      </c>
      <c r="AZ141" s="226">
        <f t="shared" si="88"/>
        <v>15902697.519847034</v>
      </c>
      <c r="BA141" s="226">
        <f t="shared" si="88"/>
        <v>15902697.519847034</v>
      </c>
      <c r="BB141" s="226">
        <f t="shared" si="88"/>
        <v>15902697.519847034</v>
      </c>
      <c r="BC141" s="226">
        <v>15902697.519847034</v>
      </c>
      <c r="BD141" s="224">
        <f t="shared" si="88"/>
        <v>15902697.519847034</v>
      </c>
      <c r="BE141" s="224">
        <f t="shared" si="88"/>
        <v>15902697.519847034</v>
      </c>
      <c r="BF141" s="224">
        <f t="shared" si="88"/>
        <v>15902697.519847034</v>
      </c>
      <c r="BG141" s="224">
        <f t="shared" si="88"/>
        <v>15902697.519847034</v>
      </c>
      <c r="BH141" s="224">
        <f t="shared" si="88"/>
        <v>15902697.519847034</v>
      </c>
      <c r="BI141" s="224">
        <f t="shared" si="88"/>
        <v>15902697.519847034</v>
      </c>
      <c r="BJ141" s="224">
        <f t="shared" si="88"/>
        <v>15902697.519847034</v>
      </c>
      <c r="BK141" s="224">
        <f t="shared" si="88"/>
        <v>15902697.519847034</v>
      </c>
      <c r="BL141" s="224">
        <f t="shared" si="88"/>
        <v>15902697.519847034</v>
      </c>
      <c r="BM141" s="224">
        <f t="shared" si="88"/>
        <v>15902697.519847034</v>
      </c>
      <c r="BN141" s="224">
        <f t="shared" si="89"/>
        <v>15902697.519847034</v>
      </c>
      <c r="BO141" s="224">
        <f t="shared" si="89"/>
        <v>15902697.519847034</v>
      </c>
    </row>
    <row r="142" spans="1:67">
      <c r="A142" s="223"/>
      <c r="B142" s="151"/>
      <c r="C142" s="223">
        <v>140</v>
      </c>
      <c r="D142" s="224"/>
      <c r="E142" s="225"/>
      <c r="F142" s="225"/>
      <c r="G142" s="225"/>
      <c r="H142" s="225"/>
      <c r="I142" s="225"/>
      <c r="J142" s="225"/>
      <c r="K142" s="237"/>
      <c r="L142" s="237"/>
      <c r="M142" s="237"/>
      <c r="N142" s="237"/>
      <c r="O142" s="237"/>
      <c r="P142" s="237"/>
      <c r="Q142" s="237"/>
      <c r="R142" s="237"/>
      <c r="S142" s="237"/>
      <c r="T142" s="224"/>
      <c r="U142" s="224">
        <f t="shared" si="84"/>
        <v>0</v>
      </c>
      <c r="V142" s="224">
        <f t="shared" si="84"/>
        <v>0</v>
      </c>
      <c r="W142" s="224">
        <f t="shared" si="84"/>
        <v>0</v>
      </c>
      <c r="X142" s="226"/>
      <c r="Y142" s="226">
        <f t="shared" si="85"/>
        <v>0</v>
      </c>
      <c r="Z142" s="226">
        <f t="shared" si="85"/>
        <v>0</v>
      </c>
      <c r="AA142" s="224"/>
      <c r="AB142" s="224"/>
      <c r="AC142" s="224"/>
      <c r="AD142" s="224">
        <f t="shared" si="47"/>
        <v>0</v>
      </c>
      <c r="AE142" s="224"/>
      <c r="AF142" s="224"/>
      <c r="AG142" s="224">
        <f t="shared" si="48"/>
        <v>0</v>
      </c>
      <c r="AH142" s="226"/>
      <c r="AI142" s="226">
        <f t="shared" si="86"/>
        <v>0</v>
      </c>
      <c r="AJ142" s="226">
        <f t="shared" si="86"/>
        <v>0</v>
      </c>
      <c r="AK142" s="226">
        <f t="shared" si="86"/>
        <v>0</v>
      </c>
      <c r="AL142" s="226">
        <f t="shared" si="86"/>
        <v>0</v>
      </c>
      <c r="AM142" s="226">
        <f t="shared" si="86"/>
        <v>0</v>
      </c>
      <c r="AN142" s="235"/>
      <c r="AO142" s="235"/>
      <c r="AP142" s="235"/>
      <c r="AQ142" s="236"/>
      <c r="AR142" s="236"/>
      <c r="AS142" s="236"/>
      <c r="AT142" s="236"/>
      <c r="AU142" s="236"/>
      <c r="AV142" s="236"/>
      <c r="AW142" s="226"/>
      <c r="AX142" s="226">
        <f t="shared" si="88"/>
        <v>0</v>
      </c>
      <c r="AY142" s="226">
        <f t="shared" si="88"/>
        <v>0</v>
      </c>
      <c r="AZ142" s="226">
        <f t="shared" si="88"/>
        <v>0</v>
      </c>
      <c r="BA142" s="226">
        <f t="shared" si="88"/>
        <v>0</v>
      </c>
      <c r="BB142" s="226">
        <f t="shared" si="88"/>
        <v>0</v>
      </c>
      <c r="BC142" s="224"/>
      <c r="BD142" s="224">
        <f t="shared" si="88"/>
        <v>0</v>
      </c>
      <c r="BE142" s="224">
        <f t="shared" si="88"/>
        <v>0</v>
      </c>
      <c r="BF142" s="224">
        <f t="shared" si="88"/>
        <v>0</v>
      </c>
      <c r="BG142" s="224">
        <f t="shared" si="88"/>
        <v>0</v>
      </c>
      <c r="BH142" s="224">
        <f t="shared" si="88"/>
        <v>0</v>
      </c>
      <c r="BI142" s="224">
        <f t="shared" si="88"/>
        <v>0</v>
      </c>
      <c r="BJ142" s="224">
        <f t="shared" si="88"/>
        <v>0</v>
      </c>
      <c r="BK142" s="224">
        <f t="shared" si="88"/>
        <v>0</v>
      </c>
      <c r="BL142" s="224">
        <f t="shared" si="88"/>
        <v>0</v>
      </c>
      <c r="BM142" s="224">
        <f t="shared" si="88"/>
        <v>0</v>
      </c>
      <c r="BN142" s="224">
        <f t="shared" si="89"/>
        <v>0</v>
      </c>
      <c r="BO142" s="224">
        <f t="shared" si="89"/>
        <v>0</v>
      </c>
    </row>
    <row r="143" spans="1:67">
      <c r="A143" s="229">
        <v>2</v>
      </c>
      <c r="B143" s="230" t="s">
        <v>124</v>
      </c>
      <c r="C143" s="223">
        <v>141</v>
      </c>
      <c r="D143" s="224"/>
      <c r="E143" s="225">
        <f t="shared" ref="E143:J153" si="90">D143</f>
        <v>0</v>
      </c>
      <c r="F143" s="225">
        <f t="shared" si="90"/>
        <v>0</v>
      </c>
      <c r="G143" s="225">
        <f t="shared" si="90"/>
        <v>0</v>
      </c>
      <c r="H143" s="225">
        <f t="shared" si="90"/>
        <v>0</v>
      </c>
      <c r="I143" s="225">
        <f t="shared" si="90"/>
        <v>0</v>
      </c>
      <c r="J143" s="225">
        <f t="shared" si="90"/>
        <v>0</v>
      </c>
      <c r="K143" s="237"/>
      <c r="L143" s="237">
        <f t="shared" si="83"/>
        <v>0</v>
      </c>
      <c r="M143" s="237">
        <f t="shared" si="83"/>
        <v>0</v>
      </c>
      <c r="N143" s="237">
        <f t="shared" si="83"/>
        <v>0</v>
      </c>
      <c r="O143" s="237">
        <f t="shared" si="83"/>
        <v>0</v>
      </c>
      <c r="P143" s="237">
        <f t="shared" si="83"/>
        <v>0</v>
      </c>
      <c r="Q143" s="237">
        <f t="shared" si="83"/>
        <v>0</v>
      </c>
      <c r="R143" s="237">
        <f t="shared" si="83"/>
        <v>0</v>
      </c>
      <c r="S143" s="237">
        <f t="shared" si="83"/>
        <v>0</v>
      </c>
      <c r="T143" s="224"/>
      <c r="U143" s="224">
        <f t="shared" si="84"/>
        <v>0</v>
      </c>
      <c r="V143" s="224">
        <f t="shared" si="84"/>
        <v>0</v>
      </c>
      <c r="W143" s="224">
        <f t="shared" si="84"/>
        <v>0</v>
      </c>
      <c r="X143" s="226"/>
      <c r="Y143" s="226">
        <f t="shared" si="85"/>
        <v>0</v>
      </c>
      <c r="Z143" s="226">
        <f t="shared" si="85"/>
        <v>0</v>
      </c>
      <c r="AA143" s="224"/>
      <c r="AB143" s="224"/>
      <c r="AC143" s="224"/>
      <c r="AD143" s="224">
        <f t="shared" si="47"/>
        <v>0</v>
      </c>
      <c r="AE143" s="224"/>
      <c r="AF143" s="224"/>
      <c r="AG143" s="224">
        <f t="shared" si="48"/>
        <v>0</v>
      </c>
      <c r="AH143" s="226"/>
      <c r="AI143" s="226">
        <f t="shared" si="86"/>
        <v>0</v>
      </c>
      <c r="AJ143" s="226">
        <f t="shared" si="86"/>
        <v>0</v>
      </c>
      <c r="AK143" s="226">
        <f t="shared" si="86"/>
        <v>0</v>
      </c>
      <c r="AL143" s="226">
        <f t="shared" si="86"/>
        <v>0</v>
      </c>
      <c r="AM143" s="226">
        <f t="shared" si="86"/>
        <v>0</v>
      </c>
      <c r="AN143" s="235"/>
      <c r="AO143" s="235">
        <f t="shared" ref="AO143:AV163" si="91">AN143</f>
        <v>0</v>
      </c>
      <c r="AP143" s="235">
        <f t="shared" si="91"/>
        <v>0</v>
      </c>
      <c r="AQ143" s="236">
        <f t="shared" si="91"/>
        <v>0</v>
      </c>
      <c r="AR143" s="236">
        <f t="shared" si="91"/>
        <v>0</v>
      </c>
      <c r="AS143" s="236">
        <f t="shared" si="91"/>
        <v>0</v>
      </c>
      <c r="AT143" s="236">
        <f t="shared" si="91"/>
        <v>0</v>
      </c>
      <c r="AU143" s="236">
        <f t="shared" si="91"/>
        <v>0</v>
      </c>
      <c r="AV143" s="236">
        <f t="shared" si="91"/>
        <v>0</v>
      </c>
      <c r="AW143" s="226"/>
      <c r="AX143" s="226">
        <f t="shared" si="88"/>
        <v>0</v>
      </c>
      <c r="AY143" s="226">
        <f t="shared" si="88"/>
        <v>0</v>
      </c>
      <c r="AZ143" s="226">
        <f t="shared" si="88"/>
        <v>0</v>
      </c>
      <c r="BA143" s="226">
        <f t="shared" si="88"/>
        <v>0</v>
      </c>
      <c r="BB143" s="226">
        <f t="shared" si="88"/>
        <v>0</v>
      </c>
      <c r="BC143" s="224"/>
      <c r="BD143" s="224">
        <f t="shared" si="88"/>
        <v>0</v>
      </c>
      <c r="BE143" s="224">
        <f t="shared" si="88"/>
        <v>0</v>
      </c>
      <c r="BF143" s="224">
        <f t="shared" si="88"/>
        <v>0</v>
      </c>
      <c r="BG143" s="224">
        <f t="shared" si="88"/>
        <v>0</v>
      </c>
      <c r="BH143" s="224">
        <f t="shared" si="88"/>
        <v>0</v>
      </c>
      <c r="BI143" s="224">
        <f t="shared" si="88"/>
        <v>0</v>
      </c>
      <c r="BJ143" s="224">
        <f t="shared" si="88"/>
        <v>0</v>
      </c>
      <c r="BK143" s="224">
        <f t="shared" si="88"/>
        <v>0</v>
      </c>
      <c r="BL143" s="224">
        <f t="shared" si="88"/>
        <v>0</v>
      </c>
      <c r="BM143" s="224">
        <f t="shared" si="88"/>
        <v>0</v>
      </c>
      <c r="BN143" s="224">
        <f t="shared" si="89"/>
        <v>0</v>
      </c>
      <c r="BO143" s="224">
        <f t="shared" si="89"/>
        <v>0</v>
      </c>
    </row>
    <row r="144" spans="1:67">
      <c r="A144" s="223" t="s">
        <v>131</v>
      </c>
      <c r="B144" s="151" t="s">
        <v>125</v>
      </c>
      <c r="C144" s="223">
        <v>142</v>
      </c>
      <c r="D144" s="224">
        <v>20908626.636363637</v>
      </c>
      <c r="E144" s="225">
        <f t="shared" si="90"/>
        <v>20908626.636363637</v>
      </c>
      <c r="F144" s="225">
        <f t="shared" si="90"/>
        <v>20908626.636363637</v>
      </c>
      <c r="G144" s="225">
        <f t="shared" si="90"/>
        <v>20908626.636363637</v>
      </c>
      <c r="H144" s="225">
        <f t="shared" si="90"/>
        <v>20908626.636363637</v>
      </c>
      <c r="I144" s="225">
        <f t="shared" si="90"/>
        <v>20908626.636363637</v>
      </c>
      <c r="J144" s="225">
        <f t="shared" si="90"/>
        <v>20908626.636363637</v>
      </c>
      <c r="K144" s="237">
        <v>20962017.545454543</v>
      </c>
      <c r="L144" s="237">
        <f t="shared" si="83"/>
        <v>20962017.545454543</v>
      </c>
      <c r="M144" s="237">
        <f t="shared" si="83"/>
        <v>20962017.545454543</v>
      </c>
      <c r="N144" s="237">
        <f t="shared" si="83"/>
        <v>20962017.545454543</v>
      </c>
      <c r="O144" s="237">
        <f t="shared" si="83"/>
        <v>20962017.545454543</v>
      </c>
      <c r="P144" s="237">
        <f t="shared" si="83"/>
        <v>20962017.545454543</v>
      </c>
      <c r="Q144" s="237">
        <f t="shared" si="83"/>
        <v>20962017.545454543</v>
      </c>
      <c r="R144" s="237">
        <f t="shared" si="83"/>
        <v>20962017.545454543</v>
      </c>
      <c r="S144" s="237">
        <f t="shared" si="83"/>
        <v>20962017.545454543</v>
      </c>
      <c r="T144" s="224">
        <v>20908626.636363637</v>
      </c>
      <c r="U144" s="224">
        <f t="shared" si="84"/>
        <v>20908626.636363637</v>
      </c>
      <c r="V144" s="224">
        <f t="shared" si="84"/>
        <v>20908626.636363637</v>
      </c>
      <c r="W144" s="224">
        <f t="shared" si="84"/>
        <v>20908626.636363637</v>
      </c>
      <c r="X144" s="226">
        <v>20908626.636363637</v>
      </c>
      <c r="Y144" s="226">
        <f t="shared" si="85"/>
        <v>20908626.636363637</v>
      </c>
      <c r="Z144" s="226">
        <f t="shared" si="85"/>
        <v>20908626.636363637</v>
      </c>
      <c r="AA144" s="224">
        <v>20908626.636363637</v>
      </c>
      <c r="AB144" s="224">
        <v>20908626.636363637</v>
      </c>
      <c r="AC144" s="224">
        <v>20908626.636363637</v>
      </c>
      <c r="AD144" s="224">
        <f t="shared" si="47"/>
        <v>20908626.636363637</v>
      </c>
      <c r="AE144" s="224">
        <v>20908626.636363637</v>
      </c>
      <c r="AF144" s="224">
        <v>20908626.636363637</v>
      </c>
      <c r="AG144" s="224">
        <f t="shared" si="48"/>
        <v>20908626.636363637</v>
      </c>
      <c r="AH144" s="226">
        <v>21079289.818181816</v>
      </c>
      <c r="AI144" s="226">
        <f t="shared" si="86"/>
        <v>21079289.818181816</v>
      </c>
      <c r="AJ144" s="226">
        <f t="shared" si="86"/>
        <v>21079289.818181816</v>
      </c>
      <c r="AK144" s="226">
        <f t="shared" si="86"/>
        <v>21079289.818181816</v>
      </c>
      <c r="AL144" s="226">
        <f t="shared" si="86"/>
        <v>21079289.818181816</v>
      </c>
      <c r="AM144" s="226">
        <f t="shared" si="86"/>
        <v>21079289.818181816</v>
      </c>
      <c r="AN144" s="235">
        <v>21079289.818181816</v>
      </c>
      <c r="AO144" s="235">
        <f t="shared" si="91"/>
        <v>21079289.818181816</v>
      </c>
      <c r="AP144" s="235">
        <f t="shared" si="91"/>
        <v>21079289.818181816</v>
      </c>
      <c r="AQ144" s="236">
        <f t="shared" si="91"/>
        <v>21079289.818181816</v>
      </c>
      <c r="AR144" s="236">
        <f t="shared" si="91"/>
        <v>21079289.818181816</v>
      </c>
      <c r="AS144" s="236">
        <f t="shared" si="91"/>
        <v>21079289.818181816</v>
      </c>
      <c r="AT144" s="236">
        <f t="shared" si="91"/>
        <v>21079289.818181816</v>
      </c>
      <c r="AU144" s="236">
        <f t="shared" si="91"/>
        <v>21079289.818181816</v>
      </c>
      <c r="AV144" s="236">
        <f t="shared" si="91"/>
        <v>21079289.818181816</v>
      </c>
      <c r="AW144" s="226">
        <v>20957039.09090909</v>
      </c>
      <c r="AX144" s="226">
        <f t="shared" si="88"/>
        <v>20957039.09090909</v>
      </c>
      <c r="AY144" s="226">
        <f t="shared" si="88"/>
        <v>20957039.09090909</v>
      </c>
      <c r="AZ144" s="226">
        <f t="shared" si="88"/>
        <v>20957039.09090909</v>
      </c>
      <c r="BA144" s="226">
        <f t="shared" si="88"/>
        <v>20957039.09090909</v>
      </c>
      <c r="BB144" s="226">
        <f t="shared" si="88"/>
        <v>20957039.09090909</v>
      </c>
      <c r="BC144" s="224">
        <v>20908626.636363637</v>
      </c>
      <c r="BD144" s="224">
        <f t="shared" si="88"/>
        <v>20908626.636363637</v>
      </c>
      <c r="BE144" s="224">
        <f t="shared" si="88"/>
        <v>20908626.636363637</v>
      </c>
      <c r="BF144" s="224">
        <f t="shared" si="88"/>
        <v>20908626.636363637</v>
      </c>
      <c r="BG144" s="224">
        <f t="shared" si="88"/>
        <v>20908626.636363637</v>
      </c>
      <c r="BH144" s="224">
        <f t="shared" si="88"/>
        <v>20908626.636363637</v>
      </c>
      <c r="BI144" s="224">
        <f t="shared" si="88"/>
        <v>20908626.636363637</v>
      </c>
      <c r="BJ144" s="224">
        <f t="shared" si="88"/>
        <v>20908626.636363637</v>
      </c>
      <c r="BK144" s="224">
        <f t="shared" si="88"/>
        <v>20908626.636363637</v>
      </c>
      <c r="BL144" s="224">
        <f t="shared" si="88"/>
        <v>20908626.636363637</v>
      </c>
      <c r="BM144" s="224">
        <f t="shared" si="88"/>
        <v>20908626.636363637</v>
      </c>
      <c r="BN144" s="224">
        <f t="shared" si="89"/>
        <v>20908626.636363637</v>
      </c>
      <c r="BO144" s="224">
        <f t="shared" si="89"/>
        <v>20908626.636363637</v>
      </c>
    </row>
    <row r="145" spans="1:67">
      <c r="A145" s="223" t="s">
        <v>132</v>
      </c>
      <c r="B145" s="151" t="s">
        <v>126</v>
      </c>
      <c r="C145" s="223">
        <v>143</v>
      </c>
      <c r="D145" s="224">
        <v>34681307.999999993</v>
      </c>
      <c r="E145" s="225">
        <f t="shared" si="90"/>
        <v>34681307.999999993</v>
      </c>
      <c r="F145" s="225">
        <f t="shared" si="90"/>
        <v>34681307.999999993</v>
      </c>
      <c r="G145" s="225">
        <f t="shared" si="90"/>
        <v>34681307.999999993</v>
      </c>
      <c r="H145" s="225">
        <f t="shared" si="90"/>
        <v>34681307.999999993</v>
      </c>
      <c r="I145" s="225">
        <f t="shared" si="90"/>
        <v>34681307.999999993</v>
      </c>
      <c r="J145" s="225">
        <f t="shared" si="90"/>
        <v>34681307.999999993</v>
      </c>
      <c r="K145" s="237">
        <v>34788089.818181813</v>
      </c>
      <c r="L145" s="237">
        <f t="shared" si="83"/>
        <v>34788089.818181813</v>
      </c>
      <c r="M145" s="237">
        <f t="shared" si="83"/>
        <v>34788089.818181813</v>
      </c>
      <c r="N145" s="237">
        <f t="shared" si="83"/>
        <v>34788089.818181813</v>
      </c>
      <c r="O145" s="237">
        <f t="shared" si="83"/>
        <v>34788089.818181813</v>
      </c>
      <c r="P145" s="237">
        <f t="shared" si="83"/>
        <v>34788089.818181813</v>
      </c>
      <c r="Q145" s="237">
        <f t="shared" si="83"/>
        <v>34788089.818181813</v>
      </c>
      <c r="R145" s="237">
        <f t="shared" si="83"/>
        <v>34788089.818181813</v>
      </c>
      <c r="S145" s="237">
        <f t="shared" si="83"/>
        <v>34788089.818181813</v>
      </c>
      <c r="T145" s="224">
        <v>34681307.999999993</v>
      </c>
      <c r="U145" s="224">
        <f t="shared" si="84"/>
        <v>34681307.999999993</v>
      </c>
      <c r="V145" s="224">
        <f t="shared" si="84"/>
        <v>34681307.999999993</v>
      </c>
      <c r="W145" s="224">
        <f t="shared" si="84"/>
        <v>34681307.999999993</v>
      </c>
      <c r="X145" s="226">
        <v>34681307.999999993</v>
      </c>
      <c r="Y145" s="226">
        <f t="shared" si="85"/>
        <v>34681307.999999993</v>
      </c>
      <c r="Z145" s="226">
        <f t="shared" si="85"/>
        <v>34681307.999999993</v>
      </c>
      <c r="AA145" s="224">
        <v>34681307.999999993</v>
      </c>
      <c r="AB145" s="224">
        <v>34681307.999999993</v>
      </c>
      <c r="AC145" s="224">
        <v>34681307.999999993</v>
      </c>
      <c r="AD145" s="224">
        <f t="shared" si="47"/>
        <v>34681307.999999993</v>
      </c>
      <c r="AE145" s="224">
        <v>34681307.999999993</v>
      </c>
      <c r="AF145" s="224">
        <v>34681307.999999993</v>
      </c>
      <c r="AG145" s="224">
        <f t="shared" si="48"/>
        <v>34681307.999999993</v>
      </c>
      <c r="AH145" s="226">
        <v>34982728.272727281</v>
      </c>
      <c r="AI145" s="226">
        <f t="shared" si="86"/>
        <v>34982728.272727281</v>
      </c>
      <c r="AJ145" s="226">
        <f t="shared" si="86"/>
        <v>34982728.272727281</v>
      </c>
      <c r="AK145" s="226">
        <f t="shared" si="86"/>
        <v>34982728.272727281</v>
      </c>
      <c r="AL145" s="226">
        <f t="shared" si="86"/>
        <v>34982728.272727281</v>
      </c>
      <c r="AM145" s="226">
        <f t="shared" si="86"/>
        <v>34982728.272727281</v>
      </c>
      <c r="AN145" s="235">
        <v>34982728.272727281</v>
      </c>
      <c r="AO145" s="235">
        <f t="shared" si="91"/>
        <v>34982728.272727281</v>
      </c>
      <c r="AP145" s="235">
        <f t="shared" si="91"/>
        <v>34982728.272727281</v>
      </c>
      <c r="AQ145" s="236">
        <f t="shared" si="91"/>
        <v>34982728.272727281</v>
      </c>
      <c r="AR145" s="236">
        <f t="shared" si="91"/>
        <v>34982728.272727281</v>
      </c>
      <c r="AS145" s="236">
        <f t="shared" si="91"/>
        <v>34982728.272727281</v>
      </c>
      <c r="AT145" s="236">
        <f t="shared" si="91"/>
        <v>34982728.272727281</v>
      </c>
      <c r="AU145" s="236">
        <f t="shared" si="91"/>
        <v>34982728.272727281</v>
      </c>
      <c r="AV145" s="236">
        <f t="shared" si="91"/>
        <v>34982728.272727281</v>
      </c>
      <c r="AW145" s="226">
        <v>34761605.454545453</v>
      </c>
      <c r="AX145" s="226">
        <f t="shared" si="88"/>
        <v>34761605.454545453</v>
      </c>
      <c r="AY145" s="226">
        <f t="shared" si="88"/>
        <v>34761605.454545453</v>
      </c>
      <c r="AZ145" s="226">
        <f t="shared" si="88"/>
        <v>34761605.454545453</v>
      </c>
      <c r="BA145" s="226">
        <f t="shared" si="88"/>
        <v>34761605.454545453</v>
      </c>
      <c r="BB145" s="226">
        <f t="shared" si="88"/>
        <v>34761605.454545453</v>
      </c>
      <c r="BC145" s="224">
        <v>34681307.999999993</v>
      </c>
      <c r="BD145" s="224">
        <f t="shared" si="88"/>
        <v>34681307.999999993</v>
      </c>
      <c r="BE145" s="224">
        <f t="shared" si="88"/>
        <v>34681307.999999993</v>
      </c>
      <c r="BF145" s="224">
        <f t="shared" si="88"/>
        <v>34681307.999999993</v>
      </c>
      <c r="BG145" s="224">
        <f t="shared" si="88"/>
        <v>34681307.999999993</v>
      </c>
      <c r="BH145" s="224">
        <f t="shared" si="88"/>
        <v>34681307.999999993</v>
      </c>
      <c r="BI145" s="224">
        <f t="shared" si="88"/>
        <v>34681307.999999993</v>
      </c>
      <c r="BJ145" s="224">
        <f t="shared" si="88"/>
        <v>34681307.999999993</v>
      </c>
      <c r="BK145" s="224">
        <f t="shared" si="88"/>
        <v>34681307.999999993</v>
      </c>
      <c r="BL145" s="224">
        <f t="shared" si="88"/>
        <v>34681307.999999993</v>
      </c>
      <c r="BM145" s="224">
        <f t="shared" si="88"/>
        <v>34681307.999999993</v>
      </c>
      <c r="BN145" s="224">
        <f t="shared" si="89"/>
        <v>34681307.999999993</v>
      </c>
      <c r="BO145" s="224">
        <f t="shared" si="89"/>
        <v>34681307.999999993</v>
      </c>
    </row>
    <row r="146" spans="1:67">
      <c r="A146" s="223" t="s">
        <v>133</v>
      </c>
      <c r="B146" s="151" t="s">
        <v>127</v>
      </c>
      <c r="C146" s="223">
        <v>144</v>
      </c>
      <c r="D146" s="224">
        <v>62995337.454545438</v>
      </c>
      <c r="E146" s="225">
        <f t="shared" si="90"/>
        <v>62995337.454545438</v>
      </c>
      <c r="F146" s="225">
        <f t="shared" si="90"/>
        <v>62995337.454545438</v>
      </c>
      <c r="G146" s="225">
        <f t="shared" si="90"/>
        <v>62995337.454545438</v>
      </c>
      <c r="H146" s="225">
        <f t="shared" si="90"/>
        <v>62995337.454545438</v>
      </c>
      <c r="I146" s="225">
        <f t="shared" si="90"/>
        <v>62995337.454545438</v>
      </c>
      <c r="J146" s="225">
        <f t="shared" si="90"/>
        <v>62995337.454545438</v>
      </c>
      <c r="K146" s="237">
        <v>63208901.090909071</v>
      </c>
      <c r="L146" s="237">
        <f t="shared" si="83"/>
        <v>63208901.090909071</v>
      </c>
      <c r="M146" s="237">
        <f t="shared" si="83"/>
        <v>63208901.090909071</v>
      </c>
      <c r="N146" s="237">
        <f t="shared" si="83"/>
        <v>63208901.090909071</v>
      </c>
      <c r="O146" s="237">
        <f t="shared" si="83"/>
        <v>63208901.090909071</v>
      </c>
      <c r="P146" s="237">
        <f t="shared" si="83"/>
        <v>63208901.090909071</v>
      </c>
      <c r="Q146" s="237">
        <f t="shared" si="83"/>
        <v>63208901.090909071</v>
      </c>
      <c r="R146" s="237">
        <f t="shared" si="83"/>
        <v>63208901.090909071</v>
      </c>
      <c r="S146" s="237">
        <f t="shared" si="83"/>
        <v>63208901.090909071</v>
      </c>
      <c r="T146" s="224">
        <v>62995337.454545438</v>
      </c>
      <c r="U146" s="224">
        <f t="shared" si="84"/>
        <v>62995337.454545438</v>
      </c>
      <c r="V146" s="224">
        <f t="shared" si="84"/>
        <v>62995337.454545438</v>
      </c>
      <c r="W146" s="224">
        <f t="shared" si="84"/>
        <v>62995337.454545438</v>
      </c>
      <c r="X146" s="226">
        <v>62995337.454545438</v>
      </c>
      <c r="Y146" s="226">
        <f t="shared" si="85"/>
        <v>62995337.454545438</v>
      </c>
      <c r="Z146" s="226">
        <f t="shared" si="85"/>
        <v>62995337.454545438</v>
      </c>
      <c r="AA146" s="224">
        <v>62995337.454545438</v>
      </c>
      <c r="AB146" s="224">
        <v>62995337.454545438</v>
      </c>
      <c r="AC146" s="224">
        <v>62995337.454545438</v>
      </c>
      <c r="AD146" s="224">
        <f t="shared" si="47"/>
        <v>62995337.454545438</v>
      </c>
      <c r="AE146" s="224">
        <v>62995337.454545438</v>
      </c>
      <c r="AF146" s="224">
        <v>62995337.454545438</v>
      </c>
      <c r="AG146" s="224">
        <f t="shared" si="48"/>
        <v>62995337.454545438</v>
      </c>
      <c r="AH146" s="226">
        <v>63562573.090909094</v>
      </c>
      <c r="AI146" s="226">
        <f t="shared" si="86"/>
        <v>63562573.090909094</v>
      </c>
      <c r="AJ146" s="226">
        <f t="shared" si="86"/>
        <v>63562573.090909094</v>
      </c>
      <c r="AK146" s="226">
        <f t="shared" si="86"/>
        <v>63562573.090909094</v>
      </c>
      <c r="AL146" s="226">
        <f t="shared" si="86"/>
        <v>63562573.090909094</v>
      </c>
      <c r="AM146" s="226">
        <f t="shared" si="86"/>
        <v>63562573.090909094</v>
      </c>
      <c r="AN146" s="235">
        <v>63562573.090909094</v>
      </c>
      <c r="AO146" s="235">
        <f t="shared" si="91"/>
        <v>63562573.090909094</v>
      </c>
      <c r="AP146" s="235">
        <f t="shared" si="91"/>
        <v>63562573.090909094</v>
      </c>
      <c r="AQ146" s="236">
        <f t="shared" si="91"/>
        <v>63562573.090909094</v>
      </c>
      <c r="AR146" s="236">
        <f t="shared" si="91"/>
        <v>63562573.090909094</v>
      </c>
      <c r="AS146" s="236">
        <f t="shared" si="91"/>
        <v>63562573.090909094</v>
      </c>
      <c r="AT146" s="236">
        <f t="shared" si="91"/>
        <v>63562573.090909094</v>
      </c>
      <c r="AU146" s="236">
        <f t="shared" si="91"/>
        <v>63562573.090909094</v>
      </c>
      <c r="AV146" s="236">
        <f t="shared" si="91"/>
        <v>63562573.090909094</v>
      </c>
      <c r="AW146" s="226">
        <v>63141180.363636367</v>
      </c>
      <c r="AX146" s="226">
        <f t="shared" si="88"/>
        <v>63141180.363636367</v>
      </c>
      <c r="AY146" s="226">
        <f t="shared" si="88"/>
        <v>63141180.363636367</v>
      </c>
      <c r="AZ146" s="226">
        <f t="shared" si="88"/>
        <v>63141180.363636367</v>
      </c>
      <c r="BA146" s="226">
        <f t="shared" si="88"/>
        <v>63141180.363636367</v>
      </c>
      <c r="BB146" s="226">
        <f t="shared" si="88"/>
        <v>63141180.363636367</v>
      </c>
      <c r="BC146" s="224">
        <v>62995337.454545438</v>
      </c>
      <c r="BD146" s="224">
        <f t="shared" si="88"/>
        <v>62995337.454545438</v>
      </c>
      <c r="BE146" s="224">
        <f t="shared" si="88"/>
        <v>62995337.454545438</v>
      </c>
      <c r="BF146" s="224">
        <f t="shared" si="88"/>
        <v>62995337.454545438</v>
      </c>
      <c r="BG146" s="224">
        <f t="shared" si="88"/>
        <v>62995337.454545438</v>
      </c>
      <c r="BH146" s="224">
        <f t="shared" si="88"/>
        <v>62995337.454545438</v>
      </c>
      <c r="BI146" s="224">
        <f t="shared" si="88"/>
        <v>62995337.454545438</v>
      </c>
      <c r="BJ146" s="224">
        <f t="shared" si="88"/>
        <v>62995337.454545438</v>
      </c>
      <c r="BK146" s="224">
        <f t="shared" si="88"/>
        <v>62995337.454545438</v>
      </c>
      <c r="BL146" s="224">
        <f t="shared" si="88"/>
        <v>62995337.454545438</v>
      </c>
      <c r="BM146" s="224">
        <f t="shared" si="88"/>
        <v>62995337.454545438</v>
      </c>
      <c r="BN146" s="224">
        <f t="shared" si="89"/>
        <v>62995337.454545438</v>
      </c>
      <c r="BO146" s="224">
        <f t="shared" si="89"/>
        <v>62995337.454545438</v>
      </c>
    </row>
    <row r="147" spans="1:67">
      <c r="A147" s="223" t="s">
        <v>134</v>
      </c>
      <c r="B147" s="151" t="s">
        <v>128</v>
      </c>
      <c r="C147" s="223">
        <v>145</v>
      </c>
      <c r="D147" s="224">
        <v>27882353.727272723</v>
      </c>
      <c r="E147" s="225">
        <f t="shared" si="90"/>
        <v>27882353.727272723</v>
      </c>
      <c r="F147" s="225">
        <f t="shared" si="90"/>
        <v>27882353.727272723</v>
      </c>
      <c r="G147" s="225">
        <f t="shared" si="90"/>
        <v>27882353.727272723</v>
      </c>
      <c r="H147" s="225">
        <f t="shared" si="90"/>
        <v>27882353.727272723</v>
      </c>
      <c r="I147" s="225">
        <f t="shared" si="90"/>
        <v>27882353.727272723</v>
      </c>
      <c r="J147" s="225">
        <f t="shared" si="90"/>
        <v>27882353.727272723</v>
      </c>
      <c r="K147" s="237">
        <v>28695495.090909086</v>
      </c>
      <c r="L147" s="237">
        <f t="shared" si="83"/>
        <v>28695495.090909086</v>
      </c>
      <c r="M147" s="237">
        <f t="shared" si="83"/>
        <v>28695495.090909086</v>
      </c>
      <c r="N147" s="237">
        <f t="shared" si="83"/>
        <v>28695495.090909086</v>
      </c>
      <c r="O147" s="237">
        <f t="shared" si="83"/>
        <v>28695495.090909086</v>
      </c>
      <c r="P147" s="237">
        <f t="shared" si="83"/>
        <v>28695495.090909086</v>
      </c>
      <c r="Q147" s="237">
        <f t="shared" si="83"/>
        <v>28695495.090909086</v>
      </c>
      <c r="R147" s="237">
        <f t="shared" si="83"/>
        <v>28695495.090909086</v>
      </c>
      <c r="S147" s="237">
        <f t="shared" si="83"/>
        <v>28695495.090909086</v>
      </c>
      <c r="T147" s="224">
        <v>27882353.727272723</v>
      </c>
      <c r="U147" s="224">
        <f t="shared" si="84"/>
        <v>27882353.727272723</v>
      </c>
      <c r="V147" s="224">
        <f t="shared" si="84"/>
        <v>27882353.727272723</v>
      </c>
      <c r="W147" s="224">
        <f t="shared" si="84"/>
        <v>27882353.727272723</v>
      </c>
      <c r="X147" s="226">
        <v>27882353.727272723</v>
      </c>
      <c r="Y147" s="226">
        <f t="shared" si="85"/>
        <v>27882353.727272723</v>
      </c>
      <c r="Z147" s="226">
        <f t="shared" si="85"/>
        <v>27882353.727272723</v>
      </c>
      <c r="AA147" s="224">
        <v>27882353.727272723</v>
      </c>
      <c r="AB147" s="224">
        <v>27882353.727272723</v>
      </c>
      <c r="AC147" s="224">
        <v>27882353.727272723</v>
      </c>
      <c r="AD147" s="224">
        <f t="shared" si="47"/>
        <v>27882353.727272723</v>
      </c>
      <c r="AE147" s="224">
        <v>27882353.727272723</v>
      </c>
      <c r="AF147" s="224">
        <v>27882353.727272723</v>
      </c>
      <c r="AG147" s="224">
        <f t="shared" si="48"/>
        <v>27882353.727272723</v>
      </c>
      <c r="AH147" s="226">
        <v>28856066.36363636</v>
      </c>
      <c r="AI147" s="226">
        <f t="shared" si="86"/>
        <v>28856066.36363636</v>
      </c>
      <c r="AJ147" s="226">
        <f t="shared" si="86"/>
        <v>28856066.36363636</v>
      </c>
      <c r="AK147" s="226">
        <f t="shared" si="86"/>
        <v>28856066.36363636</v>
      </c>
      <c r="AL147" s="226">
        <f t="shared" si="86"/>
        <v>28856066.36363636</v>
      </c>
      <c r="AM147" s="226">
        <f t="shared" si="86"/>
        <v>28856066.36363636</v>
      </c>
      <c r="AN147" s="235">
        <v>28856066.36363636</v>
      </c>
      <c r="AO147" s="235">
        <f t="shared" si="91"/>
        <v>28856066.36363636</v>
      </c>
      <c r="AP147" s="235">
        <f t="shared" si="91"/>
        <v>28856066.36363636</v>
      </c>
      <c r="AQ147" s="236">
        <f t="shared" si="91"/>
        <v>28856066.36363636</v>
      </c>
      <c r="AR147" s="236">
        <f t="shared" si="91"/>
        <v>28856066.36363636</v>
      </c>
      <c r="AS147" s="236">
        <f t="shared" si="91"/>
        <v>28856066.36363636</v>
      </c>
      <c r="AT147" s="236">
        <f t="shared" si="91"/>
        <v>28856066.36363636</v>
      </c>
      <c r="AU147" s="236">
        <f t="shared" si="91"/>
        <v>28856066.36363636</v>
      </c>
      <c r="AV147" s="236">
        <f t="shared" si="91"/>
        <v>28856066.36363636</v>
      </c>
      <c r="AW147" s="226">
        <v>27946866.454545453</v>
      </c>
      <c r="AX147" s="226">
        <f t="shared" si="88"/>
        <v>27946866.454545453</v>
      </c>
      <c r="AY147" s="226">
        <f t="shared" si="88"/>
        <v>27946866.454545453</v>
      </c>
      <c r="AZ147" s="226">
        <f t="shared" si="88"/>
        <v>27946866.454545453</v>
      </c>
      <c r="BA147" s="226">
        <f t="shared" si="88"/>
        <v>27946866.454545453</v>
      </c>
      <c r="BB147" s="226">
        <f t="shared" si="88"/>
        <v>27946866.454545453</v>
      </c>
      <c r="BC147" s="224">
        <v>27882353.727272723</v>
      </c>
      <c r="BD147" s="224">
        <f t="shared" si="88"/>
        <v>27882353.727272723</v>
      </c>
      <c r="BE147" s="224">
        <f t="shared" si="88"/>
        <v>27882353.727272723</v>
      </c>
      <c r="BF147" s="224">
        <f t="shared" si="88"/>
        <v>27882353.727272723</v>
      </c>
      <c r="BG147" s="224">
        <f t="shared" si="88"/>
        <v>27882353.727272723</v>
      </c>
      <c r="BH147" s="224">
        <f t="shared" si="88"/>
        <v>27882353.727272723</v>
      </c>
      <c r="BI147" s="224">
        <f t="shared" si="88"/>
        <v>27882353.727272723</v>
      </c>
      <c r="BJ147" s="224">
        <f t="shared" si="88"/>
        <v>27882353.727272723</v>
      </c>
      <c r="BK147" s="224">
        <f t="shared" si="88"/>
        <v>27882353.727272723</v>
      </c>
      <c r="BL147" s="224">
        <f t="shared" si="88"/>
        <v>27882353.727272723</v>
      </c>
      <c r="BM147" s="224">
        <f t="shared" si="88"/>
        <v>27882353.727272723</v>
      </c>
      <c r="BN147" s="224">
        <f t="shared" si="89"/>
        <v>27882353.727272723</v>
      </c>
      <c r="BO147" s="224">
        <f t="shared" si="89"/>
        <v>27882353.727272723</v>
      </c>
    </row>
    <row r="148" spans="1:67">
      <c r="A148" s="223" t="s">
        <v>135</v>
      </c>
      <c r="B148" s="151" t="s">
        <v>129</v>
      </c>
      <c r="C148" s="223">
        <v>146</v>
      </c>
      <c r="D148" s="224">
        <v>46871206.909090906</v>
      </c>
      <c r="E148" s="225">
        <f t="shared" si="90"/>
        <v>46871206.909090906</v>
      </c>
      <c r="F148" s="225">
        <f t="shared" si="90"/>
        <v>46871206.909090906</v>
      </c>
      <c r="G148" s="225">
        <f t="shared" si="90"/>
        <v>46871206.909090906</v>
      </c>
      <c r="H148" s="225">
        <f t="shared" si="90"/>
        <v>46871206.909090906</v>
      </c>
      <c r="I148" s="225">
        <f t="shared" si="90"/>
        <v>46871206.909090906</v>
      </c>
      <c r="J148" s="225">
        <f t="shared" si="90"/>
        <v>46871206.909090906</v>
      </c>
      <c r="K148" s="237">
        <v>47732400.090909086</v>
      </c>
      <c r="L148" s="237">
        <f t="shared" si="83"/>
        <v>47732400.090909086</v>
      </c>
      <c r="M148" s="237">
        <f t="shared" si="83"/>
        <v>47732400.090909086</v>
      </c>
      <c r="N148" s="237">
        <f t="shared" si="83"/>
        <v>47732400.090909086</v>
      </c>
      <c r="O148" s="237">
        <f t="shared" si="83"/>
        <v>47732400.090909086</v>
      </c>
      <c r="P148" s="237">
        <f t="shared" si="83"/>
        <v>47732400.090909086</v>
      </c>
      <c r="Q148" s="237">
        <f t="shared" si="83"/>
        <v>47732400.090909086</v>
      </c>
      <c r="R148" s="237">
        <f t="shared" si="83"/>
        <v>47732400.090909086</v>
      </c>
      <c r="S148" s="237">
        <f t="shared" si="83"/>
        <v>47732400.090909086</v>
      </c>
      <c r="T148" s="224">
        <v>46871206.909090906</v>
      </c>
      <c r="U148" s="224">
        <f t="shared" si="84"/>
        <v>46871206.909090906</v>
      </c>
      <c r="V148" s="224">
        <f t="shared" si="84"/>
        <v>46871206.909090906</v>
      </c>
      <c r="W148" s="224">
        <f t="shared" si="84"/>
        <v>46871206.909090906</v>
      </c>
      <c r="X148" s="226">
        <v>46871206.909090906</v>
      </c>
      <c r="Y148" s="226">
        <f t="shared" si="85"/>
        <v>46871206.909090906</v>
      </c>
      <c r="Z148" s="226">
        <f t="shared" si="85"/>
        <v>46871206.909090906</v>
      </c>
      <c r="AA148" s="224">
        <v>46871206.909090906</v>
      </c>
      <c r="AB148" s="224">
        <v>46871206.909090906</v>
      </c>
      <c r="AC148" s="224">
        <v>46871206.909090906</v>
      </c>
      <c r="AD148" s="224">
        <f t="shared" si="47"/>
        <v>46871206.909090906</v>
      </c>
      <c r="AE148" s="224">
        <v>46871206.909090906</v>
      </c>
      <c r="AF148" s="224">
        <v>46871206.909090906</v>
      </c>
      <c r="AG148" s="224">
        <f t="shared" si="48"/>
        <v>46871206.909090906</v>
      </c>
      <c r="AH148" s="226">
        <v>47999519.81818182</v>
      </c>
      <c r="AI148" s="226">
        <f t="shared" si="86"/>
        <v>47999519.81818182</v>
      </c>
      <c r="AJ148" s="226">
        <f t="shared" si="86"/>
        <v>47999519.81818182</v>
      </c>
      <c r="AK148" s="226">
        <f t="shared" si="86"/>
        <v>47999519.81818182</v>
      </c>
      <c r="AL148" s="226">
        <f t="shared" si="86"/>
        <v>47999519.81818182</v>
      </c>
      <c r="AM148" s="226">
        <f t="shared" si="86"/>
        <v>47999519.81818182</v>
      </c>
      <c r="AN148" s="235">
        <v>47999519.81818182</v>
      </c>
      <c r="AO148" s="235">
        <f t="shared" si="91"/>
        <v>47999519.81818182</v>
      </c>
      <c r="AP148" s="235">
        <f t="shared" si="91"/>
        <v>47999519.81818182</v>
      </c>
      <c r="AQ148" s="236">
        <f t="shared" si="91"/>
        <v>47999519.81818182</v>
      </c>
      <c r="AR148" s="236">
        <f t="shared" si="91"/>
        <v>47999519.81818182</v>
      </c>
      <c r="AS148" s="236">
        <f t="shared" si="91"/>
        <v>47999519.81818182</v>
      </c>
      <c r="AT148" s="236">
        <f t="shared" si="91"/>
        <v>47999519.81818182</v>
      </c>
      <c r="AU148" s="236">
        <f t="shared" si="91"/>
        <v>47999519.81818182</v>
      </c>
      <c r="AV148" s="236">
        <f t="shared" si="91"/>
        <v>47999519.81818182</v>
      </c>
      <c r="AW148" s="226">
        <v>46979635.727272727</v>
      </c>
      <c r="AX148" s="226">
        <f t="shared" si="88"/>
        <v>46979635.727272727</v>
      </c>
      <c r="AY148" s="226">
        <f t="shared" si="88"/>
        <v>46979635.727272727</v>
      </c>
      <c r="AZ148" s="226">
        <f t="shared" si="88"/>
        <v>46979635.727272727</v>
      </c>
      <c r="BA148" s="226">
        <f t="shared" si="88"/>
        <v>46979635.727272727</v>
      </c>
      <c r="BB148" s="226">
        <f t="shared" si="88"/>
        <v>46979635.727272727</v>
      </c>
      <c r="BC148" s="224">
        <v>46871206.909090906</v>
      </c>
      <c r="BD148" s="224">
        <f t="shared" si="88"/>
        <v>46871206.909090906</v>
      </c>
      <c r="BE148" s="224">
        <f t="shared" si="88"/>
        <v>46871206.909090906</v>
      </c>
      <c r="BF148" s="224">
        <f t="shared" si="88"/>
        <v>46871206.909090906</v>
      </c>
      <c r="BG148" s="224">
        <f t="shared" si="88"/>
        <v>46871206.909090906</v>
      </c>
      <c r="BH148" s="224">
        <f t="shared" si="88"/>
        <v>46871206.909090906</v>
      </c>
      <c r="BI148" s="224">
        <f t="shared" si="88"/>
        <v>46871206.909090906</v>
      </c>
      <c r="BJ148" s="224">
        <f t="shared" si="88"/>
        <v>46871206.909090906</v>
      </c>
      <c r="BK148" s="224">
        <f t="shared" si="88"/>
        <v>46871206.909090906</v>
      </c>
      <c r="BL148" s="224">
        <f t="shared" si="88"/>
        <v>46871206.909090906</v>
      </c>
      <c r="BM148" s="224">
        <f t="shared" si="88"/>
        <v>46871206.909090906</v>
      </c>
      <c r="BN148" s="224">
        <f t="shared" si="89"/>
        <v>46871206.909090906</v>
      </c>
      <c r="BO148" s="224">
        <f t="shared" si="89"/>
        <v>46871206.909090906</v>
      </c>
    </row>
    <row r="149" spans="1:67">
      <c r="A149" s="223" t="s">
        <v>136</v>
      </c>
      <c r="B149" s="151" t="s">
        <v>130</v>
      </c>
      <c r="C149" s="223">
        <v>147</v>
      </c>
      <c r="D149" s="224">
        <v>84848913.181818187</v>
      </c>
      <c r="E149" s="225">
        <f t="shared" si="90"/>
        <v>84848913.181818187</v>
      </c>
      <c r="F149" s="225">
        <f t="shared" si="90"/>
        <v>84848913.181818187</v>
      </c>
      <c r="G149" s="225">
        <f t="shared" si="90"/>
        <v>84848913.181818187</v>
      </c>
      <c r="H149" s="225">
        <f t="shared" si="90"/>
        <v>84848913.181818187</v>
      </c>
      <c r="I149" s="225">
        <f t="shared" si="90"/>
        <v>84848913.181818187</v>
      </c>
      <c r="J149" s="225">
        <f t="shared" si="90"/>
        <v>84848913.181818187</v>
      </c>
      <c r="K149" s="237">
        <v>85806210</v>
      </c>
      <c r="L149" s="237">
        <f t="shared" si="83"/>
        <v>85806210</v>
      </c>
      <c r="M149" s="237">
        <f t="shared" si="83"/>
        <v>85806210</v>
      </c>
      <c r="N149" s="237">
        <f t="shared" si="83"/>
        <v>85806210</v>
      </c>
      <c r="O149" s="237">
        <f t="shared" si="83"/>
        <v>85806210</v>
      </c>
      <c r="P149" s="237">
        <f t="shared" si="83"/>
        <v>85806210</v>
      </c>
      <c r="Q149" s="237">
        <f t="shared" si="83"/>
        <v>85806210</v>
      </c>
      <c r="R149" s="237">
        <f t="shared" si="83"/>
        <v>85806210</v>
      </c>
      <c r="S149" s="237">
        <f t="shared" si="83"/>
        <v>85806210</v>
      </c>
      <c r="T149" s="224">
        <v>84848913.181818187</v>
      </c>
      <c r="U149" s="224">
        <f t="shared" si="84"/>
        <v>84848913.181818187</v>
      </c>
      <c r="V149" s="224">
        <f t="shared" si="84"/>
        <v>84848913.181818187</v>
      </c>
      <c r="W149" s="224">
        <f t="shared" si="84"/>
        <v>84848913.181818187</v>
      </c>
      <c r="X149" s="226">
        <v>84848913.181818187</v>
      </c>
      <c r="Y149" s="226">
        <f t="shared" si="85"/>
        <v>84848913.181818187</v>
      </c>
      <c r="Z149" s="226">
        <f t="shared" si="85"/>
        <v>84848913.181818187</v>
      </c>
      <c r="AA149" s="224">
        <v>84848913.181818187</v>
      </c>
      <c r="AB149" s="224">
        <v>84848913.181818187</v>
      </c>
      <c r="AC149" s="224">
        <v>84848913.181818187</v>
      </c>
      <c r="AD149" s="224">
        <f t="shared" si="47"/>
        <v>84848913.181818187</v>
      </c>
      <c r="AE149" s="224">
        <v>84848913.181818187</v>
      </c>
      <c r="AF149" s="224">
        <v>84848913.181818187</v>
      </c>
      <c r="AG149" s="224">
        <f t="shared" si="48"/>
        <v>84848913.181818187</v>
      </c>
      <c r="AH149" s="226">
        <v>86286426.727272719</v>
      </c>
      <c r="AI149" s="226">
        <f t="shared" si="86"/>
        <v>86286426.727272719</v>
      </c>
      <c r="AJ149" s="226">
        <f t="shared" si="86"/>
        <v>86286426.727272719</v>
      </c>
      <c r="AK149" s="226">
        <f t="shared" si="86"/>
        <v>86286426.727272719</v>
      </c>
      <c r="AL149" s="226">
        <f t="shared" si="86"/>
        <v>86286426.727272719</v>
      </c>
      <c r="AM149" s="226">
        <f t="shared" si="86"/>
        <v>86286426.727272719</v>
      </c>
      <c r="AN149" s="235">
        <v>86286426.727272719</v>
      </c>
      <c r="AO149" s="235">
        <f t="shared" si="91"/>
        <v>86286426.727272719</v>
      </c>
      <c r="AP149" s="235">
        <f t="shared" si="91"/>
        <v>86286426.727272719</v>
      </c>
      <c r="AQ149" s="236">
        <f t="shared" si="91"/>
        <v>86286426.727272719</v>
      </c>
      <c r="AR149" s="236">
        <f t="shared" si="91"/>
        <v>86286426.727272719</v>
      </c>
      <c r="AS149" s="236">
        <f t="shared" si="91"/>
        <v>86286426.727272719</v>
      </c>
      <c r="AT149" s="236">
        <f t="shared" si="91"/>
        <v>86286426.727272719</v>
      </c>
      <c r="AU149" s="236">
        <f t="shared" si="91"/>
        <v>86286426.727272719</v>
      </c>
      <c r="AV149" s="236">
        <f t="shared" si="91"/>
        <v>86286426.727272719</v>
      </c>
      <c r="AW149" s="226">
        <v>85045174.36363636</v>
      </c>
      <c r="AX149" s="226">
        <f t="shared" si="88"/>
        <v>85045174.36363636</v>
      </c>
      <c r="AY149" s="226">
        <f t="shared" si="88"/>
        <v>85045174.36363636</v>
      </c>
      <c r="AZ149" s="226">
        <f t="shared" si="88"/>
        <v>85045174.36363636</v>
      </c>
      <c r="BA149" s="226">
        <f t="shared" si="88"/>
        <v>85045174.36363636</v>
      </c>
      <c r="BB149" s="226">
        <f t="shared" si="88"/>
        <v>85045174.36363636</v>
      </c>
      <c r="BC149" s="224">
        <v>84848913.181818187</v>
      </c>
      <c r="BD149" s="224">
        <f t="shared" si="88"/>
        <v>84848913.181818187</v>
      </c>
      <c r="BE149" s="224">
        <f t="shared" si="88"/>
        <v>84848913.181818187</v>
      </c>
      <c r="BF149" s="224">
        <f t="shared" si="88"/>
        <v>84848913.181818187</v>
      </c>
      <c r="BG149" s="224">
        <f t="shared" si="88"/>
        <v>84848913.181818187</v>
      </c>
      <c r="BH149" s="224">
        <f t="shared" si="88"/>
        <v>84848913.181818187</v>
      </c>
      <c r="BI149" s="224">
        <f t="shared" si="88"/>
        <v>84848913.181818187</v>
      </c>
      <c r="BJ149" s="224">
        <f t="shared" si="88"/>
        <v>84848913.181818187</v>
      </c>
      <c r="BK149" s="224">
        <f t="shared" si="88"/>
        <v>84848913.181818187</v>
      </c>
      <c r="BL149" s="224">
        <f t="shared" si="88"/>
        <v>84848913.181818187</v>
      </c>
      <c r="BM149" s="224">
        <f t="shared" si="88"/>
        <v>84848913.181818187</v>
      </c>
      <c r="BN149" s="224">
        <f t="shared" si="89"/>
        <v>84848913.181818187</v>
      </c>
      <c r="BO149" s="224">
        <f t="shared" si="89"/>
        <v>84848913.181818187</v>
      </c>
    </row>
    <row r="150" spans="1:67">
      <c r="A150" s="229" t="s">
        <v>224</v>
      </c>
      <c r="B150" s="230" t="s">
        <v>138</v>
      </c>
      <c r="C150" s="223">
        <v>148</v>
      </c>
      <c r="D150" s="224"/>
      <c r="E150" s="225">
        <f t="shared" si="90"/>
        <v>0</v>
      </c>
      <c r="F150" s="225">
        <f t="shared" si="90"/>
        <v>0</v>
      </c>
      <c r="G150" s="225">
        <f t="shared" si="90"/>
        <v>0</v>
      </c>
      <c r="H150" s="225">
        <f t="shared" si="90"/>
        <v>0</v>
      </c>
      <c r="I150" s="225">
        <f t="shared" si="90"/>
        <v>0</v>
      </c>
      <c r="J150" s="225">
        <f t="shared" si="90"/>
        <v>0</v>
      </c>
      <c r="K150" s="237"/>
      <c r="L150" s="237">
        <f t="shared" si="83"/>
        <v>0</v>
      </c>
      <c r="M150" s="237">
        <f t="shared" si="83"/>
        <v>0</v>
      </c>
      <c r="N150" s="237">
        <f t="shared" si="83"/>
        <v>0</v>
      </c>
      <c r="O150" s="237">
        <f t="shared" si="83"/>
        <v>0</v>
      </c>
      <c r="P150" s="237">
        <f t="shared" si="83"/>
        <v>0</v>
      </c>
      <c r="Q150" s="237">
        <f t="shared" si="83"/>
        <v>0</v>
      </c>
      <c r="R150" s="237">
        <f t="shared" si="83"/>
        <v>0</v>
      </c>
      <c r="S150" s="237">
        <f t="shared" si="83"/>
        <v>0</v>
      </c>
      <c r="T150" s="224"/>
      <c r="U150" s="224">
        <f t="shared" si="84"/>
        <v>0</v>
      </c>
      <c r="V150" s="224">
        <f t="shared" si="84"/>
        <v>0</v>
      </c>
      <c r="W150" s="224">
        <f t="shared" si="84"/>
        <v>0</v>
      </c>
      <c r="X150" s="226"/>
      <c r="Y150" s="226">
        <f t="shared" si="85"/>
        <v>0</v>
      </c>
      <c r="Z150" s="226">
        <f t="shared" si="85"/>
        <v>0</v>
      </c>
      <c r="AA150" s="224"/>
      <c r="AB150" s="224"/>
      <c r="AC150" s="224"/>
      <c r="AD150" s="224">
        <f t="shared" si="47"/>
        <v>0</v>
      </c>
      <c r="AE150" s="224"/>
      <c r="AF150" s="224"/>
      <c r="AG150" s="224">
        <f t="shared" si="48"/>
        <v>0</v>
      </c>
      <c r="AH150" s="226"/>
      <c r="AI150" s="226">
        <f t="shared" si="86"/>
        <v>0</v>
      </c>
      <c r="AJ150" s="226">
        <f t="shared" si="86"/>
        <v>0</v>
      </c>
      <c r="AK150" s="226">
        <f t="shared" si="86"/>
        <v>0</v>
      </c>
      <c r="AL150" s="226">
        <f t="shared" si="86"/>
        <v>0</v>
      </c>
      <c r="AM150" s="226">
        <f t="shared" si="86"/>
        <v>0</v>
      </c>
      <c r="AN150" s="235"/>
      <c r="AO150" s="235">
        <f t="shared" si="91"/>
        <v>0</v>
      </c>
      <c r="AP150" s="235">
        <f t="shared" si="91"/>
        <v>0</v>
      </c>
      <c r="AQ150" s="236">
        <f t="shared" si="91"/>
        <v>0</v>
      </c>
      <c r="AR150" s="236">
        <f t="shared" si="91"/>
        <v>0</v>
      </c>
      <c r="AS150" s="236">
        <f t="shared" si="91"/>
        <v>0</v>
      </c>
      <c r="AT150" s="236">
        <f t="shared" si="91"/>
        <v>0</v>
      </c>
      <c r="AU150" s="236">
        <f t="shared" si="91"/>
        <v>0</v>
      </c>
      <c r="AV150" s="236">
        <f t="shared" si="91"/>
        <v>0</v>
      </c>
      <c r="AW150" s="226"/>
      <c r="AX150" s="226">
        <f t="shared" si="88"/>
        <v>0</v>
      </c>
      <c r="AY150" s="226">
        <f t="shared" si="88"/>
        <v>0</v>
      </c>
      <c r="AZ150" s="226">
        <f t="shared" si="88"/>
        <v>0</v>
      </c>
      <c r="BA150" s="226">
        <f t="shared" si="88"/>
        <v>0</v>
      </c>
      <c r="BB150" s="226">
        <f t="shared" si="88"/>
        <v>0</v>
      </c>
      <c r="BC150" s="224"/>
      <c r="BD150" s="224">
        <f t="shared" si="88"/>
        <v>0</v>
      </c>
      <c r="BE150" s="224">
        <f t="shared" si="88"/>
        <v>0</v>
      </c>
      <c r="BF150" s="224">
        <f t="shared" si="88"/>
        <v>0</v>
      </c>
      <c r="BG150" s="224">
        <f t="shared" si="88"/>
        <v>0</v>
      </c>
      <c r="BH150" s="224">
        <f t="shared" si="88"/>
        <v>0</v>
      </c>
      <c r="BI150" s="224">
        <f t="shared" si="88"/>
        <v>0</v>
      </c>
      <c r="BJ150" s="224">
        <f t="shared" si="88"/>
        <v>0</v>
      </c>
      <c r="BK150" s="224">
        <f t="shared" si="88"/>
        <v>0</v>
      </c>
      <c r="BL150" s="224">
        <f t="shared" si="88"/>
        <v>0</v>
      </c>
      <c r="BM150" s="224">
        <f t="shared" si="88"/>
        <v>0</v>
      </c>
      <c r="BN150" s="224">
        <f t="shared" si="89"/>
        <v>0</v>
      </c>
      <c r="BO150" s="224">
        <f t="shared" si="89"/>
        <v>0</v>
      </c>
    </row>
    <row r="151" spans="1:67">
      <c r="A151" s="229" t="s">
        <v>28</v>
      </c>
      <c r="B151" s="230" t="s">
        <v>309</v>
      </c>
      <c r="C151" s="223">
        <v>149</v>
      </c>
      <c r="D151" s="224"/>
      <c r="E151" s="225">
        <f t="shared" si="90"/>
        <v>0</v>
      </c>
      <c r="F151" s="225">
        <f t="shared" si="90"/>
        <v>0</v>
      </c>
      <c r="G151" s="225">
        <f t="shared" si="90"/>
        <v>0</v>
      </c>
      <c r="H151" s="225">
        <f t="shared" si="90"/>
        <v>0</v>
      </c>
      <c r="I151" s="225">
        <f t="shared" si="90"/>
        <v>0</v>
      </c>
      <c r="J151" s="225">
        <f t="shared" si="90"/>
        <v>0</v>
      </c>
      <c r="K151" s="237"/>
      <c r="L151" s="237">
        <f t="shared" si="83"/>
        <v>0</v>
      </c>
      <c r="M151" s="237">
        <f t="shared" si="83"/>
        <v>0</v>
      </c>
      <c r="N151" s="237">
        <f t="shared" si="83"/>
        <v>0</v>
      </c>
      <c r="O151" s="237">
        <f t="shared" si="83"/>
        <v>0</v>
      </c>
      <c r="P151" s="237">
        <f t="shared" si="83"/>
        <v>0</v>
      </c>
      <c r="Q151" s="237">
        <f t="shared" si="83"/>
        <v>0</v>
      </c>
      <c r="R151" s="237">
        <f t="shared" si="83"/>
        <v>0</v>
      </c>
      <c r="S151" s="237">
        <f t="shared" si="83"/>
        <v>0</v>
      </c>
      <c r="T151" s="224"/>
      <c r="U151" s="224">
        <f t="shared" si="84"/>
        <v>0</v>
      </c>
      <c r="V151" s="224">
        <f t="shared" si="84"/>
        <v>0</v>
      </c>
      <c r="W151" s="224">
        <f t="shared" si="84"/>
        <v>0</v>
      </c>
      <c r="X151" s="226"/>
      <c r="Y151" s="226">
        <f t="shared" si="85"/>
        <v>0</v>
      </c>
      <c r="Z151" s="226">
        <f t="shared" si="85"/>
        <v>0</v>
      </c>
      <c r="AA151" s="224"/>
      <c r="AB151" s="224"/>
      <c r="AC151" s="224"/>
      <c r="AD151" s="224">
        <f t="shared" si="47"/>
        <v>0</v>
      </c>
      <c r="AE151" s="224"/>
      <c r="AF151" s="224"/>
      <c r="AG151" s="224">
        <f t="shared" si="48"/>
        <v>0</v>
      </c>
      <c r="AH151" s="226"/>
      <c r="AI151" s="226">
        <f t="shared" si="86"/>
        <v>0</v>
      </c>
      <c r="AJ151" s="226">
        <f t="shared" si="86"/>
        <v>0</v>
      </c>
      <c r="AK151" s="226">
        <f t="shared" si="86"/>
        <v>0</v>
      </c>
      <c r="AL151" s="226">
        <f t="shared" si="86"/>
        <v>0</v>
      </c>
      <c r="AM151" s="226">
        <f t="shared" si="86"/>
        <v>0</v>
      </c>
      <c r="AN151" s="235"/>
      <c r="AO151" s="235">
        <f t="shared" si="91"/>
        <v>0</v>
      </c>
      <c r="AP151" s="235">
        <f t="shared" si="91"/>
        <v>0</v>
      </c>
      <c r="AQ151" s="236">
        <f t="shared" si="91"/>
        <v>0</v>
      </c>
      <c r="AR151" s="236">
        <f t="shared" si="91"/>
        <v>0</v>
      </c>
      <c r="AS151" s="236">
        <f t="shared" si="91"/>
        <v>0</v>
      </c>
      <c r="AT151" s="236">
        <f t="shared" si="91"/>
        <v>0</v>
      </c>
      <c r="AU151" s="236">
        <f t="shared" si="91"/>
        <v>0</v>
      </c>
      <c r="AV151" s="236">
        <f t="shared" si="91"/>
        <v>0</v>
      </c>
      <c r="AW151" s="226"/>
      <c r="AX151" s="226">
        <f t="shared" si="88"/>
        <v>0</v>
      </c>
      <c r="AY151" s="226">
        <f t="shared" si="88"/>
        <v>0</v>
      </c>
      <c r="AZ151" s="226">
        <f t="shared" si="88"/>
        <v>0</v>
      </c>
      <c r="BA151" s="226">
        <f t="shared" si="88"/>
        <v>0</v>
      </c>
      <c r="BB151" s="226">
        <f t="shared" si="88"/>
        <v>0</v>
      </c>
      <c r="BC151" s="224"/>
      <c r="BD151" s="224">
        <f t="shared" si="88"/>
        <v>0</v>
      </c>
      <c r="BE151" s="224">
        <f t="shared" si="88"/>
        <v>0</v>
      </c>
      <c r="BF151" s="224">
        <f t="shared" si="88"/>
        <v>0</v>
      </c>
      <c r="BG151" s="224">
        <f t="shared" si="88"/>
        <v>0</v>
      </c>
      <c r="BH151" s="224">
        <f t="shared" si="88"/>
        <v>0</v>
      </c>
      <c r="BI151" s="224">
        <f t="shared" si="88"/>
        <v>0</v>
      </c>
      <c r="BJ151" s="224">
        <f t="shared" si="88"/>
        <v>0</v>
      </c>
      <c r="BK151" s="224">
        <f t="shared" si="88"/>
        <v>0</v>
      </c>
      <c r="BL151" s="224">
        <f t="shared" si="88"/>
        <v>0</v>
      </c>
      <c r="BM151" s="224">
        <f t="shared" si="88"/>
        <v>0</v>
      </c>
      <c r="BN151" s="224">
        <f t="shared" si="89"/>
        <v>0</v>
      </c>
      <c r="BO151" s="224">
        <f t="shared" si="89"/>
        <v>0</v>
      </c>
    </row>
    <row r="152" spans="1:67">
      <c r="A152" s="223">
        <v>1</v>
      </c>
      <c r="B152" s="151" t="s">
        <v>139</v>
      </c>
      <c r="C152" s="223">
        <v>150</v>
      </c>
      <c r="D152" s="224">
        <v>5272501.3700622162</v>
      </c>
      <c r="E152" s="225">
        <f t="shared" si="90"/>
        <v>5272501.3700622162</v>
      </c>
      <c r="F152" s="225">
        <f t="shared" si="90"/>
        <v>5272501.3700622162</v>
      </c>
      <c r="G152" s="225">
        <f t="shared" si="90"/>
        <v>5272501.3700622162</v>
      </c>
      <c r="H152" s="225">
        <f t="shared" si="90"/>
        <v>5272501.3700622162</v>
      </c>
      <c r="I152" s="225">
        <f t="shared" si="90"/>
        <v>5272501.3700622162</v>
      </c>
      <c r="J152" s="225">
        <f t="shared" si="90"/>
        <v>5272501.3700622162</v>
      </c>
      <c r="K152" s="237">
        <f>J152</f>
        <v>5272501.3700622162</v>
      </c>
      <c r="L152" s="237">
        <f t="shared" si="83"/>
        <v>5272501.3700622162</v>
      </c>
      <c r="M152" s="237">
        <f t="shared" si="83"/>
        <v>5272501.3700622162</v>
      </c>
      <c r="N152" s="237">
        <f t="shared" si="83"/>
        <v>5272501.3700622162</v>
      </c>
      <c r="O152" s="237">
        <f t="shared" si="83"/>
        <v>5272501.3700622162</v>
      </c>
      <c r="P152" s="237">
        <f t="shared" si="83"/>
        <v>5272501.3700622162</v>
      </c>
      <c r="Q152" s="237">
        <f t="shared" si="83"/>
        <v>5272501.3700622162</v>
      </c>
      <c r="R152" s="237">
        <f t="shared" si="83"/>
        <v>5272501.3700622162</v>
      </c>
      <c r="S152" s="237">
        <f t="shared" si="83"/>
        <v>5272501.3700622162</v>
      </c>
      <c r="T152" s="224">
        <v>5272501.3700622162</v>
      </c>
      <c r="U152" s="224">
        <f t="shared" si="84"/>
        <v>5272501.3700622162</v>
      </c>
      <c r="V152" s="224">
        <f t="shared" si="84"/>
        <v>5272501.3700622162</v>
      </c>
      <c r="W152" s="224">
        <f t="shared" si="84"/>
        <v>5272501.3700622162</v>
      </c>
      <c r="X152" s="226">
        <v>5272501.3700622162</v>
      </c>
      <c r="Y152" s="226">
        <f t="shared" si="85"/>
        <v>5272501.3700622162</v>
      </c>
      <c r="Z152" s="226">
        <f t="shared" si="85"/>
        <v>5272501.3700622162</v>
      </c>
      <c r="AA152" s="224">
        <v>5272501.3700622162</v>
      </c>
      <c r="AB152" s="224">
        <v>5272501.3700622162</v>
      </c>
      <c r="AC152" s="224">
        <v>5272501.3700622162</v>
      </c>
      <c r="AD152" s="224">
        <f t="shared" si="47"/>
        <v>5272501.3700622162</v>
      </c>
      <c r="AE152" s="224">
        <v>5272501.3700622162</v>
      </c>
      <c r="AF152" s="224">
        <v>5272501.3700622162</v>
      </c>
      <c r="AG152" s="224">
        <f t="shared" si="48"/>
        <v>5272501.3700622162</v>
      </c>
      <c r="AH152" s="226">
        <v>5301990.7702033548</v>
      </c>
      <c r="AI152" s="226">
        <f t="shared" si="86"/>
        <v>5301990.7702033548</v>
      </c>
      <c r="AJ152" s="226">
        <f t="shared" si="86"/>
        <v>5301990.7702033548</v>
      </c>
      <c r="AK152" s="226">
        <f t="shared" si="86"/>
        <v>5301990.7702033548</v>
      </c>
      <c r="AL152" s="226">
        <f t="shared" si="86"/>
        <v>5301990.7702033548</v>
      </c>
      <c r="AM152" s="226">
        <f t="shared" si="86"/>
        <v>5301990.7702033548</v>
      </c>
      <c r="AN152" s="235">
        <v>5301990.7702033548</v>
      </c>
      <c r="AO152" s="235">
        <f t="shared" si="91"/>
        <v>5301990.7702033548</v>
      </c>
      <c r="AP152" s="235">
        <f t="shared" si="91"/>
        <v>5301990.7702033548</v>
      </c>
      <c r="AQ152" s="236">
        <f t="shared" si="91"/>
        <v>5301990.7702033548</v>
      </c>
      <c r="AR152" s="236">
        <f t="shared" si="91"/>
        <v>5301990.7702033548</v>
      </c>
      <c r="AS152" s="236">
        <f t="shared" si="91"/>
        <v>5301990.7702033548</v>
      </c>
      <c r="AT152" s="236">
        <f t="shared" si="91"/>
        <v>5301990.7702033548</v>
      </c>
      <c r="AU152" s="236">
        <f t="shared" si="91"/>
        <v>5301990.7702033548</v>
      </c>
      <c r="AV152" s="236">
        <f t="shared" si="91"/>
        <v>5301990.7702033548</v>
      </c>
      <c r="AW152" s="226">
        <v>5284703.880465446</v>
      </c>
      <c r="AX152" s="226">
        <f t="shared" si="88"/>
        <v>5284703.880465446</v>
      </c>
      <c r="AY152" s="226">
        <f t="shared" si="88"/>
        <v>5284703.880465446</v>
      </c>
      <c r="AZ152" s="226">
        <f t="shared" si="88"/>
        <v>5284703.880465446</v>
      </c>
      <c r="BA152" s="226">
        <f t="shared" si="88"/>
        <v>5284703.880465446</v>
      </c>
      <c r="BB152" s="226">
        <f t="shared" si="88"/>
        <v>5284703.880465446</v>
      </c>
      <c r="BC152" s="224">
        <v>5272501.3700622162</v>
      </c>
      <c r="BD152" s="224">
        <f t="shared" si="88"/>
        <v>5272501.3700622162</v>
      </c>
      <c r="BE152" s="224">
        <f t="shared" si="88"/>
        <v>5272501.3700622162</v>
      </c>
      <c r="BF152" s="224">
        <f t="shared" si="88"/>
        <v>5272501.3700622162</v>
      </c>
      <c r="BG152" s="224">
        <f t="shared" si="88"/>
        <v>5272501.3700622162</v>
      </c>
      <c r="BH152" s="224">
        <f t="shared" si="88"/>
        <v>5272501.3700622162</v>
      </c>
      <c r="BI152" s="224">
        <f t="shared" si="88"/>
        <v>5272501.3700622162</v>
      </c>
      <c r="BJ152" s="224">
        <f t="shared" si="88"/>
        <v>5272501.3700622162</v>
      </c>
      <c r="BK152" s="224">
        <f t="shared" si="88"/>
        <v>5272501.3700622162</v>
      </c>
      <c r="BL152" s="224">
        <f t="shared" si="88"/>
        <v>5272501.3700622162</v>
      </c>
      <c r="BM152" s="224">
        <f t="shared" si="88"/>
        <v>5272501.3700622162</v>
      </c>
      <c r="BN152" s="224">
        <f t="shared" si="89"/>
        <v>5272501.3700622162</v>
      </c>
      <c r="BO152" s="224">
        <f t="shared" si="89"/>
        <v>5272501.3700622162</v>
      </c>
    </row>
    <row r="153" spans="1:67" ht="17.25" customHeight="1">
      <c r="A153" s="223">
        <f>+A152+1</f>
        <v>2</v>
      </c>
      <c r="B153" s="151" t="s">
        <v>140</v>
      </c>
      <c r="C153" s="223">
        <v>151</v>
      </c>
      <c r="D153" s="224">
        <v>5272501.3700622162</v>
      </c>
      <c r="E153" s="225">
        <f t="shared" si="90"/>
        <v>5272501.3700622162</v>
      </c>
      <c r="F153" s="225">
        <f t="shared" si="90"/>
        <v>5272501.3700622162</v>
      </c>
      <c r="G153" s="225">
        <f t="shared" si="90"/>
        <v>5272501.3700622162</v>
      </c>
      <c r="H153" s="225">
        <f t="shared" si="90"/>
        <v>5272501.3700622162</v>
      </c>
      <c r="I153" s="225">
        <f t="shared" si="90"/>
        <v>5272501.3700622162</v>
      </c>
      <c r="J153" s="225">
        <f t="shared" si="90"/>
        <v>5272501.3700622162</v>
      </c>
      <c r="K153" s="237">
        <f>J153</f>
        <v>5272501.3700622162</v>
      </c>
      <c r="L153" s="237">
        <f t="shared" si="83"/>
        <v>5272501.3700622162</v>
      </c>
      <c r="M153" s="237">
        <f t="shared" si="83"/>
        <v>5272501.3700622162</v>
      </c>
      <c r="N153" s="237">
        <f t="shared" si="83"/>
        <v>5272501.3700622162</v>
      </c>
      <c r="O153" s="237">
        <f t="shared" si="83"/>
        <v>5272501.3700622162</v>
      </c>
      <c r="P153" s="237">
        <f t="shared" si="83"/>
        <v>5272501.3700622162</v>
      </c>
      <c r="Q153" s="237">
        <f t="shared" si="83"/>
        <v>5272501.3700622162</v>
      </c>
      <c r="R153" s="237">
        <f t="shared" si="83"/>
        <v>5272501.3700622162</v>
      </c>
      <c r="S153" s="237">
        <f t="shared" si="83"/>
        <v>5272501.3700622162</v>
      </c>
      <c r="T153" s="224">
        <v>5272501.3700622162</v>
      </c>
      <c r="U153" s="224">
        <f t="shared" si="84"/>
        <v>5272501.3700622162</v>
      </c>
      <c r="V153" s="224">
        <f t="shared" si="84"/>
        <v>5272501.3700622162</v>
      </c>
      <c r="W153" s="224">
        <f t="shared" si="84"/>
        <v>5272501.3700622162</v>
      </c>
      <c r="X153" s="226">
        <v>5272501.3700622162</v>
      </c>
      <c r="Y153" s="226">
        <f t="shared" si="85"/>
        <v>5272501.3700622162</v>
      </c>
      <c r="Z153" s="226">
        <f t="shared" si="85"/>
        <v>5272501.3700622162</v>
      </c>
      <c r="AA153" s="224">
        <v>5272501.3700622162</v>
      </c>
      <c r="AB153" s="224">
        <v>5272501.3700622162</v>
      </c>
      <c r="AC153" s="224">
        <v>5272501.3700622162</v>
      </c>
      <c r="AD153" s="224">
        <f t="shared" ref="AD153:AD196" si="92">AC153</f>
        <v>5272501.3700622162</v>
      </c>
      <c r="AE153" s="224">
        <v>5272501.3700622162</v>
      </c>
      <c r="AF153" s="224">
        <v>5272501.3700622162</v>
      </c>
      <c r="AG153" s="224">
        <f t="shared" ref="AG153:AG196" si="93">AF153</f>
        <v>5272501.3700622162</v>
      </c>
      <c r="AH153" s="226">
        <v>5301990.7702033548</v>
      </c>
      <c r="AI153" s="226">
        <f t="shared" si="86"/>
        <v>5301990.7702033548</v>
      </c>
      <c r="AJ153" s="226">
        <f t="shared" si="86"/>
        <v>5301990.7702033548</v>
      </c>
      <c r="AK153" s="226">
        <f t="shared" si="86"/>
        <v>5301990.7702033548</v>
      </c>
      <c r="AL153" s="226">
        <f t="shared" si="86"/>
        <v>5301990.7702033548</v>
      </c>
      <c r="AM153" s="226">
        <f t="shared" si="86"/>
        <v>5301990.7702033548</v>
      </c>
      <c r="AN153" s="235">
        <v>5301990.7702033548</v>
      </c>
      <c r="AO153" s="235">
        <f t="shared" si="91"/>
        <v>5301990.7702033548</v>
      </c>
      <c r="AP153" s="235">
        <f t="shared" si="91"/>
        <v>5301990.7702033548</v>
      </c>
      <c r="AQ153" s="236">
        <f t="shared" si="91"/>
        <v>5301990.7702033548</v>
      </c>
      <c r="AR153" s="236">
        <f t="shared" si="91"/>
        <v>5301990.7702033548</v>
      </c>
      <c r="AS153" s="236">
        <f t="shared" si="91"/>
        <v>5301990.7702033548</v>
      </c>
      <c r="AT153" s="236">
        <f t="shared" si="91"/>
        <v>5301990.7702033548</v>
      </c>
      <c r="AU153" s="236">
        <f t="shared" si="91"/>
        <v>5301990.7702033548</v>
      </c>
      <c r="AV153" s="236">
        <f t="shared" si="91"/>
        <v>5301990.7702033548</v>
      </c>
      <c r="AW153" s="226">
        <v>5284703.880465446</v>
      </c>
      <c r="AX153" s="226">
        <f t="shared" si="88"/>
        <v>5284703.880465446</v>
      </c>
      <c r="AY153" s="226">
        <f t="shared" si="88"/>
        <v>5284703.880465446</v>
      </c>
      <c r="AZ153" s="226">
        <f t="shared" si="88"/>
        <v>5284703.880465446</v>
      </c>
      <c r="BA153" s="226">
        <f t="shared" si="88"/>
        <v>5284703.880465446</v>
      </c>
      <c r="BB153" s="226">
        <f t="shared" si="88"/>
        <v>5284703.880465446</v>
      </c>
      <c r="BC153" s="224">
        <v>5272501.3700622162</v>
      </c>
      <c r="BD153" s="224">
        <f t="shared" si="88"/>
        <v>5272501.3700622162</v>
      </c>
      <c r="BE153" s="224">
        <f t="shared" si="88"/>
        <v>5272501.3700622162</v>
      </c>
      <c r="BF153" s="224">
        <f t="shared" si="88"/>
        <v>5272501.3700622162</v>
      </c>
      <c r="BG153" s="224">
        <f t="shared" si="88"/>
        <v>5272501.3700622162</v>
      </c>
      <c r="BH153" s="224">
        <f t="shared" si="88"/>
        <v>5272501.3700622162</v>
      </c>
      <c r="BI153" s="224">
        <f t="shared" si="88"/>
        <v>5272501.3700622162</v>
      </c>
      <c r="BJ153" s="224">
        <f t="shared" si="88"/>
        <v>5272501.3700622162</v>
      </c>
      <c r="BK153" s="224">
        <f t="shared" si="88"/>
        <v>5272501.3700622162</v>
      </c>
      <c r="BL153" s="224">
        <f t="shared" si="88"/>
        <v>5272501.3700622162</v>
      </c>
      <c r="BM153" s="224">
        <f t="shared" si="88"/>
        <v>5272501.3700622162</v>
      </c>
      <c r="BN153" s="224">
        <f t="shared" si="89"/>
        <v>5272501.3700622162</v>
      </c>
      <c r="BO153" s="224">
        <f t="shared" si="89"/>
        <v>5272501.3700622162</v>
      </c>
    </row>
    <row r="154" spans="1:67" ht="17.25" customHeight="1">
      <c r="A154" s="223">
        <v>3</v>
      </c>
      <c r="B154" s="151" t="s">
        <v>1449</v>
      </c>
      <c r="C154" s="223">
        <v>152</v>
      </c>
      <c r="D154" s="224">
        <v>2585705</v>
      </c>
      <c r="E154" s="225">
        <v>2585705</v>
      </c>
      <c r="F154" s="225">
        <v>2585705</v>
      </c>
      <c r="G154" s="225">
        <v>2585705</v>
      </c>
      <c r="H154" s="225">
        <v>2585705</v>
      </c>
      <c r="I154" s="225">
        <v>2585705</v>
      </c>
      <c r="J154" s="225">
        <v>2585705</v>
      </c>
      <c r="K154" s="237">
        <v>2585705</v>
      </c>
      <c r="L154" s="237">
        <v>2585705</v>
      </c>
      <c r="M154" s="237">
        <v>2585705</v>
      </c>
      <c r="N154" s="237">
        <v>2585705</v>
      </c>
      <c r="O154" s="237">
        <v>2585705</v>
      </c>
      <c r="P154" s="237">
        <v>2585705</v>
      </c>
      <c r="Q154" s="237">
        <v>2585705</v>
      </c>
      <c r="R154" s="237">
        <v>2585705</v>
      </c>
      <c r="S154" s="237">
        <v>2585705</v>
      </c>
      <c r="T154" s="224">
        <v>2585705</v>
      </c>
      <c r="U154" s="224">
        <v>2585705</v>
      </c>
      <c r="V154" s="224">
        <v>2585705</v>
      </c>
      <c r="W154" s="224">
        <v>2585705</v>
      </c>
      <c r="X154" s="226">
        <v>2585705</v>
      </c>
      <c r="Y154" s="226">
        <v>2585705</v>
      </c>
      <c r="Z154" s="226">
        <v>2585705</v>
      </c>
      <c r="AA154" s="224">
        <v>2585705</v>
      </c>
      <c r="AB154" s="224">
        <v>2585705</v>
      </c>
      <c r="AC154" s="224">
        <v>2585705</v>
      </c>
      <c r="AD154" s="224">
        <v>2585705</v>
      </c>
      <c r="AE154" s="224">
        <v>2585705</v>
      </c>
      <c r="AF154" s="224">
        <v>2585705</v>
      </c>
      <c r="AG154" s="224">
        <v>2585705</v>
      </c>
      <c r="AH154" s="226">
        <v>2585705</v>
      </c>
      <c r="AI154" s="226">
        <v>2585705</v>
      </c>
      <c r="AJ154" s="226">
        <v>2585705</v>
      </c>
      <c r="AK154" s="226">
        <v>2585705</v>
      </c>
      <c r="AL154" s="226">
        <v>2585705</v>
      </c>
      <c r="AM154" s="226">
        <v>2585705</v>
      </c>
      <c r="AN154" s="235">
        <v>2585705</v>
      </c>
      <c r="AO154" s="235">
        <v>2585705</v>
      </c>
      <c r="AP154" s="235">
        <v>2585705</v>
      </c>
      <c r="AQ154" s="236">
        <v>2585705</v>
      </c>
      <c r="AR154" s="236">
        <v>2585705</v>
      </c>
      <c r="AS154" s="236">
        <v>2585705</v>
      </c>
      <c r="AT154" s="236">
        <v>2585705</v>
      </c>
      <c r="AU154" s="236">
        <v>2585705</v>
      </c>
      <c r="AV154" s="236">
        <v>2585705</v>
      </c>
      <c r="AW154" s="226">
        <v>2585705</v>
      </c>
      <c r="AX154" s="226">
        <v>2585705</v>
      </c>
      <c r="AY154" s="226">
        <v>2585705</v>
      </c>
      <c r="AZ154" s="226">
        <v>2585705</v>
      </c>
      <c r="BA154" s="226">
        <v>2585705</v>
      </c>
      <c r="BB154" s="226">
        <v>2585705</v>
      </c>
      <c r="BC154" s="224">
        <v>2585705</v>
      </c>
      <c r="BD154" s="224">
        <v>2585705</v>
      </c>
      <c r="BE154" s="224">
        <v>2585705</v>
      </c>
      <c r="BF154" s="224">
        <v>2585705</v>
      </c>
      <c r="BG154" s="224">
        <v>2585705</v>
      </c>
      <c r="BH154" s="224">
        <v>2585705</v>
      </c>
      <c r="BI154" s="224">
        <v>2585705</v>
      </c>
      <c r="BJ154" s="224">
        <v>2585705</v>
      </c>
      <c r="BK154" s="224">
        <v>2585705</v>
      </c>
      <c r="BL154" s="224">
        <v>2585705</v>
      </c>
      <c r="BM154" s="224">
        <v>2585705</v>
      </c>
      <c r="BN154" s="224">
        <v>2585705</v>
      </c>
      <c r="BO154" s="224">
        <v>2585705</v>
      </c>
    </row>
    <row r="155" spans="1:67" ht="17.25" customHeight="1">
      <c r="A155" s="223">
        <v>4</v>
      </c>
      <c r="B155" s="255" t="s">
        <v>1457</v>
      </c>
      <c r="C155" s="223">
        <v>153</v>
      </c>
      <c r="D155" s="224">
        <v>3878557.5</v>
      </c>
      <c r="E155" s="225">
        <v>3878557.5</v>
      </c>
      <c r="F155" s="225">
        <v>3878557.5</v>
      </c>
      <c r="G155" s="225">
        <v>3878557.5</v>
      </c>
      <c r="H155" s="225">
        <v>3878557.5</v>
      </c>
      <c r="I155" s="225">
        <v>3878557.5</v>
      </c>
      <c r="J155" s="225">
        <v>3878557.5</v>
      </c>
      <c r="K155" s="237">
        <v>3878557.5</v>
      </c>
      <c r="L155" s="237">
        <v>3878557.5</v>
      </c>
      <c r="M155" s="237">
        <v>3878557.5</v>
      </c>
      <c r="N155" s="237">
        <v>3878557.5</v>
      </c>
      <c r="O155" s="237">
        <v>3878557.5</v>
      </c>
      <c r="P155" s="237">
        <v>3878557.5</v>
      </c>
      <c r="Q155" s="237">
        <v>3878557.5</v>
      </c>
      <c r="R155" s="237">
        <v>3878557.5</v>
      </c>
      <c r="S155" s="237">
        <v>3878557.5</v>
      </c>
      <c r="T155" s="224">
        <v>3878557.5</v>
      </c>
      <c r="U155" s="224">
        <v>3878557.5</v>
      </c>
      <c r="V155" s="224">
        <v>3878557.5</v>
      </c>
      <c r="W155" s="224">
        <v>3878557.5</v>
      </c>
      <c r="X155" s="226">
        <v>3878557.5</v>
      </c>
      <c r="Y155" s="226">
        <v>3878557.5</v>
      </c>
      <c r="Z155" s="226">
        <v>3878557.5</v>
      </c>
      <c r="AA155" s="224">
        <v>3878557.5</v>
      </c>
      <c r="AB155" s="224">
        <v>3878557.5</v>
      </c>
      <c r="AC155" s="224">
        <v>3878557.5</v>
      </c>
      <c r="AD155" s="224">
        <v>3878557.5</v>
      </c>
      <c r="AE155" s="224">
        <v>3878557.5</v>
      </c>
      <c r="AF155" s="224">
        <v>3878557.5</v>
      </c>
      <c r="AG155" s="224">
        <v>3878557.5</v>
      </c>
      <c r="AH155" s="226">
        <v>3878557.5</v>
      </c>
      <c r="AI155" s="226">
        <v>3878557.5</v>
      </c>
      <c r="AJ155" s="226">
        <v>3878557.5</v>
      </c>
      <c r="AK155" s="226">
        <v>3878557.5</v>
      </c>
      <c r="AL155" s="226">
        <v>3878557.5</v>
      </c>
      <c r="AM155" s="226">
        <v>3878557.5</v>
      </c>
      <c r="AN155" s="235">
        <v>3878557.5</v>
      </c>
      <c r="AO155" s="235">
        <v>3878557.5</v>
      </c>
      <c r="AP155" s="235">
        <v>3878557.5</v>
      </c>
      <c r="AQ155" s="236">
        <v>3878557.5</v>
      </c>
      <c r="AR155" s="236">
        <v>3878557.5</v>
      </c>
      <c r="AS155" s="236">
        <v>3878557.5</v>
      </c>
      <c r="AT155" s="236">
        <v>3878557.5</v>
      </c>
      <c r="AU155" s="236">
        <v>3878557.5</v>
      </c>
      <c r="AV155" s="236">
        <v>3878557.5</v>
      </c>
      <c r="AW155" s="226">
        <v>3878557.5</v>
      </c>
      <c r="AX155" s="226">
        <v>3878557.5</v>
      </c>
      <c r="AY155" s="226">
        <v>3878557.5</v>
      </c>
      <c r="AZ155" s="226">
        <v>3878557.5</v>
      </c>
      <c r="BA155" s="226">
        <v>3878557.5</v>
      </c>
      <c r="BB155" s="226">
        <v>3878557.5</v>
      </c>
      <c r="BC155" s="224">
        <v>3878557.5</v>
      </c>
      <c r="BD155" s="224">
        <v>3878557.5</v>
      </c>
      <c r="BE155" s="224">
        <v>3878557.5</v>
      </c>
      <c r="BF155" s="224">
        <v>3878557.5</v>
      </c>
      <c r="BG155" s="224">
        <v>3878557.5</v>
      </c>
      <c r="BH155" s="224">
        <v>3878557.5</v>
      </c>
      <c r="BI155" s="224">
        <v>3878557.5</v>
      </c>
      <c r="BJ155" s="224">
        <v>3878557.5</v>
      </c>
      <c r="BK155" s="224">
        <v>3878557.5</v>
      </c>
      <c r="BL155" s="224">
        <v>3878557.5</v>
      </c>
      <c r="BM155" s="224">
        <v>3878557.5</v>
      </c>
      <c r="BN155" s="224">
        <v>3878557.5</v>
      </c>
      <c r="BO155" s="224">
        <v>3878557.5</v>
      </c>
    </row>
    <row r="156" spans="1:67">
      <c r="A156" s="223">
        <v>1</v>
      </c>
      <c r="B156" s="151" t="s">
        <v>1562</v>
      </c>
      <c r="C156" s="223">
        <v>154</v>
      </c>
      <c r="D156" s="224">
        <v>11759738</v>
      </c>
      <c r="E156" s="225">
        <v>11759738</v>
      </c>
      <c r="F156" s="225">
        <v>11759738</v>
      </c>
      <c r="G156" s="225">
        <v>11759738</v>
      </c>
      <c r="H156" s="225">
        <v>11759738</v>
      </c>
      <c r="I156" s="225">
        <v>11759738</v>
      </c>
      <c r="J156" s="225">
        <v>11759738</v>
      </c>
      <c r="K156" s="237">
        <v>11759738</v>
      </c>
      <c r="L156" s="237">
        <v>11759738</v>
      </c>
      <c r="M156" s="237">
        <v>11759738</v>
      </c>
      <c r="N156" s="237">
        <v>11759738</v>
      </c>
      <c r="O156" s="237">
        <v>11759738</v>
      </c>
      <c r="P156" s="237">
        <v>11759738</v>
      </c>
      <c r="Q156" s="237">
        <v>11759738</v>
      </c>
      <c r="R156" s="237">
        <v>11759738</v>
      </c>
      <c r="S156" s="237">
        <v>11759738</v>
      </c>
      <c r="T156" s="224">
        <v>11759738</v>
      </c>
      <c r="U156" s="224">
        <v>11759738</v>
      </c>
      <c r="V156" s="224">
        <v>11759738</v>
      </c>
      <c r="W156" s="224">
        <v>11759738</v>
      </c>
      <c r="X156" s="226">
        <v>11759738</v>
      </c>
      <c r="Y156" s="226">
        <v>11759738</v>
      </c>
      <c r="Z156" s="226">
        <v>11759738</v>
      </c>
      <c r="AA156" s="224">
        <v>11759738</v>
      </c>
      <c r="AB156" s="224">
        <v>11759738</v>
      </c>
      <c r="AC156" s="224">
        <v>11759738</v>
      </c>
      <c r="AD156" s="224">
        <v>11759738</v>
      </c>
      <c r="AE156" s="224">
        <v>11759738</v>
      </c>
      <c r="AF156" s="224">
        <v>11759738</v>
      </c>
      <c r="AG156" s="224">
        <v>11759738</v>
      </c>
      <c r="AH156" s="226">
        <v>11759738</v>
      </c>
      <c r="AI156" s="226">
        <v>11759738</v>
      </c>
      <c r="AJ156" s="226">
        <v>11759738</v>
      </c>
      <c r="AK156" s="226">
        <v>11759738</v>
      </c>
      <c r="AL156" s="226">
        <v>11759738</v>
      </c>
      <c r="AM156" s="226">
        <v>11759738</v>
      </c>
      <c r="AN156" s="235">
        <v>11759738</v>
      </c>
      <c r="AO156" s="235">
        <v>11759738</v>
      </c>
      <c r="AP156" s="235">
        <v>11759738</v>
      </c>
      <c r="AQ156" s="236">
        <v>11759738</v>
      </c>
      <c r="AR156" s="236">
        <v>11759738</v>
      </c>
      <c r="AS156" s="236">
        <v>11759738</v>
      </c>
      <c r="AT156" s="236">
        <v>11759738</v>
      </c>
      <c r="AU156" s="236">
        <v>11759738</v>
      </c>
      <c r="AV156" s="236">
        <v>11759738</v>
      </c>
      <c r="AW156" s="226">
        <v>11759738</v>
      </c>
      <c r="AX156" s="226">
        <v>11759738</v>
      </c>
      <c r="AY156" s="226">
        <v>11759738</v>
      </c>
      <c r="AZ156" s="226">
        <v>11759738</v>
      </c>
      <c r="BA156" s="226">
        <v>11759738</v>
      </c>
      <c r="BB156" s="226">
        <v>11759738</v>
      </c>
      <c r="BC156" s="224">
        <v>11759738</v>
      </c>
      <c r="BD156" s="224">
        <v>11759738</v>
      </c>
      <c r="BE156" s="224">
        <v>11759738</v>
      </c>
      <c r="BF156" s="224">
        <v>11759738</v>
      </c>
      <c r="BG156" s="224">
        <v>11759738</v>
      </c>
      <c r="BH156" s="224">
        <v>11759738</v>
      </c>
      <c r="BI156" s="224">
        <v>11759738</v>
      </c>
      <c r="BJ156" s="224">
        <v>11759738</v>
      </c>
      <c r="BK156" s="224">
        <v>11759738</v>
      </c>
      <c r="BL156" s="224">
        <v>11759738</v>
      </c>
      <c r="BM156" s="224">
        <v>11759738</v>
      </c>
      <c r="BN156" s="224">
        <v>11759738</v>
      </c>
      <c r="BO156" s="224">
        <v>11759738</v>
      </c>
    </row>
    <row r="157" spans="1:67">
      <c r="A157" s="223">
        <v>1</v>
      </c>
      <c r="B157" s="151" t="s">
        <v>1563</v>
      </c>
      <c r="C157" s="223">
        <v>155</v>
      </c>
      <c r="D157" s="224">
        <v>11872233</v>
      </c>
      <c r="E157" s="225">
        <v>11872233</v>
      </c>
      <c r="F157" s="225">
        <v>11872233</v>
      </c>
      <c r="G157" s="225">
        <v>11872233</v>
      </c>
      <c r="H157" s="225">
        <v>11872233</v>
      </c>
      <c r="I157" s="225">
        <v>11872233</v>
      </c>
      <c r="J157" s="225">
        <v>11872233</v>
      </c>
      <c r="K157" s="237">
        <v>11872233</v>
      </c>
      <c r="L157" s="237">
        <v>11872233</v>
      </c>
      <c r="M157" s="237">
        <v>11872233</v>
      </c>
      <c r="N157" s="237">
        <v>11872233</v>
      </c>
      <c r="O157" s="237">
        <v>11872233</v>
      </c>
      <c r="P157" s="237">
        <v>11872233</v>
      </c>
      <c r="Q157" s="237">
        <v>11872233</v>
      </c>
      <c r="R157" s="237">
        <v>11872233</v>
      </c>
      <c r="S157" s="237">
        <v>11872233</v>
      </c>
      <c r="T157" s="224">
        <v>11872233</v>
      </c>
      <c r="U157" s="224">
        <v>11872233</v>
      </c>
      <c r="V157" s="224">
        <v>11872233</v>
      </c>
      <c r="W157" s="224">
        <v>11872233</v>
      </c>
      <c r="X157" s="226">
        <v>11872233</v>
      </c>
      <c r="Y157" s="226">
        <v>11872233</v>
      </c>
      <c r="Z157" s="226">
        <v>11872233</v>
      </c>
      <c r="AA157" s="224">
        <v>11872233</v>
      </c>
      <c r="AB157" s="224">
        <v>11872233</v>
      </c>
      <c r="AC157" s="224">
        <v>11872233</v>
      </c>
      <c r="AD157" s="224">
        <v>11872233</v>
      </c>
      <c r="AE157" s="224">
        <v>11872233</v>
      </c>
      <c r="AF157" s="224">
        <v>11872233</v>
      </c>
      <c r="AG157" s="224">
        <v>11872233</v>
      </c>
      <c r="AH157" s="226">
        <v>11872233</v>
      </c>
      <c r="AI157" s="226">
        <v>11872233</v>
      </c>
      <c r="AJ157" s="226">
        <v>11872233</v>
      </c>
      <c r="AK157" s="226">
        <v>11872233</v>
      </c>
      <c r="AL157" s="226">
        <v>11872233</v>
      </c>
      <c r="AM157" s="226">
        <v>11872233</v>
      </c>
      <c r="AN157" s="235">
        <v>11872233</v>
      </c>
      <c r="AO157" s="235">
        <v>11872233</v>
      </c>
      <c r="AP157" s="235">
        <v>11872233</v>
      </c>
      <c r="AQ157" s="236">
        <v>11872233</v>
      </c>
      <c r="AR157" s="236">
        <v>11872233</v>
      </c>
      <c r="AS157" s="236">
        <v>11872233</v>
      </c>
      <c r="AT157" s="236">
        <v>11872233</v>
      </c>
      <c r="AU157" s="236">
        <v>11872233</v>
      </c>
      <c r="AV157" s="236">
        <v>11872233</v>
      </c>
      <c r="AW157" s="226">
        <v>11872233</v>
      </c>
      <c r="AX157" s="226">
        <v>11872233</v>
      </c>
      <c r="AY157" s="226">
        <v>11872233</v>
      </c>
      <c r="AZ157" s="226">
        <v>11872233</v>
      </c>
      <c r="BA157" s="226">
        <v>11872233</v>
      </c>
      <c r="BB157" s="226">
        <v>11872233</v>
      </c>
      <c r="BC157" s="224">
        <v>11872233</v>
      </c>
      <c r="BD157" s="224">
        <v>11872233</v>
      </c>
      <c r="BE157" s="224">
        <v>11872233</v>
      </c>
      <c r="BF157" s="224">
        <v>11872233</v>
      </c>
      <c r="BG157" s="224">
        <v>11872233</v>
      </c>
      <c r="BH157" s="224">
        <v>11872233</v>
      </c>
      <c r="BI157" s="224">
        <v>11872233</v>
      </c>
      <c r="BJ157" s="224">
        <v>11872233</v>
      </c>
      <c r="BK157" s="224">
        <v>11872233</v>
      </c>
      <c r="BL157" s="224">
        <v>11872233</v>
      </c>
      <c r="BM157" s="224">
        <v>11872233</v>
      </c>
      <c r="BN157" s="224">
        <v>11872233</v>
      </c>
      <c r="BO157" s="224">
        <v>11872233</v>
      </c>
    </row>
    <row r="158" spans="1:67">
      <c r="A158" s="223">
        <v>1</v>
      </c>
      <c r="B158" s="151" t="s">
        <v>1564</v>
      </c>
      <c r="C158" s="223">
        <v>156</v>
      </c>
      <c r="D158" s="224">
        <v>11872233</v>
      </c>
      <c r="E158" s="225">
        <v>11872233</v>
      </c>
      <c r="F158" s="225">
        <v>11872233</v>
      </c>
      <c r="G158" s="225">
        <v>11872233</v>
      </c>
      <c r="H158" s="225">
        <v>11872233</v>
      </c>
      <c r="I158" s="225">
        <v>11872233</v>
      </c>
      <c r="J158" s="225">
        <v>11872233</v>
      </c>
      <c r="K158" s="237">
        <v>11872233</v>
      </c>
      <c r="L158" s="237">
        <v>11872233</v>
      </c>
      <c r="M158" s="237">
        <v>11872233</v>
      </c>
      <c r="N158" s="237">
        <v>11872233</v>
      </c>
      <c r="O158" s="237">
        <v>11872233</v>
      </c>
      <c r="P158" s="237">
        <v>11872233</v>
      </c>
      <c r="Q158" s="237">
        <v>11872233</v>
      </c>
      <c r="R158" s="237">
        <v>11872233</v>
      </c>
      <c r="S158" s="237">
        <v>11872233</v>
      </c>
      <c r="T158" s="224">
        <v>11872233</v>
      </c>
      <c r="U158" s="224">
        <v>11872233</v>
      </c>
      <c r="V158" s="224">
        <v>11872233</v>
      </c>
      <c r="W158" s="224">
        <v>11872233</v>
      </c>
      <c r="X158" s="226">
        <v>11872233</v>
      </c>
      <c r="Y158" s="226">
        <v>11872233</v>
      </c>
      <c r="Z158" s="226">
        <v>11872233</v>
      </c>
      <c r="AA158" s="224">
        <v>11872233</v>
      </c>
      <c r="AB158" s="224">
        <v>11872233</v>
      </c>
      <c r="AC158" s="224">
        <v>11872233</v>
      </c>
      <c r="AD158" s="224">
        <v>11872233</v>
      </c>
      <c r="AE158" s="224">
        <v>11872233</v>
      </c>
      <c r="AF158" s="224">
        <v>11872233</v>
      </c>
      <c r="AG158" s="224">
        <v>11872233</v>
      </c>
      <c r="AH158" s="226">
        <v>11872233</v>
      </c>
      <c r="AI158" s="226">
        <v>11872233</v>
      </c>
      <c r="AJ158" s="226">
        <v>11872233</v>
      </c>
      <c r="AK158" s="226">
        <v>11872233</v>
      </c>
      <c r="AL158" s="226">
        <v>11872233</v>
      </c>
      <c r="AM158" s="226">
        <v>11872233</v>
      </c>
      <c r="AN158" s="235">
        <v>11872233</v>
      </c>
      <c r="AO158" s="235">
        <v>11872233</v>
      </c>
      <c r="AP158" s="235">
        <v>11872233</v>
      </c>
      <c r="AQ158" s="236">
        <v>11872233</v>
      </c>
      <c r="AR158" s="236">
        <v>11872233</v>
      </c>
      <c r="AS158" s="236">
        <v>11872233</v>
      </c>
      <c r="AT158" s="236">
        <v>11872233</v>
      </c>
      <c r="AU158" s="236">
        <v>11872233</v>
      </c>
      <c r="AV158" s="236">
        <v>11872233</v>
      </c>
      <c r="AW158" s="226">
        <v>11872233</v>
      </c>
      <c r="AX158" s="226">
        <v>11872233</v>
      </c>
      <c r="AY158" s="226">
        <v>11872233</v>
      </c>
      <c r="AZ158" s="226">
        <v>11872233</v>
      </c>
      <c r="BA158" s="226">
        <v>11872233</v>
      </c>
      <c r="BB158" s="226">
        <v>11872233</v>
      </c>
      <c r="BC158" s="224">
        <v>11872233</v>
      </c>
      <c r="BD158" s="224">
        <v>11872233</v>
      </c>
      <c r="BE158" s="224">
        <v>11872233</v>
      </c>
      <c r="BF158" s="224">
        <v>11872233</v>
      </c>
      <c r="BG158" s="224">
        <v>11872233</v>
      </c>
      <c r="BH158" s="224">
        <v>11872233</v>
      </c>
      <c r="BI158" s="224">
        <v>11872233</v>
      </c>
      <c r="BJ158" s="224">
        <v>11872233</v>
      </c>
      <c r="BK158" s="224">
        <v>11872233</v>
      </c>
      <c r="BL158" s="224">
        <v>11872233</v>
      </c>
      <c r="BM158" s="224">
        <v>11872233</v>
      </c>
      <c r="BN158" s="224">
        <v>11872233</v>
      </c>
      <c r="BO158" s="224">
        <v>11872233</v>
      </c>
    </row>
    <row r="159" spans="1:67">
      <c r="A159" s="229" t="s">
        <v>29</v>
      </c>
      <c r="B159" s="230" t="s">
        <v>27</v>
      </c>
      <c r="C159" s="223">
        <v>157</v>
      </c>
      <c r="D159" s="224"/>
      <c r="E159" s="225">
        <f t="shared" ref="E159:J163" si="94">D159</f>
        <v>0</v>
      </c>
      <c r="F159" s="225">
        <f t="shared" si="94"/>
        <v>0</v>
      </c>
      <c r="G159" s="225">
        <f t="shared" si="94"/>
        <v>0</v>
      </c>
      <c r="H159" s="225">
        <f t="shared" si="94"/>
        <v>0</v>
      </c>
      <c r="I159" s="225">
        <f t="shared" si="94"/>
        <v>0</v>
      </c>
      <c r="J159" s="225">
        <f t="shared" si="94"/>
        <v>0</v>
      </c>
      <c r="K159" s="237"/>
      <c r="L159" s="237">
        <f t="shared" si="83"/>
        <v>0</v>
      </c>
      <c r="M159" s="237">
        <f t="shared" si="83"/>
        <v>0</v>
      </c>
      <c r="N159" s="237">
        <f t="shared" si="83"/>
        <v>0</v>
      </c>
      <c r="O159" s="237">
        <f t="shared" si="83"/>
        <v>0</v>
      </c>
      <c r="P159" s="237">
        <f t="shared" si="83"/>
        <v>0</v>
      </c>
      <c r="Q159" s="237">
        <f t="shared" si="83"/>
        <v>0</v>
      </c>
      <c r="R159" s="237">
        <f t="shared" si="83"/>
        <v>0</v>
      </c>
      <c r="S159" s="237">
        <f t="shared" si="83"/>
        <v>0</v>
      </c>
      <c r="T159" s="224"/>
      <c r="U159" s="224">
        <f t="shared" ref="U159:W174" si="95">T159</f>
        <v>0</v>
      </c>
      <c r="V159" s="224">
        <f t="shared" si="95"/>
        <v>0</v>
      </c>
      <c r="W159" s="224">
        <f t="shared" si="95"/>
        <v>0</v>
      </c>
      <c r="X159" s="226"/>
      <c r="Y159" s="226">
        <f t="shared" ref="Y159:Z179" si="96">X159</f>
        <v>0</v>
      </c>
      <c r="Z159" s="226">
        <f t="shared" si="96"/>
        <v>0</v>
      </c>
      <c r="AA159" s="224"/>
      <c r="AB159" s="224"/>
      <c r="AC159" s="224"/>
      <c r="AD159" s="224">
        <f t="shared" si="92"/>
        <v>0</v>
      </c>
      <c r="AE159" s="224"/>
      <c r="AF159" s="224"/>
      <c r="AG159" s="224">
        <f t="shared" si="93"/>
        <v>0</v>
      </c>
      <c r="AH159" s="226"/>
      <c r="AI159" s="226">
        <f t="shared" ref="AI159:AM179" si="97">AH159</f>
        <v>0</v>
      </c>
      <c r="AJ159" s="226">
        <f t="shared" si="97"/>
        <v>0</v>
      </c>
      <c r="AK159" s="226">
        <f t="shared" si="97"/>
        <v>0</v>
      </c>
      <c r="AL159" s="226">
        <f t="shared" si="97"/>
        <v>0</v>
      </c>
      <c r="AM159" s="226">
        <f t="shared" si="97"/>
        <v>0</v>
      </c>
      <c r="AN159" s="235"/>
      <c r="AO159" s="235">
        <f t="shared" si="91"/>
        <v>0</v>
      </c>
      <c r="AP159" s="235">
        <f t="shared" si="91"/>
        <v>0</v>
      </c>
      <c r="AQ159" s="236">
        <f t="shared" si="91"/>
        <v>0</v>
      </c>
      <c r="AR159" s="236">
        <f t="shared" si="91"/>
        <v>0</v>
      </c>
      <c r="AS159" s="236">
        <f t="shared" si="91"/>
        <v>0</v>
      </c>
      <c r="AT159" s="236">
        <f t="shared" si="91"/>
        <v>0</v>
      </c>
      <c r="AU159" s="236">
        <f t="shared" si="91"/>
        <v>0</v>
      </c>
      <c r="AV159" s="236">
        <f t="shared" si="91"/>
        <v>0</v>
      </c>
      <c r="AW159" s="226"/>
      <c r="AX159" s="226">
        <f t="shared" ref="AX159:BB179" si="98">AW159</f>
        <v>0</v>
      </c>
      <c r="AY159" s="226">
        <f t="shared" si="98"/>
        <v>0</v>
      </c>
      <c r="AZ159" s="226">
        <f t="shared" si="98"/>
        <v>0</v>
      </c>
      <c r="BA159" s="226">
        <f t="shared" si="98"/>
        <v>0</v>
      </c>
      <c r="BB159" s="226">
        <f t="shared" si="98"/>
        <v>0</v>
      </c>
      <c r="BC159" s="224"/>
      <c r="BD159" s="224">
        <f t="shared" ref="BD159:BO179" si="99">BC159</f>
        <v>0</v>
      </c>
      <c r="BE159" s="224">
        <f t="shared" si="99"/>
        <v>0</v>
      </c>
      <c r="BF159" s="224">
        <f t="shared" si="99"/>
        <v>0</v>
      </c>
      <c r="BG159" s="224">
        <f t="shared" si="99"/>
        <v>0</v>
      </c>
      <c r="BH159" s="224">
        <f t="shared" si="99"/>
        <v>0</v>
      </c>
      <c r="BI159" s="224">
        <f t="shared" si="99"/>
        <v>0</v>
      </c>
      <c r="BJ159" s="224">
        <f t="shared" si="99"/>
        <v>0</v>
      </c>
      <c r="BK159" s="224">
        <f t="shared" si="99"/>
        <v>0</v>
      </c>
      <c r="BL159" s="224">
        <f t="shared" si="99"/>
        <v>0</v>
      </c>
      <c r="BM159" s="224">
        <f t="shared" si="99"/>
        <v>0</v>
      </c>
      <c r="BN159" s="224">
        <f t="shared" si="99"/>
        <v>0</v>
      </c>
      <c r="BO159" s="224">
        <f t="shared" si="99"/>
        <v>0</v>
      </c>
    </row>
    <row r="160" spans="1:67">
      <c r="A160" s="223">
        <v>1</v>
      </c>
      <c r="B160" s="151" t="s">
        <v>166</v>
      </c>
      <c r="C160" s="223">
        <v>158</v>
      </c>
      <c r="D160" s="224">
        <v>4216799.6553317709</v>
      </c>
      <c r="E160" s="225">
        <f t="shared" si="94"/>
        <v>4216799.6553317709</v>
      </c>
      <c r="F160" s="225">
        <f t="shared" si="94"/>
        <v>4216799.6553317709</v>
      </c>
      <c r="G160" s="225">
        <f t="shared" si="94"/>
        <v>4216799.6553317709</v>
      </c>
      <c r="H160" s="225">
        <f t="shared" si="94"/>
        <v>4216799.6553317709</v>
      </c>
      <c r="I160" s="225">
        <f t="shared" si="94"/>
        <v>4216799.6553317709</v>
      </c>
      <c r="J160" s="225">
        <f t="shared" si="94"/>
        <v>4216799.6553317709</v>
      </c>
      <c r="K160" s="237">
        <f t="shared" ref="K160:S160" si="100">J160</f>
        <v>4216799.6553317709</v>
      </c>
      <c r="L160" s="237">
        <f t="shared" si="100"/>
        <v>4216799.6553317709</v>
      </c>
      <c r="M160" s="237">
        <f t="shared" si="100"/>
        <v>4216799.6553317709</v>
      </c>
      <c r="N160" s="237">
        <f t="shared" si="100"/>
        <v>4216799.6553317709</v>
      </c>
      <c r="O160" s="237">
        <f t="shared" si="100"/>
        <v>4216799.6553317709</v>
      </c>
      <c r="P160" s="237">
        <f t="shared" si="100"/>
        <v>4216799.6553317709</v>
      </c>
      <c r="Q160" s="237">
        <f t="shared" si="100"/>
        <v>4216799.6553317709</v>
      </c>
      <c r="R160" s="237">
        <f t="shared" si="100"/>
        <v>4216799.6553317709</v>
      </c>
      <c r="S160" s="237">
        <f t="shared" si="100"/>
        <v>4216799.6553317709</v>
      </c>
      <c r="T160" s="224">
        <v>4216799.6553317709</v>
      </c>
      <c r="U160" s="224">
        <f t="shared" si="95"/>
        <v>4216799.6553317709</v>
      </c>
      <c r="V160" s="224">
        <f t="shared" si="95"/>
        <v>4216799.6553317709</v>
      </c>
      <c r="W160" s="224">
        <f t="shared" si="95"/>
        <v>4216799.6553317709</v>
      </c>
      <c r="X160" s="226">
        <v>4216799.6553317709</v>
      </c>
      <c r="Y160" s="226">
        <f t="shared" si="96"/>
        <v>4216799.6553317709</v>
      </c>
      <c r="Z160" s="226">
        <f t="shared" si="96"/>
        <v>4216799.6553317709</v>
      </c>
      <c r="AA160" s="224">
        <v>4216799.6553317709</v>
      </c>
      <c r="AB160" s="224">
        <v>4216799.6553317709</v>
      </c>
      <c r="AC160" s="224">
        <v>4216799.6553317709</v>
      </c>
      <c r="AD160" s="224">
        <f t="shared" si="92"/>
        <v>4216799.6553317709</v>
      </c>
      <c r="AE160" s="224">
        <v>4216799.6553317709</v>
      </c>
      <c r="AF160" s="224">
        <v>4216799.6553317709</v>
      </c>
      <c r="AG160" s="224">
        <f t="shared" si="93"/>
        <v>4216799.6553317709</v>
      </c>
      <c r="AH160" s="226">
        <v>4240384.4557183906</v>
      </c>
      <c r="AI160" s="226">
        <f t="shared" si="97"/>
        <v>4240384.4557183906</v>
      </c>
      <c r="AJ160" s="226">
        <f t="shared" si="97"/>
        <v>4240384.4557183906</v>
      </c>
      <c r="AK160" s="226">
        <f t="shared" si="97"/>
        <v>4240384.4557183906</v>
      </c>
      <c r="AL160" s="226">
        <f t="shared" si="97"/>
        <v>4240384.4557183906</v>
      </c>
      <c r="AM160" s="226">
        <f t="shared" si="97"/>
        <v>4240384.4557183906</v>
      </c>
      <c r="AN160" s="235">
        <v>4240384.4557183906</v>
      </c>
      <c r="AO160" s="235">
        <f t="shared" si="91"/>
        <v>4240384.4557183906</v>
      </c>
      <c r="AP160" s="235">
        <f t="shared" si="91"/>
        <v>4240384.4557183906</v>
      </c>
      <c r="AQ160" s="236">
        <f t="shared" si="91"/>
        <v>4240384.4557183906</v>
      </c>
      <c r="AR160" s="236">
        <f t="shared" si="91"/>
        <v>4240384.4557183906</v>
      </c>
      <c r="AS160" s="236">
        <f t="shared" si="91"/>
        <v>4240384.4557183906</v>
      </c>
      <c r="AT160" s="236">
        <f t="shared" si="91"/>
        <v>4240384.4557183906</v>
      </c>
      <c r="AU160" s="236">
        <f t="shared" si="91"/>
        <v>4240384.4557183906</v>
      </c>
      <c r="AV160" s="236">
        <f t="shared" si="91"/>
        <v>4240384.4557183906</v>
      </c>
      <c r="AW160" s="226">
        <v>4226558.8830779586</v>
      </c>
      <c r="AX160" s="226">
        <f t="shared" si="98"/>
        <v>4226558.8830779586</v>
      </c>
      <c r="AY160" s="226">
        <f t="shared" si="98"/>
        <v>4226558.8830779586</v>
      </c>
      <c r="AZ160" s="226">
        <f t="shared" si="98"/>
        <v>4226558.8830779586</v>
      </c>
      <c r="BA160" s="226">
        <f t="shared" si="98"/>
        <v>4226558.8830779586</v>
      </c>
      <c r="BB160" s="226">
        <f t="shared" si="98"/>
        <v>4226558.8830779586</v>
      </c>
      <c r="BC160" s="224">
        <v>4216799.6553317709</v>
      </c>
      <c r="BD160" s="224">
        <f t="shared" si="99"/>
        <v>4216799.6553317709</v>
      </c>
      <c r="BE160" s="224">
        <f t="shared" si="99"/>
        <v>4216799.6553317709</v>
      </c>
      <c r="BF160" s="224">
        <f t="shared" si="99"/>
        <v>4216799.6553317709</v>
      </c>
      <c r="BG160" s="224">
        <f t="shared" si="99"/>
        <v>4216799.6553317709</v>
      </c>
      <c r="BH160" s="224">
        <f t="shared" si="99"/>
        <v>4216799.6553317709</v>
      </c>
      <c r="BI160" s="224">
        <f t="shared" si="99"/>
        <v>4216799.6553317709</v>
      </c>
      <c r="BJ160" s="224">
        <f t="shared" si="99"/>
        <v>4216799.6553317709</v>
      </c>
      <c r="BK160" s="224">
        <f t="shared" si="99"/>
        <v>4216799.6553317709</v>
      </c>
      <c r="BL160" s="224">
        <f t="shared" si="99"/>
        <v>4216799.6553317709</v>
      </c>
      <c r="BM160" s="224">
        <f t="shared" si="99"/>
        <v>4216799.6553317709</v>
      </c>
      <c r="BN160" s="224">
        <f t="shared" si="99"/>
        <v>4216799.6553317709</v>
      </c>
      <c r="BO160" s="224">
        <f t="shared" si="99"/>
        <v>4216799.6553317709</v>
      </c>
    </row>
    <row r="161" spans="1:67" ht="30">
      <c r="A161" s="223">
        <f>+A160+1</f>
        <v>2</v>
      </c>
      <c r="B161" s="228" t="s">
        <v>168</v>
      </c>
      <c r="C161" s="223">
        <v>159</v>
      </c>
      <c r="D161" s="224">
        <v>8138946.3269385761</v>
      </c>
      <c r="E161" s="225">
        <f t="shared" si="94"/>
        <v>8138946.3269385761</v>
      </c>
      <c r="F161" s="225">
        <f t="shared" si="94"/>
        <v>8138946.3269385761</v>
      </c>
      <c r="G161" s="225">
        <f t="shared" si="94"/>
        <v>8138946.3269385761</v>
      </c>
      <c r="H161" s="225">
        <f t="shared" si="94"/>
        <v>8138946.3269385761</v>
      </c>
      <c r="I161" s="225">
        <f t="shared" si="94"/>
        <v>8138946.3269385761</v>
      </c>
      <c r="J161" s="225">
        <f t="shared" si="94"/>
        <v>8138946.3269385761</v>
      </c>
      <c r="K161" s="237">
        <f t="shared" ref="K161:S161" si="101">J161</f>
        <v>8138946.3269385761</v>
      </c>
      <c r="L161" s="237">
        <f t="shared" si="101"/>
        <v>8138946.3269385761</v>
      </c>
      <c r="M161" s="237">
        <f t="shared" si="101"/>
        <v>8138946.3269385761</v>
      </c>
      <c r="N161" s="237">
        <f t="shared" si="101"/>
        <v>8138946.3269385761</v>
      </c>
      <c r="O161" s="237">
        <f t="shared" si="101"/>
        <v>8138946.3269385761</v>
      </c>
      <c r="P161" s="237">
        <f t="shared" si="101"/>
        <v>8138946.3269385761</v>
      </c>
      <c r="Q161" s="237">
        <f t="shared" si="101"/>
        <v>8138946.3269385761</v>
      </c>
      <c r="R161" s="237">
        <f t="shared" si="101"/>
        <v>8138946.3269385761</v>
      </c>
      <c r="S161" s="237">
        <f t="shared" si="101"/>
        <v>8138946.3269385761</v>
      </c>
      <c r="T161" s="224">
        <v>8138946.3269385761</v>
      </c>
      <c r="U161" s="224">
        <f t="shared" si="95"/>
        <v>8138946.3269385761</v>
      </c>
      <c r="V161" s="224">
        <f t="shared" si="95"/>
        <v>8138946.3269385761</v>
      </c>
      <c r="W161" s="224">
        <f t="shared" si="95"/>
        <v>8138946.3269385761</v>
      </c>
      <c r="X161" s="226">
        <v>8138946.3269385761</v>
      </c>
      <c r="Y161" s="226">
        <f t="shared" si="96"/>
        <v>8138946.3269385761</v>
      </c>
      <c r="Z161" s="226">
        <f t="shared" si="96"/>
        <v>8138946.3269385761</v>
      </c>
      <c r="AA161" s="224">
        <v>8138946.3269385761</v>
      </c>
      <c r="AB161" s="224">
        <v>8138946.3269385761</v>
      </c>
      <c r="AC161" s="224">
        <v>8138946.3269385761</v>
      </c>
      <c r="AD161" s="224">
        <f t="shared" si="92"/>
        <v>8138946.3269385761</v>
      </c>
      <c r="AE161" s="224">
        <v>8138946.3269385761</v>
      </c>
      <c r="AF161" s="224">
        <v>8138946.3269385761</v>
      </c>
      <c r="AG161" s="224">
        <f t="shared" si="93"/>
        <v>8138946.3269385761</v>
      </c>
      <c r="AH161" s="226">
        <v>8184467.9168095924</v>
      </c>
      <c r="AI161" s="226">
        <f t="shared" si="97"/>
        <v>8184467.9168095924</v>
      </c>
      <c r="AJ161" s="226">
        <f t="shared" si="97"/>
        <v>8184467.9168095924</v>
      </c>
      <c r="AK161" s="226">
        <f t="shared" si="97"/>
        <v>8184467.9168095924</v>
      </c>
      <c r="AL161" s="226">
        <f t="shared" si="97"/>
        <v>8184467.9168095924</v>
      </c>
      <c r="AM161" s="226">
        <f t="shared" si="97"/>
        <v>8184467.9168095924</v>
      </c>
      <c r="AN161" s="235">
        <v>8184467.9168095924</v>
      </c>
      <c r="AO161" s="235">
        <f t="shared" si="91"/>
        <v>8184467.9168095924</v>
      </c>
      <c r="AP161" s="235">
        <f t="shared" si="91"/>
        <v>8184467.9168095924</v>
      </c>
      <c r="AQ161" s="236">
        <f t="shared" si="91"/>
        <v>8184467.9168095924</v>
      </c>
      <c r="AR161" s="236">
        <f t="shared" si="91"/>
        <v>8184467.9168095924</v>
      </c>
      <c r="AS161" s="236">
        <f t="shared" si="91"/>
        <v>8184467.9168095924</v>
      </c>
      <c r="AT161" s="236">
        <f t="shared" si="91"/>
        <v>8184467.9168095924</v>
      </c>
      <c r="AU161" s="236">
        <f t="shared" si="91"/>
        <v>8184467.9168095924</v>
      </c>
      <c r="AV161" s="236">
        <f t="shared" si="91"/>
        <v>8184467.9168095924</v>
      </c>
      <c r="AW161" s="226">
        <v>8157782.8468852043</v>
      </c>
      <c r="AX161" s="226">
        <f t="shared" si="98"/>
        <v>8157782.8468852043</v>
      </c>
      <c r="AY161" s="226">
        <f t="shared" si="98"/>
        <v>8157782.8468852043</v>
      </c>
      <c r="AZ161" s="226">
        <f t="shared" si="98"/>
        <v>8157782.8468852043</v>
      </c>
      <c r="BA161" s="226">
        <f t="shared" si="98"/>
        <v>8157782.8468852043</v>
      </c>
      <c r="BB161" s="226">
        <f t="shared" si="98"/>
        <v>8157782.8468852043</v>
      </c>
      <c r="BC161" s="224">
        <v>8138946.3269385761</v>
      </c>
      <c r="BD161" s="224">
        <f t="shared" si="99"/>
        <v>8138946.3269385761</v>
      </c>
      <c r="BE161" s="224">
        <f t="shared" si="99"/>
        <v>8138946.3269385761</v>
      </c>
      <c r="BF161" s="224">
        <f t="shared" si="99"/>
        <v>8138946.3269385761</v>
      </c>
      <c r="BG161" s="224">
        <f t="shared" si="99"/>
        <v>8138946.3269385761</v>
      </c>
      <c r="BH161" s="224">
        <f t="shared" si="99"/>
        <v>8138946.3269385761</v>
      </c>
      <c r="BI161" s="224">
        <f t="shared" si="99"/>
        <v>8138946.3269385761</v>
      </c>
      <c r="BJ161" s="224">
        <f t="shared" si="99"/>
        <v>8138946.3269385761</v>
      </c>
      <c r="BK161" s="224">
        <f t="shared" si="99"/>
        <v>8138946.3269385761</v>
      </c>
      <c r="BL161" s="224">
        <f t="shared" si="99"/>
        <v>8138946.3269385761</v>
      </c>
      <c r="BM161" s="224">
        <f t="shared" si="99"/>
        <v>8138946.3269385761</v>
      </c>
      <c r="BN161" s="224">
        <f t="shared" si="99"/>
        <v>8138946.3269385761</v>
      </c>
      <c r="BO161" s="224">
        <f t="shared" si="99"/>
        <v>8138946.3269385761</v>
      </c>
    </row>
    <row r="162" spans="1:67">
      <c r="A162" s="223">
        <f>+A161+1</f>
        <v>3</v>
      </c>
      <c r="B162" s="228" t="s">
        <v>209</v>
      </c>
      <c r="C162" s="223">
        <v>160</v>
      </c>
      <c r="D162" s="224">
        <v>12098644.419531833</v>
      </c>
      <c r="E162" s="225">
        <f t="shared" si="94"/>
        <v>12098644.419531833</v>
      </c>
      <c r="F162" s="225">
        <f t="shared" si="94"/>
        <v>12098644.419531833</v>
      </c>
      <c r="G162" s="225">
        <f t="shared" si="94"/>
        <v>12098644.419531833</v>
      </c>
      <c r="H162" s="225">
        <f t="shared" si="94"/>
        <v>12098644.419531833</v>
      </c>
      <c r="I162" s="225">
        <f t="shared" si="94"/>
        <v>12098644.419531833</v>
      </c>
      <c r="J162" s="225">
        <f t="shared" si="94"/>
        <v>12098644.419531833</v>
      </c>
      <c r="K162" s="237">
        <f t="shared" ref="K162:S162" si="102">J162</f>
        <v>12098644.419531833</v>
      </c>
      <c r="L162" s="237">
        <f t="shared" si="102"/>
        <v>12098644.419531833</v>
      </c>
      <c r="M162" s="237">
        <f t="shared" si="102"/>
        <v>12098644.419531833</v>
      </c>
      <c r="N162" s="237">
        <f t="shared" si="102"/>
        <v>12098644.419531833</v>
      </c>
      <c r="O162" s="237">
        <f t="shared" si="102"/>
        <v>12098644.419531833</v>
      </c>
      <c r="P162" s="237">
        <f t="shared" si="102"/>
        <v>12098644.419531833</v>
      </c>
      <c r="Q162" s="237">
        <f t="shared" si="102"/>
        <v>12098644.419531833</v>
      </c>
      <c r="R162" s="237">
        <f t="shared" si="102"/>
        <v>12098644.419531833</v>
      </c>
      <c r="S162" s="237">
        <f t="shared" si="102"/>
        <v>12098644.419531833</v>
      </c>
      <c r="T162" s="224">
        <v>12098644.419531833</v>
      </c>
      <c r="U162" s="224">
        <f t="shared" si="95"/>
        <v>12098644.419531833</v>
      </c>
      <c r="V162" s="224">
        <f t="shared" si="95"/>
        <v>12098644.419531833</v>
      </c>
      <c r="W162" s="224">
        <f t="shared" si="95"/>
        <v>12098644.419531833</v>
      </c>
      <c r="X162" s="226">
        <v>12098644.419531833</v>
      </c>
      <c r="Y162" s="226">
        <f t="shared" si="96"/>
        <v>12098644.419531833</v>
      </c>
      <c r="Z162" s="226">
        <f t="shared" si="96"/>
        <v>12098644.419531833</v>
      </c>
      <c r="AA162" s="224">
        <v>12098644.419531833</v>
      </c>
      <c r="AB162" s="224">
        <v>12098644.419531833</v>
      </c>
      <c r="AC162" s="224">
        <v>12098644.419531833</v>
      </c>
      <c r="AD162" s="224">
        <f t="shared" si="92"/>
        <v>12098644.419531833</v>
      </c>
      <c r="AE162" s="224">
        <v>12098644.419531833</v>
      </c>
      <c r="AF162" s="224">
        <v>12098644.419531833</v>
      </c>
      <c r="AG162" s="224">
        <f t="shared" si="93"/>
        <v>12098644.419531833</v>
      </c>
      <c r="AH162" s="226">
        <v>12166312.826121308</v>
      </c>
      <c r="AI162" s="226">
        <f t="shared" si="97"/>
        <v>12166312.826121308</v>
      </c>
      <c r="AJ162" s="226">
        <f t="shared" si="97"/>
        <v>12166312.826121308</v>
      </c>
      <c r="AK162" s="226">
        <f t="shared" si="97"/>
        <v>12166312.826121308</v>
      </c>
      <c r="AL162" s="226">
        <f t="shared" si="97"/>
        <v>12166312.826121308</v>
      </c>
      <c r="AM162" s="226">
        <f t="shared" si="97"/>
        <v>12166312.826121308</v>
      </c>
      <c r="AN162" s="235">
        <v>12166312.826121308</v>
      </c>
      <c r="AO162" s="235">
        <f t="shared" si="91"/>
        <v>12166312.826121308</v>
      </c>
      <c r="AP162" s="235">
        <f t="shared" si="91"/>
        <v>12166312.826121308</v>
      </c>
      <c r="AQ162" s="236">
        <f t="shared" si="91"/>
        <v>12166312.826121308</v>
      </c>
      <c r="AR162" s="236">
        <f t="shared" si="91"/>
        <v>12166312.826121308</v>
      </c>
      <c r="AS162" s="236">
        <f t="shared" si="91"/>
        <v>12166312.826121308</v>
      </c>
      <c r="AT162" s="236">
        <f t="shared" si="91"/>
        <v>12166312.826121308</v>
      </c>
      <c r="AU162" s="236">
        <f t="shared" si="91"/>
        <v>12166312.826121308</v>
      </c>
      <c r="AV162" s="236">
        <f t="shared" si="91"/>
        <v>12166312.826121308</v>
      </c>
      <c r="AW162" s="226">
        <v>12126645.139499892</v>
      </c>
      <c r="AX162" s="226">
        <f t="shared" si="98"/>
        <v>12126645.139499892</v>
      </c>
      <c r="AY162" s="226">
        <f t="shared" si="98"/>
        <v>12126645.139499892</v>
      </c>
      <c r="AZ162" s="226">
        <f t="shared" si="98"/>
        <v>12126645.139499892</v>
      </c>
      <c r="BA162" s="226">
        <f t="shared" si="98"/>
        <v>12126645.139499892</v>
      </c>
      <c r="BB162" s="226">
        <f t="shared" si="98"/>
        <v>12126645.139499892</v>
      </c>
      <c r="BC162" s="224">
        <v>12098644.419531833</v>
      </c>
      <c r="BD162" s="224">
        <f t="shared" si="99"/>
        <v>12098644.419531833</v>
      </c>
      <c r="BE162" s="224">
        <f t="shared" si="99"/>
        <v>12098644.419531833</v>
      </c>
      <c r="BF162" s="224">
        <f t="shared" si="99"/>
        <v>12098644.419531833</v>
      </c>
      <c r="BG162" s="224">
        <f t="shared" si="99"/>
        <v>12098644.419531833</v>
      </c>
      <c r="BH162" s="224">
        <f t="shared" si="99"/>
        <v>12098644.419531833</v>
      </c>
      <c r="BI162" s="224">
        <f t="shared" si="99"/>
        <v>12098644.419531833</v>
      </c>
      <c r="BJ162" s="224">
        <f t="shared" si="99"/>
        <v>12098644.419531833</v>
      </c>
      <c r="BK162" s="224">
        <f t="shared" si="99"/>
        <v>12098644.419531833</v>
      </c>
      <c r="BL162" s="224">
        <f t="shared" si="99"/>
        <v>12098644.419531833</v>
      </c>
      <c r="BM162" s="224">
        <f t="shared" si="99"/>
        <v>12098644.419531833</v>
      </c>
      <c r="BN162" s="224">
        <f t="shared" si="99"/>
        <v>12098644.419531833</v>
      </c>
      <c r="BO162" s="224">
        <f t="shared" si="99"/>
        <v>12098644.419531833</v>
      </c>
    </row>
    <row r="163" spans="1:67" ht="30">
      <c r="A163" s="223">
        <f>+A162+1</f>
        <v>4</v>
      </c>
      <c r="B163" s="228" t="s">
        <v>169</v>
      </c>
      <c r="C163" s="223">
        <v>161</v>
      </c>
      <c r="D163" s="224">
        <v>9358539.4706320986</v>
      </c>
      <c r="E163" s="225">
        <f t="shared" si="94"/>
        <v>9358539.4706320986</v>
      </c>
      <c r="F163" s="225">
        <f t="shared" si="94"/>
        <v>9358539.4706320986</v>
      </c>
      <c r="G163" s="225">
        <f t="shared" si="94"/>
        <v>9358539.4706320986</v>
      </c>
      <c r="H163" s="225">
        <f t="shared" si="94"/>
        <v>9358539.4706320986</v>
      </c>
      <c r="I163" s="225">
        <f t="shared" si="94"/>
        <v>9358539.4706320986</v>
      </c>
      <c r="J163" s="225">
        <f t="shared" si="94"/>
        <v>9358539.4706320986</v>
      </c>
      <c r="K163" s="237">
        <f t="shared" ref="K163:S163" si="103">J163</f>
        <v>9358539.4706320986</v>
      </c>
      <c r="L163" s="237">
        <f t="shared" si="103"/>
        <v>9358539.4706320986</v>
      </c>
      <c r="M163" s="237">
        <f t="shared" si="103"/>
        <v>9358539.4706320986</v>
      </c>
      <c r="N163" s="237">
        <f t="shared" si="103"/>
        <v>9358539.4706320986</v>
      </c>
      <c r="O163" s="237">
        <f t="shared" si="103"/>
        <v>9358539.4706320986</v>
      </c>
      <c r="P163" s="237">
        <f t="shared" si="103"/>
        <v>9358539.4706320986</v>
      </c>
      <c r="Q163" s="237">
        <f t="shared" si="103"/>
        <v>9358539.4706320986</v>
      </c>
      <c r="R163" s="237">
        <f t="shared" si="103"/>
        <v>9358539.4706320986</v>
      </c>
      <c r="S163" s="237">
        <f t="shared" si="103"/>
        <v>9358539.4706320986</v>
      </c>
      <c r="T163" s="224">
        <v>9358539.4706320986</v>
      </c>
      <c r="U163" s="224">
        <f t="shared" si="95"/>
        <v>9358539.4706320986</v>
      </c>
      <c r="V163" s="224">
        <f t="shared" si="95"/>
        <v>9358539.4706320986</v>
      </c>
      <c r="W163" s="224">
        <f t="shared" si="95"/>
        <v>9358539.4706320986</v>
      </c>
      <c r="X163" s="226">
        <v>9358539.4706320986</v>
      </c>
      <c r="Y163" s="226">
        <f t="shared" si="96"/>
        <v>9358539.4706320986</v>
      </c>
      <c r="Z163" s="226">
        <f t="shared" si="96"/>
        <v>9358539.4706320986</v>
      </c>
      <c r="AA163" s="224">
        <v>9358539.4706320986</v>
      </c>
      <c r="AB163" s="224">
        <v>9358539.4706320986</v>
      </c>
      <c r="AC163" s="224">
        <v>9358539.4706320986</v>
      </c>
      <c r="AD163" s="224">
        <f t="shared" si="92"/>
        <v>9358539.4706320986</v>
      </c>
      <c r="AE163" s="224">
        <v>9358539.4706320986</v>
      </c>
      <c r="AF163" s="224">
        <v>9358539.4706320986</v>
      </c>
      <c r="AG163" s="224">
        <f t="shared" si="93"/>
        <v>9358539.4706320986</v>
      </c>
      <c r="AH163" s="226">
        <v>9410882.314344408</v>
      </c>
      <c r="AI163" s="226">
        <f t="shared" si="97"/>
        <v>9410882.314344408</v>
      </c>
      <c r="AJ163" s="226">
        <f t="shared" si="97"/>
        <v>9410882.314344408</v>
      </c>
      <c r="AK163" s="226">
        <f t="shared" si="97"/>
        <v>9410882.314344408</v>
      </c>
      <c r="AL163" s="226">
        <f t="shared" si="97"/>
        <v>9410882.314344408</v>
      </c>
      <c r="AM163" s="226">
        <f t="shared" si="97"/>
        <v>9410882.314344408</v>
      </c>
      <c r="AN163" s="235">
        <v>9410882.314344408</v>
      </c>
      <c r="AO163" s="235">
        <f t="shared" si="91"/>
        <v>9410882.314344408</v>
      </c>
      <c r="AP163" s="235">
        <f t="shared" si="91"/>
        <v>9410882.314344408</v>
      </c>
      <c r="AQ163" s="236">
        <f t="shared" si="91"/>
        <v>9410882.314344408</v>
      </c>
      <c r="AR163" s="236">
        <f t="shared" si="91"/>
        <v>9410882.314344408</v>
      </c>
      <c r="AS163" s="236">
        <f t="shared" si="91"/>
        <v>9410882.314344408</v>
      </c>
      <c r="AT163" s="236">
        <f t="shared" si="91"/>
        <v>9410882.314344408</v>
      </c>
      <c r="AU163" s="236">
        <f t="shared" si="91"/>
        <v>9410882.314344408</v>
      </c>
      <c r="AV163" s="236">
        <f t="shared" si="91"/>
        <v>9410882.314344408</v>
      </c>
      <c r="AW163" s="226">
        <v>9380198.5783751234</v>
      </c>
      <c r="AX163" s="226">
        <f t="shared" si="98"/>
        <v>9380198.5783751234</v>
      </c>
      <c r="AY163" s="226">
        <f t="shared" si="98"/>
        <v>9380198.5783751234</v>
      </c>
      <c r="AZ163" s="226">
        <f t="shared" si="98"/>
        <v>9380198.5783751234</v>
      </c>
      <c r="BA163" s="226">
        <f t="shared" si="98"/>
        <v>9380198.5783751234</v>
      </c>
      <c r="BB163" s="226">
        <f t="shared" si="98"/>
        <v>9380198.5783751234</v>
      </c>
      <c r="BC163" s="224">
        <v>9358539.4706320986</v>
      </c>
      <c r="BD163" s="224">
        <f t="shared" si="99"/>
        <v>9358539.4706320986</v>
      </c>
      <c r="BE163" s="224">
        <f t="shared" si="99"/>
        <v>9358539.4706320986</v>
      </c>
      <c r="BF163" s="224">
        <f t="shared" si="99"/>
        <v>9358539.4706320986</v>
      </c>
      <c r="BG163" s="224">
        <f t="shared" si="99"/>
        <v>9358539.4706320986</v>
      </c>
      <c r="BH163" s="224">
        <f t="shared" si="99"/>
        <v>9358539.4706320986</v>
      </c>
      <c r="BI163" s="224">
        <f t="shared" si="99"/>
        <v>9358539.4706320986</v>
      </c>
      <c r="BJ163" s="224">
        <f t="shared" si="99"/>
        <v>9358539.4706320986</v>
      </c>
      <c r="BK163" s="224">
        <f t="shared" si="99"/>
        <v>9358539.4706320986</v>
      </c>
      <c r="BL163" s="224">
        <f t="shared" si="99"/>
        <v>9358539.4706320986</v>
      </c>
      <c r="BM163" s="224">
        <f t="shared" si="99"/>
        <v>9358539.4706320986</v>
      </c>
      <c r="BN163" s="224">
        <f t="shared" si="99"/>
        <v>9358539.4706320986</v>
      </c>
      <c r="BO163" s="224">
        <f t="shared" si="99"/>
        <v>9358539.4706320986</v>
      </c>
    </row>
    <row r="164" spans="1:67">
      <c r="A164" s="223">
        <f>+A163+1</f>
        <v>5</v>
      </c>
      <c r="B164" s="228" t="s">
        <v>167</v>
      </c>
      <c r="C164" s="223">
        <v>162</v>
      </c>
      <c r="D164" s="224">
        <v>12028547.040609347</v>
      </c>
      <c r="E164" s="225">
        <f t="shared" ref="E164:S179" si="104">D164</f>
        <v>12028547.040609347</v>
      </c>
      <c r="F164" s="225">
        <f t="shared" si="104"/>
        <v>12028547.040609347</v>
      </c>
      <c r="G164" s="225">
        <f t="shared" si="104"/>
        <v>12028547.040609347</v>
      </c>
      <c r="H164" s="225">
        <f t="shared" si="104"/>
        <v>12028547.040609347</v>
      </c>
      <c r="I164" s="225">
        <f t="shared" si="104"/>
        <v>12028547.040609347</v>
      </c>
      <c r="J164" s="225">
        <f t="shared" si="104"/>
        <v>12028547.040609347</v>
      </c>
      <c r="K164" s="237">
        <f t="shared" si="104"/>
        <v>12028547.040609347</v>
      </c>
      <c r="L164" s="237">
        <f t="shared" si="104"/>
        <v>12028547.040609347</v>
      </c>
      <c r="M164" s="237">
        <f t="shared" si="104"/>
        <v>12028547.040609347</v>
      </c>
      <c r="N164" s="237">
        <f t="shared" si="104"/>
        <v>12028547.040609347</v>
      </c>
      <c r="O164" s="237">
        <f t="shared" si="104"/>
        <v>12028547.040609347</v>
      </c>
      <c r="P164" s="237">
        <f t="shared" si="104"/>
        <v>12028547.040609347</v>
      </c>
      <c r="Q164" s="237">
        <f t="shared" si="104"/>
        <v>12028547.040609347</v>
      </c>
      <c r="R164" s="237">
        <f t="shared" si="104"/>
        <v>12028547.040609347</v>
      </c>
      <c r="S164" s="237">
        <f t="shared" si="104"/>
        <v>12028547.040609347</v>
      </c>
      <c r="T164" s="224">
        <v>12028547.040609347</v>
      </c>
      <c r="U164" s="224">
        <f t="shared" si="95"/>
        <v>12028547.040609347</v>
      </c>
      <c r="V164" s="224">
        <f t="shared" si="95"/>
        <v>12028547.040609347</v>
      </c>
      <c r="W164" s="224">
        <f t="shared" si="95"/>
        <v>12028547.040609347</v>
      </c>
      <c r="X164" s="226">
        <v>12028547.040609347</v>
      </c>
      <c r="Y164" s="226">
        <f t="shared" si="96"/>
        <v>12028547.040609347</v>
      </c>
      <c r="Z164" s="226">
        <f t="shared" si="96"/>
        <v>12028547.040609347</v>
      </c>
      <c r="AA164" s="224">
        <v>12028547.040609347</v>
      </c>
      <c r="AB164" s="224">
        <v>12028547.040609347</v>
      </c>
      <c r="AC164" s="224">
        <v>12028547.040609347</v>
      </c>
      <c r="AD164" s="224">
        <f t="shared" si="92"/>
        <v>12028547.040609347</v>
      </c>
      <c r="AE164" s="224">
        <v>12028547.040609347</v>
      </c>
      <c r="AF164" s="224">
        <v>12028547.040609347</v>
      </c>
      <c r="AG164" s="224">
        <f t="shared" si="93"/>
        <v>12028547.040609347</v>
      </c>
      <c r="AH164" s="226">
        <v>12095823.388570324</v>
      </c>
      <c r="AI164" s="226">
        <f t="shared" si="97"/>
        <v>12095823.388570324</v>
      </c>
      <c r="AJ164" s="226">
        <f t="shared" si="97"/>
        <v>12095823.388570324</v>
      </c>
      <c r="AK164" s="226">
        <f t="shared" si="97"/>
        <v>12095823.388570324</v>
      </c>
      <c r="AL164" s="226">
        <f t="shared" si="97"/>
        <v>12095823.388570324</v>
      </c>
      <c r="AM164" s="226">
        <f t="shared" si="97"/>
        <v>12095823.388570324</v>
      </c>
      <c r="AN164" s="235">
        <v>12095823.388570324</v>
      </c>
      <c r="AO164" s="235">
        <f t="shared" ref="AO164:AV179" si="105">AN164</f>
        <v>12095823.388570324</v>
      </c>
      <c r="AP164" s="235">
        <f t="shared" si="105"/>
        <v>12095823.388570324</v>
      </c>
      <c r="AQ164" s="236">
        <f t="shared" si="105"/>
        <v>12095823.388570324</v>
      </c>
      <c r="AR164" s="236">
        <f t="shared" si="105"/>
        <v>12095823.388570324</v>
      </c>
      <c r="AS164" s="236">
        <f t="shared" si="105"/>
        <v>12095823.388570324</v>
      </c>
      <c r="AT164" s="236">
        <f t="shared" si="105"/>
        <v>12095823.388570324</v>
      </c>
      <c r="AU164" s="236">
        <f t="shared" si="105"/>
        <v>12095823.388570324</v>
      </c>
      <c r="AV164" s="236">
        <f t="shared" si="105"/>
        <v>12095823.388570324</v>
      </c>
      <c r="AW164" s="226">
        <v>12056385.529420786</v>
      </c>
      <c r="AX164" s="226">
        <f t="shared" si="98"/>
        <v>12056385.529420786</v>
      </c>
      <c r="AY164" s="226">
        <f t="shared" si="98"/>
        <v>12056385.529420786</v>
      </c>
      <c r="AZ164" s="226">
        <f t="shared" si="98"/>
        <v>12056385.529420786</v>
      </c>
      <c r="BA164" s="226">
        <f t="shared" si="98"/>
        <v>12056385.529420786</v>
      </c>
      <c r="BB164" s="226">
        <f t="shared" si="98"/>
        <v>12056385.529420786</v>
      </c>
      <c r="BC164" s="224">
        <v>12028547.040609347</v>
      </c>
      <c r="BD164" s="224">
        <f t="shared" si="99"/>
        <v>12028547.040609347</v>
      </c>
      <c r="BE164" s="224">
        <f t="shared" si="99"/>
        <v>12028547.040609347</v>
      </c>
      <c r="BF164" s="224">
        <f t="shared" si="99"/>
        <v>12028547.040609347</v>
      </c>
      <c r="BG164" s="224">
        <f t="shared" si="99"/>
        <v>12028547.040609347</v>
      </c>
      <c r="BH164" s="224">
        <f t="shared" si="99"/>
        <v>12028547.040609347</v>
      </c>
      <c r="BI164" s="224">
        <f t="shared" si="99"/>
        <v>12028547.040609347</v>
      </c>
      <c r="BJ164" s="224">
        <f t="shared" si="99"/>
        <v>12028547.040609347</v>
      </c>
      <c r="BK164" s="224">
        <f t="shared" si="99"/>
        <v>12028547.040609347</v>
      </c>
      <c r="BL164" s="224">
        <f t="shared" si="99"/>
        <v>12028547.040609347</v>
      </c>
      <c r="BM164" s="224">
        <f t="shared" si="99"/>
        <v>12028547.040609347</v>
      </c>
      <c r="BN164" s="224">
        <f t="shared" si="99"/>
        <v>12028547.040609347</v>
      </c>
      <c r="BO164" s="224">
        <f t="shared" si="99"/>
        <v>12028547.040609347</v>
      </c>
    </row>
    <row r="165" spans="1:67">
      <c r="A165" s="223" t="s">
        <v>30</v>
      </c>
      <c r="B165" s="230" t="s">
        <v>16</v>
      </c>
      <c r="C165" s="223">
        <v>163</v>
      </c>
      <c r="D165" s="234"/>
      <c r="E165" s="225">
        <f t="shared" si="104"/>
        <v>0</v>
      </c>
      <c r="F165" s="225">
        <f t="shared" si="104"/>
        <v>0</v>
      </c>
      <c r="G165" s="225">
        <f t="shared" si="104"/>
        <v>0</v>
      </c>
      <c r="H165" s="225">
        <f t="shared" si="104"/>
        <v>0</v>
      </c>
      <c r="I165" s="225">
        <f t="shared" si="104"/>
        <v>0</v>
      </c>
      <c r="J165" s="225">
        <f t="shared" si="104"/>
        <v>0</v>
      </c>
      <c r="K165" s="237"/>
      <c r="L165" s="237">
        <f t="shared" si="104"/>
        <v>0</v>
      </c>
      <c r="M165" s="237">
        <f t="shared" si="104"/>
        <v>0</v>
      </c>
      <c r="N165" s="237">
        <f t="shared" si="104"/>
        <v>0</v>
      </c>
      <c r="O165" s="237">
        <f t="shared" si="104"/>
        <v>0</v>
      </c>
      <c r="P165" s="237">
        <f t="shared" si="104"/>
        <v>0</v>
      </c>
      <c r="Q165" s="237">
        <f t="shared" si="104"/>
        <v>0</v>
      </c>
      <c r="R165" s="237">
        <f t="shared" si="104"/>
        <v>0</v>
      </c>
      <c r="S165" s="237">
        <f t="shared" si="104"/>
        <v>0</v>
      </c>
      <c r="T165" s="224"/>
      <c r="U165" s="224">
        <f t="shared" si="95"/>
        <v>0</v>
      </c>
      <c r="V165" s="224">
        <f t="shared" si="95"/>
        <v>0</v>
      </c>
      <c r="W165" s="224">
        <f t="shared" si="95"/>
        <v>0</v>
      </c>
      <c r="X165" s="226"/>
      <c r="Y165" s="226">
        <f t="shared" si="96"/>
        <v>0</v>
      </c>
      <c r="Z165" s="226">
        <f t="shared" si="96"/>
        <v>0</v>
      </c>
      <c r="AA165" s="234"/>
      <c r="AB165" s="234"/>
      <c r="AC165" s="234"/>
      <c r="AD165" s="224">
        <f t="shared" si="92"/>
        <v>0</v>
      </c>
      <c r="AE165" s="234"/>
      <c r="AF165" s="234"/>
      <c r="AG165" s="224">
        <f t="shared" si="93"/>
        <v>0</v>
      </c>
      <c r="AH165" s="226"/>
      <c r="AI165" s="226">
        <f t="shared" si="97"/>
        <v>0</v>
      </c>
      <c r="AJ165" s="226">
        <f t="shared" si="97"/>
        <v>0</v>
      </c>
      <c r="AK165" s="226">
        <f t="shared" si="97"/>
        <v>0</v>
      </c>
      <c r="AL165" s="226">
        <f t="shared" si="97"/>
        <v>0</v>
      </c>
      <c r="AM165" s="226">
        <f t="shared" si="97"/>
        <v>0</v>
      </c>
      <c r="AN165" s="235"/>
      <c r="AO165" s="235">
        <f t="shared" si="105"/>
        <v>0</v>
      </c>
      <c r="AP165" s="235">
        <f t="shared" si="105"/>
        <v>0</v>
      </c>
      <c r="AQ165" s="236">
        <f t="shared" si="105"/>
        <v>0</v>
      </c>
      <c r="AR165" s="236">
        <f t="shared" si="105"/>
        <v>0</v>
      </c>
      <c r="AS165" s="236">
        <f t="shared" si="105"/>
        <v>0</v>
      </c>
      <c r="AT165" s="236">
        <f t="shared" si="105"/>
        <v>0</v>
      </c>
      <c r="AU165" s="236">
        <f t="shared" si="105"/>
        <v>0</v>
      </c>
      <c r="AV165" s="236">
        <f t="shared" si="105"/>
        <v>0</v>
      </c>
      <c r="AW165" s="226"/>
      <c r="AX165" s="226">
        <f t="shared" si="98"/>
        <v>0</v>
      </c>
      <c r="AY165" s="226">
        <f t="shared" si="98"/>
        <v>0</v>
      </c>
      <c r="AZ165" s="226">
        <f t="shared" si="98"/>
        <v>0</v>
      </c>
      <c r="BA165" s="226">
        <f t="shared" si="98"/>
        <v>0</v>
      </c>
      <c r="BB165" s="226">
        <f t="shared" si="98"/>
        <v>0</v>
      </c>
      <c r="BC165" s="224"/>
      <c r="BD165" s="224">
        <f t="shared" si="99"/>
        <v>0</v>
      </c>
      <c r="BE165" s="224">
        <f t="shared" si="99"/>
        <v>0</v>
      </c>
      <c r="BF165" s="224">
        <f t="shared" si="99"/>
        <v>0</v>
      </c>
      <c r="BG165" s="224">
        <f t="shared" si="99"/>
        <v>0</v>
      </c>
      <c r="BH165" s="224">
        <f t="shared" si="99"/>
        <v>0</v>
      </c>
      <c r="BI165" s="224">
        <f t="shared" si="99"/>
        <v>0</v>
      </c>
      <c r="BJ165" s="224">
        <f t="shared" si="99"/>
        <v>0</v>
      </c>
      <c r="BK165" s="224">
        <f t="shared" si="99"/>
        <v>0</v>
      </c>
      <c r="BL165" s="224">
        <f t="shared" si="99"/>
        <v>0</v>
      </c>
      <c r="BM165" s="224">
        <f t="shared" si="99"/>
        <v>0</v>
      </c>
      <c r="BN165" s="224">
        <f t="shared" si="99"/>
        <v>0</v>
      </c>
      <c r="BO165" s="224">
        <f t="shared" si="99"/>
        <v>0</v>
      </c>
    </row>
    <row r="166" spans="1:67">
      <c r="A166" s="223">
        <v>1</v>
      </c>
      <c r="B166" s="151" t="s">
        <v>213</v>
      </c>
      <c r="C166" s="223">
        <v>164</v>
      </c>
      <c r="D166" s="224">
        <v>3534206.0940848598</v>
      </c>
      <c r="E166" s="225">
        <f t="shared" si="104"/>
        <v>3534206.0940848598</v>
      </c>
      <c r="F166" s="225">
        <f t="shared" si="104"/>
        <v>3534206.0940848598</v>
      </c>
      <c r="G166" s="225">
        <f t="shared" si="104"/>
        <v>3534206.0940848598</v>
      </c>
      <c r="H166" s="225">
        <f t="shared" si="104"/>
        <v>3534206.0940848598</v>
      </c>
      <c r="I166" s="225">
        <f t="shared" si="104"/>
        <v>3534206.0940848598</v>
      </c>
      <c r="J166" s="225">
        <f t="shared" si="104"/>
        <v>3534206.0940848598</v>
      </c>
      <c r="K166" s="237">
        <f t="shared" si="104"/>
        <v>3534206.0940848598</v>
      </c>
      <c r="L166" s="237">
        <f t="shared" si="104"/>
        <v>3534206.0940848598</v>
      </c>
      <c r="M166" s="237">
        <f t="shared" si="104"/>
        <v>3534206.0940848598</v>
      </c>
      <c r="N166" s="237">
        <f t="shared" si="104"/>
        <v>3534206.0940848598</v>
      </c>
      <c r="O166" s="237">
        <f t="shared" si="104"/>
        <v>3534206.0940848598</v>
      </c>
      <c r="P166" s="237">
        <f t="shared" si="104"/>
        <v>3534206.0940848598</v>
      </c>
      <c r="Q166" s="237">
        <f t="shared" si="104"/>
        <v>3534206.0940848598</v>
      </c>
      <c r="R166" s="237">
        <f t="shared" si="104"/>
        <v>3534206.0940848598</v>
      </c>
      <c r="S166" s="237">
        <f t="shared" si="104"/>
        <v>3534206.0940848598</v>
      </c>
      <c r="T166" s="224">
        <v>3534206.0940848598</v>
      </c>
      <c r="U166" s="224">
        <f t="shared" si="95"/>
        <v>3534206.0940848598</v>
      </c>
      <c r="V166" s="224">
        <f t="shared" si="95"/>
        <v>3534206.0940848598</v>
      </c>
      <c r="W166" s="224">
        <f t="shared" si="95"/>
        <v>3534206.0940848598</v>
      </c>
      <c r="X166" s="226">
        <v>3534206.0940848598</v>
      </c>
      <c r="Y166" s="226">
        <f t="shared" si="96"/>
        <v>3534206.0940848598</v>
      </c>
      <c r="Z166" s="226">
        <f t="shared" si="96"/>
        <v>3534206.0940848598</v>
      </c>
      <c r="AA166" s="224">
        <v>3534206.0940848598</v>
      </c>
      <c r="AB166" s="224">
        <v>3534206.0940848598</v>
      </c>
      <c r="AC166" s="224">
        <v>3534206.0940848598</v>
      </c>
      <c r="AD166" s="224">
        <f t="shared" si="92"/>
        <v>3534206.0940848598</v>
      </c>
      <c r="AE166" s="224">
        <v>3534206.0940848598</v>
      </c>
      <c r="AF166" s="224">
        <v>3534206.0940848598</v>
      </c>
      <c r="AG166" s="224">
        <f t="shared" si="93"/>
        <v>3534206.0940848598</v>
      </c>
      <c r="AH166" s="226">
        <v>3553973.1098473403</v>
      </c>
      <c r="AI166" s="226">
        <f t="shared" si="97"/>
        <v>3553973.1098473403</v>
      </c>
      <c r="AJ166" s="226">
        <f t="shared" si="97"/>
        <v>3553973.1098473403</v>
      </c>
      <c r="AK166" s="226">
        <f t="shared" si="97"/>
        <v>3553973.1098473403</v>
      </c>
      <c r="AL166" s="226">
        <f t="shared" si="97"/>
        <v>3553973.1098473403</v>
      </c>
      <c r="AM166" s="226">
        <f t="shared" si="97"/>
        <v>3553973.1098473403</v>
      </c>
      <c r="AN166" s="235">
        <v>3553973.1098473403</v>
      </c>
      <c r="AO166" s="235">
        <f t="shared" si="105"/>
        <v>3553973.1098473403</v>
      </c>
      <c r="AP166" s="235">
        <f t="shared" si="105"/>
        <v>3553973.1098473403</v>
      </c>
      <c r="AQ166" s="236">
        <f t="shared" si="105"/>
        <v>3553973.1098473403</v>
      </c>
      <c r="AR166" s="236">
        <f t="shared" si="105"/>
        <v>3553973.1098473403</v>
      </c>
      <c r="AS166" s="236">
        <f t="shared" si="105"/>
        <v>3553973.1098473403</v>
      </c>
      <c r="AT166" s="236">
        <f t="shared" si="105"/>
        <v>3553973.1098473403</v>
      </c>
      <c r="AU166" s="236">
        <f t="shared" si="105"/>
        <v>3553973.1098473403</v>
      </c>
      <c r="AV166" s="236">
        <f t="shared" si="105"/>
        <v>3553973.1098473403</v>
      </c>
      <c r="AW166" s="226">
        <v>3542385.5488831275</v>
      </c>
      <c r="AX166" s="226">
        <f t="shared" si="98"/>
        <v>3542385.5488831275</v>
      </c>
      <c r="AY166" s="226">
        <f t="shared" si="98"/>
        <v>3542385.5488831275</v>
      </c>
      <c r="AZ166" s="226">
        <f t="shared" si="98"/>
        <v>3542385.5488831275</v>
      </c>
      <c r="BA166" s="226">
        <f t="shared" si="98"/>
        <v>3542385.5488831275</v>
      </c>
      <c r="BB166" s="226">
        <f t="shared" si="98"/>
        <v>3542385.5488831275</v>
      </c>
      <c r="BC166" s="224">
        <v>3534206.0940848598</v>
      </c>
      <c r="BD166" s="224">
        <f t="shared" si="99"/>
        <v>3534206.0940848598</v>
      </c>
      <c r="BE166" s="224">
        <f t="shared" si="99"/>
        <v>3534206.0940848598</v>
      </c>
      <c r="BF166" s="224">
        <f t="shared" si="99"/>
        <v>3534206.0940848598</v>
      </c>
      <c r="BG166" s="224">
        <f t="shared" si="99"/>
        <v>3534206.0940848598</v>
      </c>
      <c r="BH166" s="224">
        <f t="shared" si="99"/>
        <v>3534206.0940848598</v>
      </c>
      <c r="BI166" s="224">
        <f t="shared" si="99"/>
        <v>3534206.0940848598</v>
      </c>
      <c r="BJ166" s="224">
        <f t="shared" si="99"/>
        <v>3534206.0940848598</v>
      </c>
      <c r="BK166" s="224">
        <f t="shared" si="99"/>
        <v>3534206.0940848598</v>
      </c>
      <c r="BL166" s="224">
        <f t="shared" si="99"/>
        <v>3534206.0940848598</v>
      </c>
      <c r="BM166" s="224">
        <f t="shared" si="99"/>
        <v>3534206.0940848598</v>
      </c>
      <c r="BN166" s="224">
        <f t="shared" si="99"/>
        <v>3534206.0940848598</v>
      </c>
      <c r="BO166" s="224">
        <f t="shared" si="99"/>
        <v>3534206.0940848598</v>
      </c>
    </row>
    <row r="167" spans="1:67">
      <c r="A167" s="223">
        <f>A166+1</f>
        <v>2</v>
      </c>
      <c r="B167" s="151" t="s">
        <v>214</v>
      </c>
      <c r="C167" s="223">
        <v>165</v>
      </c>
      <c r="D167" s="224">
        <v>3534206.0940848598</v>
      </c>
      <c r="E167" s="225">
        <f t="shared" si="104"/>
        <v>3534206.0940848598</v>
      </c>
      <c r="F167" s="225">
        <f t="shared" si="104"/>
        <v>3534206.0940848598</v>
      </c>
      <c r="G167" s="225">
        <f t="shared" si="104"/>
        <v>3534206.0940848598</v>
      </c>
      <c r="H167" s="225">
        <f t="shared" si="104"/>
        <v>3534206.0940848598</v>
      </c>
      <c r="I167" s="225">
        <f t="shared" si="104"/>
        <v>3534206.0940848598</v>
      </c>
      <c r="J167" s="225">
        <f t="shared" si="104"/>
        <v>3534206.0940848598</v>
      </c>
      <c r="K167" s="237">
        <f t="shared" si="104"/>
        <v>3534206.0940848598</v>
      </c>
      <c r="L167" s="237">
        <f t="shared" si="104"/>
        <v>3534206.0940848598</v>
      </c>
      <c r="M167" s="237">
        <f t="shared" si="104"/>
        <v>3534206.0940848598</v>
      </c>
      <c r="N167" s="237">
        <f t="shared" si="104"/>
        <v>3534206.0940848598</v>
      </c>
      <c r="O167" s="237">
        <f t="shared" si="104"/>
        <v>3534206.0940848598</v>
      </c>
      <c r="P167" s="237">
        <f t="shared" si="104"/>
        <v>3534206.0940848598</v>
      </c>
      <c r="Q167" s="237">
        <f t="shared" si="104"/>
        <v>3534206.0940848598</v>
      </c>
      <c r="R167" s="237">
        <f t="shared" si="104"/>
        <v>3534206.0940848598</v>
      </c>
      <c r="S167" s="237">
        <f t="shared" si="104"/>
        <v>3534206.0940848598</v>
      </c>
      <c r="T167" s="224">
        <v>3534206.0940848598</v>
      </c>
      <c r="U167" s="224">
        <f t="shared" si="95"/>
        <v>3534206.0940848598</v>
      </c>
      <c r="V167" s="224">
        <f t="shared" si="95"/>
        <v>3534206.0940848598</v>
      </c>
      <c r="W167" s="224">
        <f t="shared" si="95"/>
        <v>3534206.0940848598</v>
      </c>
      <c r="X167" s="226">
        <v>3534206.0940848598</v>
      </c>
      <c r="Y167" s="226">
        <f t="shared" si="96"/>
        <v>3534206.0940848598</v>
      </c>
      <c r="Z167" s="226">
        <f t="shared" si="96"/>
        <v>3534206.0940848598</v>
      </c>
      <c r="AA167" s="224">
        <v>3534206.0940848598</v>
      </c>
      <c r="AB167" s="224">
        <v>3534206.0940848598</v>
      </c>
      <c r="AC167" s="224">
        <v>3534206.0940848598</v>
      </c>
      <c r="AD167" s="224">
        <f t="shared" si="92"/>
        <v>3534206.0940848598</v>
      </c>
      <c r="AE167" s="224">
        <v>3534206.0940848598</v>
      </c>
      <c r="AF167" s="224">
        <v>3534206.0940848598</v>
      </c>
      <c r="AG167" s="224">
        <f t="shared" si="93"/>
        <v>3534206.0940848598</v>
      </c>
      <c r="AH167" s="226">
        <v>3553973.1098473403</v>
      </c>
      <c r="AI167" s="226">
        <f t="shared" si="97"/>
        <v>3553973.1098473403</v>
      </c>
      <c r="AJ167" s="226">
        <f t="shared" si="97"/>
        <v>3553973.1098473403</v>
      </c>
      <c r="AK167" s="226">
        <f t="shared" si="97"/>
        <v>3553973.1098473403</v>
      </c>
      <c r="AL167" s="226">
        <f t="shared" si="97"/>
        <v>3553973.1098473403</v>
      </c>
      <c r="AM167" s="226">
        <f t="shared" si="97"/>
        <v>3553973.1098473403</v>
      </c>
      <c r="AN167" s="235">
        <v>3553973.1098473403</v>
      </c>
      <c r="AO167" s="235">
        <f t="shared" si="105"/>
        <v>3553973.1098473403</v>
      </c>
      <c r="AP167" s="235">
        <f t="shared" si="105"/>
        <v>3553973.1098473403</v>
      </c>
      <c r="AQ167" s="236">
        <f t="shared" si="105"/>
        <v>3553973.1098473403</v>
      </c>
      <c r="AR167" s="236">
        <f t="shared" si="105"/>
        <v>3553973.1098473403</v>
      </c>
      <c r="AS167" s="236">
        <f t="shared" si="105"/>
        <v>3553973.1098473403</v>
      </c>
      <c r="AT167" s="236">
        <f t="shared" si="105"/>
        <v>3553973.1098473403</v>
      </c>
      <c r="AU167" s="236">
        <f t="shared" si="105"/>
        <v>3553973.1098473403</v>
      </c>
      <c r="AV167" s="236">
        <f t="shared" si="105"/>
        <v>3553973.1098473403</v>
      </c>
      <c r="AW167" s="226">
        <v>3542385.5488831275</v>
      </c>
      <c r="AX167" s="226">
        <f t="shared" si="98"/>
        <v>3542385.5488831275</v>
      </c>
      <c r="AY167" s="226">
        <f t="shared" si="98"/>
        <v>3542385.5488831275</v>
      </c>
      <c r="AZ167" s="226">
        <f t="shared" si="98"/>
        <v>3542385.5488831275</v>
      </c>
      <c r="BA167" s="226">
        <f t="shared" si="98"/>
        <v>3542385.5488831275</v>
      </c>
      <c r="BB167" s="226">
        <f t="shared" si="98"/>
        <v>3542385.5488831275</v>
      </c>
      <c r="BC167" s="224">
        <v>3534206.0940848598</v>
      </c>
      <c r="BD167" s="224">
        <f t="shared" si="99"/>
        <v>3534206.0940848598</v>
      </c>
      <c r="BE167" s="224">
        <f t="shared" si="99"/>
        <v>3534206.0940848598</v>
      </c>
      <c r="BF167" s="224">
        <f t="shared" si="99"/>
        <v>3534206.0940848598</v>
      </c>
      <c r="BG167" s="224">
        <f t="shared" si="99"/>
        <v>3534206.0940848598</v>
      </c>
      <c r="BH167" s="224">
        <f t="shared" si="99"/>
        <v>3534206.0940848598</v>
      </c>
      <c r="BI167" s="224">
        <f t="shared" si="99"/>
        <v>3534206.0940848598</v>
      </c>
      <c r="BJ167" s="224">
        <f t="shared" si="99"/>
        <v>3534206.0940848598</v>
      </c>
      <c r="BK167" s="224">
        <f t="shared" si="99"/>
        <v>3534206.0940848598</v>
      </c>
      <c r="BL167" s="224">
        <f t="shared" si="99"/>
        <v>3534206.0940848598</v>
      </c>
      <c r="BM167" s="224">
        <f t="shared" si="99"/>
        <v>3534206.0940848598</v>
      </c>
      <c r="BN167" s="224">
        <f t="shared" si="99"/>
        <v>3534206.0940848598</v>
      </c>
      <c r="BO167" s="224">
        <f t="shared" si="99"/>
        <v>3534206.0940848598</v>
      </c>
    </row>
    <row r="168" spans="1:67">
      <c r="A168" s="223">
        <f>A167+1</f>
        <v>3</v>
      </c>
      <c r="B168" s="151" t="s">
        <v>165</v>
      </c>
      <c r="C168" s="223">
        <v>166</v>
      </c>
      <c r="D168" s="224">
        <v>3507583.2596169864</v>
      </c>
      <c r="E168" s="225">
        <f t="shared" si="104"/>
        <v>3507583.2596169864</v>
      </c>
      <c r="F168" s="225">
        <f t="shared" si="104"/>
        <v>3507583.2596169864</v>
      </c>
      <c r="G168" s="225">
        <f t="shared" si="104"/>
        <v>3507583.2596169864</v>
      </c>
      <c r="H168" s="225">
        <f t="shared" si="104"/>
        <v>3507583.2596169864</v>
      </c>
      <c r="I168" s="225">
        <f t="shared" si="104"/>
        <v>3507583.2596169864</v>
      </c>
      <c r="J168" s="225">
        <f t="shared" si="104"/>
        <v>3507583.2596169864</v>
      </c>
      <c r="K168" s="237">
        <f t="shared" si="104"/>
        <v>3507583.2596169864</v>
      </c>
      <c r="L168" s="237">
        <f t="shared" si="104"/>
        <v>3507583.2596169864</v>
      </c>
      <c r="M168" s="237">
        <f t="shared" si="104"/>
        <v>3507583.2596169864</v>
      </c>
      <c r="N168" s="237">
        <f t="shared" si="104"/>
        <v>3507583.2596169864</v>
      </c>
      <c r="O168" s="237">
        <f t="shared" si="104"/>
        <v>3507583.2596169864</v>
      </c>
      <c r="P168" s="237">
        <f t="shared" si="104"/>
        <v>3507583.2596169864</v>
      </c>
      <c r="Q168" s="237">
        <f t="shared" si="104"/>
        <v>3507583.2596169864</v>
      </c>
      <c r="R168" s="237">
        <f t="shared" si="104"/>
        <v>3507583.2596169864</v>
      </c>
      <c r="S168" s="237">
        <f t="shared" si="104"/>
        <v>3507583.2596169864</v>
      </c>
      <c r="T168" s="224">
        <v>3507583.2596169864</v>
      </c>
      <c r="U168" s="224">
        <f t="shared" si="95"/>
        <v>3507583.2596169864</v>
      </c>
      <c r="V168" s="224">
        <f t="shared" si="95"/>
        <v>3507583.2596169864</v>
      </c>
      <c r="W168" s="224">
        <f t="shared" si="95"/>
        <v>3507583.2596169864</v>
      </c>
      <c r="X168" s="226">
        <v>3507583.2596169864</v>
      </c>
      <c r="Y168" s="226">
        <f t="shared" si="96"/>
        <v>3507583.2596169864</v>
      </c>
      <c r="Z168" s="226">
        <f t="shared" si="96"/>
        <v>3507583.2596169864</v>
      </c>
      <c r="AA168" s="224">
        <v>3507583.2596169864</v>
      </c>
      <c r="AB168" s="224">
        <v>3507583.2596169864</v>
      </c>
      <c r="AC168" s="224">
        <v>3507583.2596169864</v>
      </c>
      <c r="AD168" s="224">
        <f t="shared" si="92"/>
        <v>3507583.2596169864</v>
      </c>
      <c r="AE168" s="224">
        <v>3507583.2596169864</v>
      </c>
      <c r="AF168" s="224">
        <v>3507583.2596169864</v>
      </c>
      <c r="AG168" s="224">
        <f t="shared" si="93"/>
        <v>3507583.2596169864</v>
      </c>
      <c r="AH168" s="226">
        <v>3527201.372351585</v>
      </c>
      <c r="AI168" s="226">
        <f t="shared" si="97"/>
        <v>3527201.372351585</v>
      </c>
      <c r="AJ168" s="226">
        <f t="shared" si="97"/>
        <v>3527201.372351585</v>
      </c>
      <c r="AK168" s="226">
        <f t="shared" si="97"/>
        <v>3527201.372351585</v>
      </c>
      <c r="AL168" s="226">
        <f t="shared" si="97"/>
        <v>3527201.372351585</v>
      </c>
      <c r="AM168" s="226">
        <f t="shared" si="97"/>
        <v>3527201.372351585</v>
      </c>
      <c r="AN168" s="235">
        <v>3527201.372351585</v>
      </c>
      <c r="AO168" s="235">
        <f t="shared" si="105"/>
        <v>3527201.372351585</v>
      </c>
      <c r="AP168" s="235">
        <f t="shared" si="105"/>
        <v>3527201.372351585</v>
      </c>
      <c r="AQ168" s="236">
        <f t="shared" si="105"/>
        <v>3527201.372351585</v>
      </c>
      <c r="AR168" s="236">
        <f t="shared" si="105"/>
        <v>3527201.372351585</v>
      </c>
      <c r="AS168" s="236">
        <f t="shared" si="105"/>
        <v>3527201.372351585</v>
      </c>
      <c r="AT168" s="236">
        <f t="shared" si="105"/>
        <v>3527201.372351585</v>
      </c>
      <c r="AU168" s="236">
        <f t="shared" si="105"/>
        <v>3527201.372351585</v>
      </c>
      <c r="AV168" s="236">
        <f t="shared" si="105"/>
        <v>3527201.372351585</v>
      </c>
      <c r="AW168" s="226">
        <v>3515701.0993692339</v>
      </c>
      <c r="AX168" s="226">
        <f t="shared" si="98"/>
        <v>3515701.0993692339</v>
      </c>
      <c r="AY168" s="226">
        <f t="shared" si="98"/>
        <v>3515701.0993692339</v>
      </c>
      <c r="AZ168" s="226">
        <f t="shared" si="98"/>
        <v>3515701.0993692339</v>
      </c>
      <c r="BA168" s="226">
        <f t="shared" si="98"/>
        <v>3515701.0993692339</v>
      </c>
      <c r="BB168" s="226">
        <f t="shared" si="98"/>
        <v>3515701.0993692339</v>
      </c>
      <c r="BC168" s="224">
        <v>3507583.2596169864</v>
      </c>
      <c r="BD168" s="224">
        <f t="shared" si="99"/>
        <v>3507583.2596169864</v>
      </c>
      <c r="BE168" s="224">
        <f t="shared" si="99"/>
        <v>3507583.2596169864</v>
      </c>
      <c r="BF168" s="224">
        <f t="shared" si="99"/>
        <v>3507583.2596169864</v>
      </c>
      <c r="BG168" s="224">
        <f t="shared" si="99"/>
        <v>3507583.2596169864</v>
      </c>
      <c r="BH168" s="224">
        <f t="shared" si="99"/>
        <v>3507583.2596169864</v>
      </c>
      <c r="BI168" s="224">
        <f t="shared" si="99"/>
        <v>3507583.2596169864</v>
      </c>
      <c r="BJ168" s="224">
        <f t="shared" si="99"/>
        <v>3507583.2596169864</v>
      </c>
      <c r="BK168" s="224">
        <f t="shared" si="99"/>
        <v>3507583.2596169864</v>
      </c>
      <c r="BL168" s="224">
        <f t="shared" si="99"/>
        <v>3507583.2596169864</v>
      </c>
      <c r="BM168" s="224">
        <f t="shared" si="99"/>
        <v>3507583.2596169864</v>
      </c>
      <c r="BN168" s="224">
        <f t="shared" si="99"/>
        <v>3507583.2596169864</v>
      </c>
      <c r="BO168" s="224">
        <f t="shared" si="99"/>
        <v>3507583.2596169864</v>
      </c>
    </row>
    <row r="169" spans="1:67">
      <c r="A169" s="223">
        <f>A168+1</f>
        <v>4</v>
      </c>
      <c r="B169" s="151" t="s">
        <v>170</v>
      </c>
      <c r="C169" s="223">
        <v>167</v>
      </c>
      <c r="D169" s="224">
        <v>4125143.9599312064</v>
      </c>
      <c r="E169" s="225">
        <f t="shared" si="104"/>
        <v>4125143.9599312064</v>
      </c>
      <c r="F169" s="225">
        <f t="shared" si="104"/>
        <v>4125143.9599312064</v>
      </c>
      <c r="G169" s="225">
        <f t="shared" si="104"/>
        <v>4125143.9599312064</v>
      </c>
      <c r="H169" s="225">
        <f t="shared" si="104"/>
        <v>4125143.9599312064</v>
      </c>
      <c r="I169" s="225">
        <f t="shared" si="104"/>
        <v>4125143.9599312064</v>
      </c>
      <c r="J169" s="225">
        <f t="shared" si="104"/>
        <v>4125143.9599312064</v>
      </c>
      <c r="K169" s="237">
        <f t="shared" si="104"/>
        <v>4125143.9599312064</v>
      </c>
      <c r="L169" s="237">
        <f t="shared" si="104"/>
        <v>4125143.9599312064</v>
      </c>
      <c r="M169" s="237">
        <f t="shared" si="104"/>
        <v>4125143.9599312064</v>
      </c>
      <c r="N169" s="237">
        <f t="shared" si="104"/>
        <v>4125143.9599312064</v>
      </c>
      <c r="O169" s="237">
        <f t="shared" si="104"/>
        <v>4125143.9599312064</v>
      </c>
      <c r="P169" s="237">
        <f t="shared" si="104"/>
        <v>4125143.9599312064</v>
      </c>
      <c r="Q169" s="237">
        <f t="shared" si="104"/>
        <v>4125143.9599312064</v>
      </c>
      <c r="R169" s="237">
        <f t="shared" si="104"/>
        <v>4125143.9599312064</v>
      </c>
      <c r="S169" s="237">
        <f t="shared" si="104"/>
        <v>4125143.9599312064</v>
      </c>
      <c r="T169" s="224">
        <v>4125143.9599312064</v>
      </c>
      <c r="U169" s="224">
        <f t="shared" si="95"/>
        <v>4125143.9599312064</v>
      </c>
      <c r="V169" s="224">
        <f t="shared" si="95"/>
        <v>4125143.9599312064</v>
      </c>
      <c r="W169" s="224">
        <f t="shared" si="95"/>
        <v>4125143.9599312064</v>
      </c>
      <c r="X169" s="226">
        <v>4125143.9599312064</v>
      </c>
      <c r="Y169" s="226">
        <f t="shared" si="96"/>
        <v>4125143.9599312064</v>
      </c>
      <c r="Z169" s="226">
        <f t="shared" si="96"/>
        <v>4125143.9599312064</v>
      </c>
      <c r="AA169" s="224">
        <v>4125143.9599312064</v>
      </c>
      <c r="AB169" s="224">
        <v>4125143.9599312064</v>
      </c>
      <c r="AC169" s="224">
        <v>4125143.9599312064</v>
      </c>
      <c r="AD169" s="224">
        <f t="shared" si="92"/>
        <v>4125143.9599312064</v>
      </c>
      <c r="AE169" s="224">
        <v>4125143.9599312064</v>
      </c>
      <c r="AF169" s="224">
        <v>4125143.9599312064</v>
      </c>
      <c r="AG169" s="224">
        <f t="shared" si="93"/>
        <v>4125143.9599312064</v>
      </c>
      <c r="AH169" s="226">
        <v>4148216.12479871</v>
      </c>
      <c r="AI169" s="226">
        <f t="shared" si="97"/>
        <v>4148216.12479871</v>
      </c>
      <c r="AJ169" s="226">
        <f t="shared" si="97"/>
        <v>4148216.12479871</v>
      </c>
      <c r="AK169" s="226">
        <f t="shared" si="97"/>
        <v>4148216.12479871</v>
      </c>
      <c r="AL169" s="226">
        <f t="shared" si="97"/>
        <v>4148216.12479871</v>
      </c>
      <c r="AM169" s="226">
        <f t="shared" si="97"/>
        <v>4148216.12479871</v>
      </c>
      <c r="AN169" s="235">
        <v>4148216.12479871</v>
      </c>
      <c r="AO169" s="235">
        <f t="shared" si="105"/>
        <v>4148216.12479871</v>
      </c>
      <c r="AP169" s="235">
        <f t="shared" si="105"/>
        <v>4148216.12479871</v>
      </c>
      <c r="AQ169" s="236">
        <f t="shared" si="105"/>
        <v>4148216.12479871</v>
      </c>
      <c r="AR169" s="236">
        <f t="shared" si="105"/>
        <v>4148216.12479871</v>
      </c>
      <c r="AS169" s="236">
        <f t="shared" si="105"/>
        <v>4148216.12479871</v>
      </c>
      <c r="AT169" s="236">
        <f t="shared" si="105"/>
        <v>4148216.12479871</v>
      </c>
      <c r="AU169" s="236">
        <f t="shared" si="105"/>
        <v>4148216.12479871</v>
      </c>
      <c r="AV169" s="236">
        <f t="shared" si="105"/>
        <v>4148216.12479871</v>
      </c>
      <c r="AW169" s="226">
        <v>4134691.0626350013</v>
      </c>
      <c r="AX169" s="226">
        <f t="shared" si="98"/>
        <v>4134691.0626350013</v>
      </c>
      <c r="AY169" s="226">
        <f t="shared" si="98"/>
        <v>4134691.0626350013</v>
      </c>
      <c r="AZ169" s="226">
        <f t="shared" si="98"/>
        <v>4134691.0626350013</v>
      </c>
      <c r="BA169" s="226">
        <f t="shared" si="98"/>
        <v>4134691.0626350013</v>
      </c>
      <c r="BB169" s="226">
        <f t="shared" si="98"/>
        <v>4134691.0626350013</v>
      </c>
      <c r="BC169" s="224">
        <v>4125143.9599312064</v>
      </c>
      <c r="BD169" s="224">
        <f t="shared" si="99"/>
        <v>4125143.9599312064</v>
      </c>
      <c r="BE169" s="224">
        <f t="shared" si="99"/>
        <v>4125143.9599312064</v>
      </c>
      <c r="BF169" s="224">
        <f t="shared" si="99"/>
        <v>4125143.9599312064</v>
      </c>
      <c r="BG169" s="224">
        <f t="shared" si="99"/>
        <v>4125143.9599312064</v>
      </c>
      <c r="BH169" s="224">
        <f t="shared" si="99"/>
        <v>4125143.9599312064</v>
      </c>
      <c r="BI169" s="224">
        <f t="shared" si="99"/>
        <v>4125143.9599312064</v>
      </c>
      <c r="BJ169" s="224">
        <f t="shared" si="99"/>
        <v>4125143.9599312064</v>
      </c>
      <c r="BK169" s="224">
        <f t="shared" si="99"/>
        <v>4125143.9599312064</v>
      </c>
      <c r="BL169" s="224">
        <f t="shared" si="99"/>
        <v>4125143.9599312064</v>
      </c>
      <c r="BM169" s="224">
        <f t="shared" si="99"/>
        <v>4125143.9599312064</v>
      </c>
      <c r="BN169" s="224">
        <f t="shared" si="99"/>
        <v>4125143.9599312064</v>
      </c>
      <c r="BO169" s="224">
        <f t="shared" si="99"/>
        <v>4125143.9599312064</v>
      </c>
    </row>
    <row r="170" spans="1:67">
      <c r="A170" s="223">
        <f>A169+1</f>
        <v>5</v>
      </c>
      <c r="B170" s="228" t="s">
        <v>171</v>
      </c>
      <c r="C170" s="223">
        <v>168</v>
      </c>
      <c r="D170" s="224">
        <v>4096410.2329026978</v>
      </c>
      <c r="E170" s="225">
        <f t="shared" si="104"/>
        <v>4096410.2329026978</v>
      </c>
      <c r="F170" s="225">
        <f t="shared" si="104"/>
        <v>4096410.2329026978</v>
      </c>
      <c r="G170" s="225">
        <f t="shared" si="104"/>
        <v>4096410.2329026978</v>
      </c>
      <c r="H170" s="225">
        <f t="shared" si="104"/>
        <v>4096410.2329026978</v>
      </c>
      <c r="I170" s="225">
        <f t="shared" si="104"/>
        <v>4096410.2329026978</v>
      </c>
      <c r="J170" s="225">
        <f t="shared" si="104"/>
        <v>4096410.2329026978</v>
      </c>
      <c r="K170" s="237">
        <f t="shared" si="104"/>
        <v>4096410.2329026978</v>
      </c>
      <c r="L170" s="237">
        <f t="shared" si="104"/>
        <v>4096410.2329026978</v>
      </c>
      <c r="M170" s="237">
        <f t="shared" si="104"/>
        <v>4096410.2329026978</v>
      </c>
      <c r="N170" s="237">
        <f t="shared" si="104"/>
        <v>4096410.2329026978</v>
      </c>
      <c r="O170" s="237">
        <f t="shared" si="104"/>
        <v>4096410.2329026978</v>
      </c>
      <c r="P170" s="237">
        <f t="shared" si="104"/>
        <v>4096410.2329026978</v>
      </c>
      <c r="Q170" s="237">
        <f t="shared" si="104"/>
        <v>4096410.2329026978</v>
      </c>
      <c r="R170" s="237">
        <f t="shared" si="104"/>
        <v>4096410.2329026978</v>
      </c>
      <c r="S170" s="237">
        <f t="shared" si="104"/>
        <v>4096410.2329026978</v>
      </c>
      <c r="T170" s="224">
        <v>4096410.2329026978</v>
      </c>
      <c r="U170" s="224">
        <f t="shared" si="95"/>
        <v>4096410.2329026978</v>
      </c>
      <c r="V170" s="224">
        <f t="shared" si="95"/>
        <v>4096410.2329026978</v>
      </c>
      <c r="W170" s="224">
        <f t="shared" si="95"/>
        <v>4096410.2329026978</v>
      </c>
      <c r="X170" s="226">
        <v>4096410.2329026978</v>
      </c>
      <c r="Y170" s="226">
        <f t="shared" si="96"/>
        <v>4096410.2329026978</v>
      </c>
      <c r="Z170" s="226">
        <f t="shared" si="96"/>
        <v>4096410.2329026978</v>
      </c>
      <c r="AA170" s="224">
        <v>4096410.2329026978</v>
      </c>
      <c r="AB170" s="224">
        <v>4096410.2329026978</v>
      </c>
      <c r="AC170" s="224">
        <v>4096410.2329026978</v>
      </c>
      <c r="AD170" s="224">
        <f t="shared" si="92"/>
        <v>4096410.2329026978</v>
      </c>
      <c r="AE170" s="224">
        <v>4096410.2329026978</v>
      </c>
      <c r="AF170" s="224">
        <v>4096410.2329026978</v>
      </c>
      <c r="AG170" s="224">
        <f t="shared" si="93"/>
        <v>4096410.2329026978</v>
      </c>
      <c r="AH170" s="226">
        <v>4118590.4415706019</v>
      </c>
      <c r="AI170" s="226">
        <f t="shared" si="97"/>
        <v>4118590.4415706019</v>
      </c>
      <c r="AJ170" s="226">
        <f t="shared" si="97"/>
        <v>4118590.4415706019</v>
      </c>
      <c r="AK170" s="226">
        <f t="shared" si="97"/>
        <v>4118590.4415706019</v>
      </c>
      <c r="AL170" s="226">
        <f t="shared" si="97"/>
        <v>4118590.4415706019</v>
      </c>
      <c r="AM170" s="226">
        <f t="shared" si="97"/>
        <v>4118590.4415706019</v>
      </c>
      <c r="AN170" s="235">
        <v>4118590.4415706019</v>
      </c>
      <c r="AO170" s="235">
        <f t="shared" si="105"/>
        <v>4118590.4415706019</v>
      </c>
      <c r="AP170" s="235">
        <f t="shared" si="105"/>
        <v>4118590.4415706019</v>
      </c>
      <c r="AQ170" s="236">
        <f t="shared" si="105"/>
        <v>4118590.4415706019</v>
      </c>
      <c r="AR170" s="236">
        <f t="shared" si="105"/>
        <v>4118590.4415706019</v>
      </c>
      <c r="AS170" s="236">
        <f t="shared" si="105"/>
        <v>4118590.4415706019</v>
      </c>
      <c r="AT170" s="236">
        <f t="shared" si="105"/>
        <v>4118590.4415706019</v>
      </c>
      <c r="AU170" s="236">
        <f t="shared" si="105"/>
        <v>4118590.4415706019</v>
      </c>
      <c r="AV170" s="236">
        <f t="shared" si="105"/>
        <v>4118590.4415706019</v>
      </c>
      <c r="AW170" s="226">
        <v>4105161.9725436168</v>
      </c>
      <c r="AX170" s="226">
        <f t="shared" si="98"/>
        <v>4105161.9725436168</v>
      </c>
      <c r="AY170" s="226">
        <f t="shared" si="98"/>
        <v>4105161.9725436168</v>
      </c>
      <c r="AZ170" s="226">
        <f t="shared" si="98"/>
        <v>4105161.9725436168</v>
      </c>
      <c r="BA170" s="226">
        <f t="shared" si="98"/>
        <v>4105161.9725436168</v>
      </c>
      <c r="BB170" s="226">
        <f t="shared" si="98"/>
        <v>4105161.9725436168</v>
      </c>
      <c r="BC170" s="224">
        <v>4096410.2329026978</v>
      </c>
      <c r="BD170" s="224">
        <f t="shared" si="99"/>
        <v>4096410.2329026978</v>
      </c>
      <c r="BE170" s="224">
        <f t="shared" si="99"/>
        <v>4096410.2329026978</v>
      </c>
      <c r="BF170" s="224">
        <f t="shared" si="99"/>
        <v>4096410.2329026978</v>
      </c>
      <c r="BG170" s="224">
        <f t="shared" si="99"/>
        <v>4096410.2329026978</v>
      </c>
      <c r="BH170" s="224">
        <f t="shared" si="99"/>
        <v>4096410.2329026978</v>
      </c>
      <c r="BI170" s="224">
        <f t="shared" si="99"/>
        <v>4096410.2329026978</v>
      </c>
      <c r="BJ170" s="224">
        <f t="shared" si="99"/>
        <v>4096410.2329026978</v>
      </c>
      <c r="BK170" s="224">
        <f t="shared" si="99"/>
        <v>4096410.2329026978</v>
      </c>
      <c r="BL170" s="224">
        <f t="shared" si="99"/>
        <v>4096410.2329026978</v>
      </c>
      <c r="BM170" s="224">
        <f t="shared" si="99"/>
        <v>4096410.2329026978</v>
      </c>
      <c r="BN170" s="224">
        <f t="shared" si="99"/>
        <v>4096410.2329026978</v>
      </c>
      <c r="BO170" s="224">
        <f t="shared" si="99"/>
        <v>4096410.2329026978</v>
      </c>
    </row>
    <row r="171" spans="1:67">
      <c r="A171" s="223" t="s">
        <v>31</v>
      </c>
      <c r="B171" s="230" t="s">
        <v>201</v>
      </c>
      <c r="C171" s="223">
        <v>169</v>
      </c>
      <c r="D171" s="234"/>
      <c r="E171" s="225">
        <f t="shared" si="104"/>
        <v>0</v>
      </c>
      <c r="F171" s="225">
        <f t="shared" si="104"/>
        <v>0</v>
      </c>
      <c r="G171" s="225">
        <f t="shared" si="104"/>
        <v>0</v>
      </c>
      <c r="H171" s="225">
        <f t="shared" si="104"/>
        <v>0</v>
      </c>
      <c r="I171" s="225">
        <f t="shared" si="104"/>
        <v>0</v>
      </c>
      <c r="J171" s="225">
        <f t="shared" si="104"/>
        <v>0</v>
      </c>
      <c r="K171" s="237"/>
      <c r="L171" s="237">
        <f t="shared" si="104"/>
        <v>0</v>
      </c>
      <c r="M171" s="237">
        <f t="shared" si="104"/>
        <v>0</v>
      </c>
      <c r="N171" s="237">
        <f t="shared" si="104"/>
        <v>0</v>
      </c>
      <c r="O171" s="237">
        <f t="shared" si="104"/>
        <v>0</v>
      </c>
      <c r="P171" s="237">
        <f t="shared" si="104"/>
        <v>0</v>
      </c>
      <c r="Q171" s="237">
        <f t="shared" si="104"/>
        <v>0</v>
      </c>
      <c r="R171" s="237">
        <f t="shared" si="104"/>
        <v>0</v>
      </c>
      <c r="S171" s="237">
        <f t="shared" si="104"/>
        <v>0</v>
      </c>
      <c r="T171" s="224"/>
      <c r="U171" s="224">
        <f t="shared" si="95"/>
        <v>0</v>
      </c>
      <c r="V171" s="224">
        <f t="shared" si="95"/>
        <v>0</v>
      </c>
      <c r="W171" s="224">
        <f t="shared" si="95"/>
        <v>0</v>
      </c>
      <c r="X171" s="226"/>
      <c r="Y171" s="226">
        <f t="shared" si="96"/>
        <v>0</v>
      </c>
      <c r="Z171" s="226">
        <f t="shared" si="96"/>
        <v>0</v>
      </c>
      <c r="AA171" s="234"/>
      <c r="AB171" s="234"/>
      <c r="AC171" s="234"/>
      <c r="AD171" s="224">
        <f t="shared" si="92"/>
        <v>0</v>
      </c>
      <c r="AE171" s="234"/>
      <c r="AF171" s="234"/>
      <c r="AG171" s="224">
        <f t="shared" si="93"/>
        <v>0</v>
      </c>
      <c r="AH171" s="226"/>
      <c r="AI171" s="226">
        <f t="shared" si="97"/>
        <v>0</v>
      </c>
      <c r="AJ171" s="226">
        <f t="shared" si="97"/>
        <v>0</v>
      </c>
      <c r="AK171" s="226">
        <f t="shared" si="97"/>
        <v>0</v>
      </c>
      <c r="AL171" s="226">
        <f t="shared" si="97"/>
        <v>0</v>
      </c>
      <c r="AM171" s="226">
        <f t="shared" si="97"/>
        <v>0</v>
      </c>
      <c r="AN171" s="235"/>
      <c r="AO171" s="235">
        <f t="shared" si="105"/>
        <v>0</v>
      </c>
      <c r="AP171" s="235">
        <f t="shared" si="105"/>
        <v>0</v>
      </c>
      <c r="AQ171" s="236">
        <f t="shared" si="105"/>
        <v>0</v>
      </c>
      <c r="AR171" s="236">
        <f t="shared" si="105"/>
        <v>0</v>
      </c>
      <c r="AS171" s="236">
        <f t="shared" si="105"/>
        <v>0</v>
      </c>
      <c r="AT171" s="236">
        <f t="shared" si="105"/>
        <v>0</v>
      </c>
      <c r="AU171" s="236">
        <f t="shared" si="105"/>
        <v>0</v>
      </c>
      <c r="AV171" s="236">
        <f t="shared" si="105"/>
        <v>0</v>
      </c>
      <c r="AW171" s="226"/>
      <c r="AX171" s="226">
        <f t="shared" si="98"/>
        <v>0</v>
      </c>
      <c r="AY171" s="226">
        <f t="shared" si="98"/>
        <v>0</v>
      </c>
      <c r="AZ171" s="226">
        <f t="shared" si="98"/>
        <v>0</v>
      </c>
      <c r="BA171" s="226">
        <f t="shared" si="98"/>
        <v>0</v>
      </c>
      <c r="BB171" s="226">
        <f t="shared" si="98"/>
        <v>0</v>
      </c>
      <c r="BC171" s="224"/>
      <c r="BD171" s="224">
        <f t="shared" si="99"/>
        <v>0</v>
      </c>
      <c r="BE171" s="224">
        <f t="shared" si="99"/>
        <v>0</v>
      </c>
      <c r="BF171" s="224">
        <f t="shared" si="99"/>
        <v>0</v>
      </c>
      <c r="BG171" s="224">
        <f t="shared" si="99"/>
        <v>0</v>
      </c>
      <c r="BH171" s="224">
        <f t="shared" si="99"/>
        <v>0</v>
      </c>
      <c r="BI171" s="224">
        <f t="shared" si="99"/>
        <v>0</v>
      </c>
      <c r="BJ171" s="224">
        <f t="shared" si="99"/>
        <v>0</v>
      </c>
      <c r="BK171" s="224">
        <f t="shared" si="99"/>
        <v>0</v>
      </c>
      <c r="BL171" s="224">
        <f t="shared" si="99"/>
        <v>0</v>
      </c>
      <c r="BM171" s="224">
        <f t="shared" si="99"/>
        <v>0</v>
      </c>
      <c r="BN171" s="224">
        <f t="shared" si="99"/>
        <v>0</v>
      </c>
      <c r="BO171" s="224">
        <f t="shared" si="99"/>
        <v>0</v>
      </c>
    </row>
    <row r="172" spans="1:67">
      <c r="A172" s="223">
        <v>1</v>
      </c>
      <c r="B172" s="151" t="s">
        <v>202</v>
      </c>
      <c r="C172" s="223">
        <v>170</v>
      </c>
      <c r="D172" s="225">
        <v>500000</v>
      </c>
      <c r="E172" s="225">
        <f t="shared" si="104"/>
        <v>500000</v>
      </c>
      <c r="F172" s="225">
        <f t="shared" si="104"/>
        <v>500000</v>
      </c>
      <c r="G172" s="225">
        <f t="shared" si="104"/>
        <v>500000</v>
      </c>
      <c r="H172" s="225">
        <f t="shared" si="104"/>
        <v>500000</v>
      </c>
      <c r="I172" s="225">
        <f t="shared" si="104"/>
        <v>500000</v>
      </c>
      <c r="J172" s="225">
        <f t="shared" si="104"/>
        <v>500000</v>
      </c>
      <c r="K172" s="226">
        <v>1000000</v>
      </c>
      <c r="L172" s="237">
        <f t="shared" si="104"/>
        <v>1000000</v>
      </c>
      <c r="M172" s="237">
        <f t="shared" si="104"/>
        <v>1000000</v>
      </c>
      <c r="N172" s="237">
        <f t="shared" si="104"/>
        <v>1000000</v>
      </c>
      <c r="O172" s="237">
        <f t="shared" si="104"/>
        <v>1000000</v>
      </c>
      <c r="P172" s="237">
        <f t="shared" si="104"/>
        <v>1000000</v>
      </c>
      <c r="Q172" s="237">
        <f t="shared" si="104"/>
        <v>1000000</v>
      </c>
      <c r="R172" s="237">
        <f t="shared" si="104"/>
        <v>1000000</v>
      </c>
      <c r="S172" s="237">
        <f t="shared" si="104"/>
        <v>1000000</v>
      </c>
      <c r="T172" s="226">
        <v>500000</v>
      </c>
      <c r="U172" s="224">
        <f t="shared" si="95"/>
        <v>500000</v>
      </c>
      <c r="V172" s="224">
        <f t="shared" si="95"/>
        <v>500000</v>
      </c>
      <c r="W172" s="224">
        <f t="shared" si="95"/>
        <v>500000</v>
      </c>
      <c r="X172" s="226">
        <v>500000</v>
      </c>
      <c r="Y172" s="226">
        <f t="shared" si="96"/>
        <v>500000</v>
      </c>
      <c r="Z172" s="226">
        <f t="shared" si="96"/>
        <v>500000</v>
      </c>
      <c r="AA172" s="226">
        <v>500000</v>
      </c>
      <c r="AB172" s="226">
        <v>500000</v>
      </c>
      <c r="AC172" s="226">
        <v>500000</v>
      </c>
      <c r="AD172" s="224">
        <f t="shared" si="92"/>
        <v>500000</v>
      </c>
      <c r="AE172" s="226">
        <v>500000</v>
      </c>
      <c r="AF172" s="226">
        <v>500000</v>
      </c>
      <c r="AG172" s="224">
        <f t="shared" si="93"/>
        <v>500000</v>
      </c>
      <c r="AH172" s="226">
        <v>500000</v>
      </c>
      <c r="AI172" s="226">
        <f t="shared" si="97"/>
        <v>500000</v>
      </c>
      <c r="AJ172" s="226">
        <f t="shared" si="97"/>
        <v>500000</v>
      </c>
      <c r="AK172" s="226">
        <f t="shared" si="97"/>
        <v>500000</v>
      </c>
      <c r="AL172" s="226">
        <f t="shared" si="97"/>
        <v>500000</v>
      </c>
      <c r="AM172" s="226">
        <f t="shared" si="97"/>
        <v>500000</v>
      </c>
      <c r="AN172" s="235">
        <v>500000</v>
      </c>
      <c r="AO172" s="235">
        <f t="shared" si="105"/>
        <v>500000</v>
      </c>
      <c r="AP172" s="235">
        <f t="shared" si="105"/>
        <v>500000</v>
      </c>
      <c r="AQ172" s="236">
        <f t="shared" si="105"/>
        <v>500000</v>
      </c>
      <c r="AR172" s="236">
        <f t="shared" si="105"/>
        <v>500000</v>
      </c>
      <c r="AS172" s="236">
        <f t="shared" si="105"/>
        <v>500000</v>
      </c>
      <c r="AT172" s="236">
        <f t="shared" si="105"/>
        <v>500000</v>
      </c>
      <c r="AU172" s="236">
        <f t="shared" si="105"/>
        <v>500000</v>
      </c>
      <c r="AV172" s="236">
        <f t="shared" si="105"/>
        <v>500000</v>
      </c>
      <c r="AW172" s="226">
        <v>500000</v>
      </c>
      <c r="AX172" s="226">
        <f t="shared" si="98"/>
        <v>500000</v>
      </c>
      <c r="AY172" s="226">
        <f t="shared" si="98"/>
        <v>500000</v>
      </c>
      <c r="AZ172" s="226">
        <f t="shared" si="98"/>
        <v>500000</v>
      </c>
      <c r="BA172" s="226">
        <f t="shared" si="98"/>
        <v>500000</v>
      </c>
      <c r="BB172" s="226">
        <f t="shared" si="98"/>
        <v>500000</v>
      </c>
      <c r="BC172" s="226">
        <v>500000</v>
      </c>
      <c r="BD172" s="224">
        <f t="shared" si="99"/>
        <v>500000</v>
      </c>
      <c r="BE172" s="224">
        <f t="shared" si="99"/>
        <v>500000</v>
      </c>
      <c r="BF172" s="224">
        <f t="shared" si="99"/>
        <v>500000</v>
      </c>
      <c r="BG172" s="224">
        <f t="shared" si="99"/>
        <v>500000</v>
      </c>
      <c r="BH172" s="224">
        <f t="shared" si="99"/>
        <v>500000</v>
      </c>
      <c r="BI172" s="224">
        <f t="shared" si="99"/>
        <v>500000</v>
      </c>
      <c r="BJ172" s="224">
        <f t="shared" si="99"/>
        <v>500000</v>
      </c>
      <c r="BK172" s="224">
        <f t="shared" si="99"/>
        <v>500000</v>
      </c>
      <c r="BL172" s="224">
        <f t="shared" si="99"/>
        <v>500000</v>
      </c>
      <c r="BM172" s="224">
        <f t="shared" si="99"/>
        <v>500000</v>
      </c>
      <c r="BN172" s="224">
        <f t="shared" si="99"/>
        <v>500000</v>
      </c>
      <c r="BO172" s="224">
        <f t="shared" si="99"/>
        <v>500000</v>
      </c>
    </row>
    <row r="173" spans="1:67">
      <c r="A173" s="223">
        <f>A172+1</f>
        <v>2</v>
      </c>
      <c r="B173" s="151" t="s">
        <v>203</v>
      </c>
      <c r="C173" s="223">
        <v>171</v>
      </c>
      <c r="D173" s="225">
        <v>1000000</v>
      </c>
      <c r="E173" s="225">
        <f t="shared" si="104"/>
        <v>1000000</v>
      </c>
      <c r="F173" s="225">
        <f t="shared" si="104"/>
        <v>1000000</v>
      </c>
      <c r="G173" s="225">
        <f t="shared" si="104"/>
        <v>1000000</v>
      </c>
      <c r="H173" s="225">
        <f t="shared" si="104"/>
        <v>1000000</v>
      </c>
      <c r="I173" s="225">
        <f t="shared" si="104"/>
        <v>1000000</v>
      </c>
      <c r="J173" s="225">
        <f t="shared" si="104"/>
        <v>1000000</v>
      </c>
      <c r="K173" s="226">
        <v>1000000</v>
      </c>
      <c r="L173" s="237">
        <f t="shared" si="104"/>
        <v>1000000</v>
      </c>
      <c r="M173" s="237">
        <f t="shared" si="104"/>
        <v>1000000</v>
      </c>
      <c r="N173" s="237">
        <f t="shared" si="104"/>
        <v>1000000</v>
      </c>
      <c r="O173" s="237">
        <f t="shared" si="104"/>
        <v>1000000</v>
      </c>
      <c r="P173" s="237">
        <f t="shared" si="104"/>
        <v>1000000</v>
      </c>
      <c r="Q173" s="237">
        <f t="shared" si="104"/>
        <v>1000000</v>
      </c>
      <c r="R173" s="237">
        <f t="shared" si="104"/>
        <v>1000000</v>
      </c>
      <c r="S173" s="237">
        <f t="shared" si="104"/>
        <v>1000000</v>
      </c>
      <c r="T173" s="226">
        <v>1000000</v>
      </c>
      <c r="U173" s="224">
        <f t="shared" si="95"/>
        <v>1000000</v>
      </c>
      <c r="V173" s="224">
        <f t="shared" si="95"/>
        <v>1000000</v>
      </c>
      <c r="W173" s="224">
        <f t="shared" si="95"/>
        <v>1000000</v>
      </c>
      <c r="X173" s="226">
        <v>1000000</v>
      </c>
      <c r="Y173" s="226">
        <f t="shared" si="96"/>
        <v>1000000</v>
      </c>
      <c r="Z173" s="226">
        <f t="shared" si="96"/>
        <v>1000000</v>
      </c>
      <c r="AA173" s="226">
        <v>1000000</v>
      </c>
      <c r="AB173" s="226">
        <v>1000000</v>
      </c>
      <c r="AC173" s="226">
        <v>1000000</v>
      </c>
      <c r="AD173" s="224">
        <f t="shared" si="92"/>
        <v>1000000</v>
      </c>
      <c r="AE173" s="226">
        <v>1000000</v>
      </c>
      <c r="AF173" s="226">
        <v>1000000</v>
      </c>
      <c r="AG173" s="224">
        <f t="shared" si="93"/>
        <v>1000000</v>
      </c>
      <c r="AH173" s="226">
        <v>1000000</v>
      </c>
      <c r="AI173" s="226">
        <f t="shared" si="97"/>
        <v>1000000</v>
      </c>
      <c r="AJ173" s="226">
        <f t="shared" si="97"/>
        <v>1000000</v>
      </c>
      <c r="AK173" s="226">
        <f t="shared" si="97"/>
        <v>1000000</v>
      </c>
      <c r="AL173" s="226">
        <f t="shared" si="97"/>
        <v>1000000</v>
      </c>
      <c r="AM173" s="226">
        <f t="shared" si="97"/>
        <v>1000000</v>
      </c>
      <c r="AN173" s="235">
        <v>1000000</v>
      </c>
      <c r="AO173" s="235">
        <f t="shared" si="105"/>
        <v>1000000</v>
      </c>
      <c r="AP173" s="235">
        <f t="shared" si="105"/>
        <v>1000000</v>
      </c>
      <c r="AQ173" s="236">
        <f t="shared" si="105"/>
        <v>1000000</v>
      </c>
      <c r="AR173" s="236">
        <f t="shared" si="105"/>
        <v>1000000</v>
      </c>
      <c r="AS173" s="236">
        <f t="shared" si="105"/>
        <v>1000000</v>
      </c>
      <c r="AT173" s="236">
        <f t="shared" si="105"/>
        <v>1000000</v>
      </c>
      <c r="AU173" s="236">
        <f t="shared" si="105"/>
        <v>1000000</v>
      </c>
      <c r="AV173" s="236">
        <f t="shared" si="105"/>
        <v>1000000</v>
      </c>
      <c r="AW173" s="226">
        <v>1000000</v>
      </c>
      <c r="AX173" s="226">
        <f t="shared" si="98"/>
        <v>1000000</v>
      </c>
      <c r="AY173" s="226">
        <f t="shared" si="98"/>
        <v>1000000</v>
      </c>
      <c r="AZ173" s="226">
        <f t="shared" si="98"/>
        <v>1000000</v>
      </c>
      <c r="BA173" s="226">
        <f t="shared" si="98"/>
        <v>1000000</v>
      </c>
      <c r="BB173" s="226">
        <f t="shared" si="98"/>
        <v>1000000</v>
      </c>
      <c r="BC173" s="226">
        <v>1000000</v>
      </c>
      <c r="BD173" s="224">
        <f t="shared" si="99"/>
        <v>1000000</v>
      </c>
      <c r="BE173" s="224">
        <f t="shared" si="99"/>
        <v>1000000</v>
      </c>
      <c r="BF173" s="224">
        <f t="shared" si="99"/>
        <v>1000000</v>
      </c>
      <c r="BG173" s="224">
        <f t="shared" si="99"/>
        <v>1000000</v>
      </c>
      <c r="BH173" s="224">
        <f t="shared" si="99"/>
        <v>1000000</v>
      </c>
      <c r="BI173" s="224">
        <f t="shared" si="99"/>
        <v>1000000</v>
      </c>
      <c r="BJ173" s="224">
        <f t="shared" si="99"/>
        <v>1000000</v>
      </c>
      <c r="BK173" s="224">
        <f t="shared" si="99"/>
        <v>1000000</v>
      </c>
      <c r="BL173" s="224">
        <f t="shared" si="99"/>
        <v>1000000</v>
      </c>
      <c r="BM173" s="224">
        <f t="shared" si="99"/>
        <v>1000000</v>
      </c>
      <c r="BN173" s="224">
        <f t="shared" si="99"/>
        <v>1000000</v>
      </c>
      <c r="BO173" s="224">
        <f t="shared" si="99"/>
        <v>1000000</v>
      </c>
    </row>
    <row r="174" spans="1:67">
      <c r="A174" s="223">
        <f t="shared" ref="A174:A179" si="106">A173+1</f>
        <v>3</v>
      </c>
      <c r="B174" s="151" t="s">
        <v>204</v>
      </c>
      <c r="C174" s="223">
        <v>172</v>
      </c>
      <c r="D174" s="225">
        <v>1000000</v>
      </c>
      <c r="E174" s="225">
        <f t="shared" si="104"/>
        <v>1000000</v>
      </c>
      <c r="F174" s="225">
        <f t="shared" si="104"/>
        <v>1000000</v>
      </c>
      <c r="G174" s="225">
        <f t="shared" si="104"/>
        <v>1000000</v>
      </c>
      <c r="H174" s="225">
        <f t="shared" si="104"/>
        <v>1000000</v>
      </c>
      <c r="I174" s="225">
        <f t="shared" si="104"/>
        <v>1000000</v>
      </c>
      <c r="J174" s="225">
        <f t="shared" si="104"/>
        <v>1000000</v>
      </c>
      <c r="K174" s="226">
        <v>1000000</v>
      </c>
      <c r="L174" s="237">
        <f t="shared" si="104"/>
        <v>1000000</v>
      </c>
      <c r="M174" s="237">
        <f t="shared" si="104"/>
        <v>1000000</v>
      </c>
      <c r="N174" s="237">
        <f t="shared" si="104"/>
        <v>1000000</v>
      </c>
      <c r="O174" s="237">
        <f t="shared" si="104"/>
        <v>1000000</v>
      </c>
      <c r="P174" s="237">
        <f t="shared" si="104"/>
        <v>1000000</v>
      </c>
      <c r="Q174" s="237">
        <f t="shared" si="104"/>
        <v>1000000</v>
      </c>
      <c r="R174" s="237">
        <f t="shared" si="104"/>
        <v>1000000</v>
      </c>
      <c r="S174" s="237">
        <f t="shared" si="104"/>
        <v>1000000</v>
      </c>
      <c r="T174" s="226">
        <v>1000000</v>
      </c>
      <c r="U174" s="224">
        <f t="shared" si="95"/>
        <v>1000000</v>
      </c>
      <c r="V174" s="224">
        <f t="shared" si="95"/>
        <v>1000000</v>
      </c>
      <c r="W174" s="224">
        <f t="shared" si="95"/>
        <v>1000000</v>
      </c>
      <c r="X174" s="226">
        <v>1000000</v>
      </c>
      <c r="Y174" s="226">
        <f t="shared" si="96"/>
        <v>1000000</v>
      </c>
      <c r="Z174" s="226">
        <f t="shared" si="96"/>
        <v>1000000</v>
      </c>
      <c r="AA174" s="226">
        <v>1000000</v>
      </c>
      <c r="AB174" s="226">
        <v>1000000</v>
      </c>
      <c r="AC174" s="226">
        <v>1000000</v>
      </c>
      <c r="AD174" s="224">
        <f t="shared" si="92"/>
        <v>1000000</v>
      </c>
      <c r="AE174" s="226">
        <v>1000000</v>
      </c>
      <c r="AF174" s="226">
        <v>1000000</v>
      </c>
      <c r="AG174" s="224">
        <f t="shared" si="93"/>
        <v>1000000</v>
      </c>
      <c r="AH174" s="226">
        <v>1000000</v>
      </c>
      <c r="AI174" s="226">
        <f t="shared" si="97"/>
        <v>1000000</v>
      </c>
      <c r="AJ174" s="226">
        <f t="shared" si="97"/>
        <v>1000000</v>
      </c>
      <c r="AK174" s="226">
        <f t="shared" si="97"/>
        <v>1000000</v>
      </c>
      <c r="AL174" s="226">
        <f t="shared" si="97"/>
        <v>1000000</v>
      </c>
      <c r="AM174" s="226">
        <f t="shared" si="97"/>
        <v>1000000</v>
      </c>
      <c r="AN174" s="235">
        <v>1000000</v>
      </c>
      <c r="AO174" s="235">
        <f t="shared" si="105"/>
        <v>1000000</v>
      </c>
      <c r="AP174" s="235">
        <f t="shared" si="105"/>
        <v>1000000</v>
      </c>
      <c r="AQ174" s="236">
        <f t="shared" si="105"/>
        <v>1000000</v>
      </c>
      <c r="AR174" s="236">
        <f t="shared" si="105"/>
        <v>1000000</v>
      </c>
      <c r="AS174" s="236">
        <f t="shared" si="105"/>
        <v>1000000</v>
      </c>
      <c r="AT174" s="236">
        <f t="shared" si="105"/>
        <v>1000000</v>
      </c>
      <c r="AU174" s="236">
        <f t="shared" si="105"/>
        <v>1000000</v>
      </c>
      <c r="AV174" s="236">
        <f t="shared" si="105"/>
        <v>1000000</v>
      </c>
      <c r="AW174" s="226">
        <v>1000000</v>
      </c>
      <c r="AX174" s="226">
        <f t="shared" si="98"/>
        <v>1000000</v>
      </c>
      <c r="AY174" s="226">
        <f t="shared" si="98"/>
        <v>1000000</v>
      </c>
      <c r="AZ174" s="226">
        <f t="shared" si="98"/>
        <v>1000000</v>
      </c>
      <c r="BA174" s="226">
        <f t="shared" si="98"/>
        <v>1000000</v>
      </c>
      <c r="BB174" s="226">
        <f t="shared" si="98"/>
        <v>1000000</v>
      </c>
      <c r="BC174" s="226">
        <v>1000000</v>
      </c>
      <c r="BD174" s="224">
        <f t="shared" si="99"/>
        <v>1000000</v>
      </c>
      <c r="BE174" s="224">
        <f t="shared" si="99"/>
        <v>1000000</v>
      </c>
      <c r="BF174" s="224">
        <f t="shared" si="99"/>
        <v>1000000</v>
      </c>
      <c r="BG174" s="224">
        <f t="shared" si="99"/>
        <v>1000000</v>
      </c>
      <c r="BH174" s="224">
        <f t="shared" si="99"/>
        <v>1000000</v>
      </c>
      <c r="BI174" s="224">
        <f t="shared" si="99"/>
        <v>1000000</v>
      </c>
      <c r="BJ174" s="224">
        <f t="shared" si="99"/>
        <v>1000000</v>
      </c>
      <c r="BK174" s="224">
        <f t="shared" si="99"/>
        <v>1000000</v>
      </c>
      <c r="BL174" s="224">
        <f t="shared" si="99"/>
        <v>1000000</v>
      </c>
      <c r="BM174" s="224">
        <f t="shared" si="99"/>
        <v>1000000</v>
      </c>
      <c r="BN174" s="224">
        <f t="shared" si="99"/>
        <v>1000000</v>
      </c>
      <c r="BO174" s="224">
        <f t="shared" si="99"/>
        <v>1000000</v>
      </c>
    </row>
    <row r="175" spans="1:67">
      <c r="A175" s="223">
        <f t="shared" si="106"/>
        <v>4</v>
      </c>
      <c r="B175" s="151" t="s">
        <v>205</v>
      </c>
      <c r="C175" s="223">
        <v>173</v>
      </c>
      <c r="D175" s="225">
        <v>1500000</v>
      </c>
      <c r="E175" s="225">
        <f t="shared" si="104"/>
        <v>1500000</v>
      </c>
      <c r="F175" s="225">
        <f t="shared" si="104"/>
        <v>1500000</v>
      </c>
      <c r="G175" s="225">
        <f t="shared" si="104"/>
        <v>1500000</v>
      </c>
      <c r="H175" s="225">
        <f t="shared" si="104"/>
        <v>1500000</v>
      </c>
      <c r="I175" s="225">
        <f t="shared" si="104"/>
        <v>1500000</v>
      </c>
      <c r="J175" s="225">
        <f t="shared" si="104"/>
        <v>1500000</v>
      </c>
      <c r="K175" s="226">
        <v>1500000</v>
      </c>
      <c r="L175" s="237">
        <f t="shared" si="104"/>
        <v>1500000</v>
      </c>
      <c r="M175" s="237">
        <f t="shared" si="104"/>
        <v>1500000</v>
      </c>
      <c r="N175" s="237">
        <f t="shared" si="104"/>
        <v>1500000</v>
      </c>
      <c r="O175" s="237">
        <f t="shared" si="104"/>
        <v>1500000</v>
      </c>
      <c r="P175" s="237">
        <f t="shared" si="104"/>
        <v>1500000</v>
      </c>
      <c r="Q175" s="237">
        <f t="shared" si="104"/>
        <v>1500000</v>
      </c>
      <c r="R175" s="237">
        <f t="shared" si="104"/>
        <v>1500000</v>
      </c>
      <c r="S175" s="237">
        <f t="shared" si="104"/>
        <v>1500000</v>
      </c>
      <c r="T175" s="226">
        <v>1500000</v>
      </c>
      <c r="U175" s="224">
        <f t="shared" ref="U175:W191" si="107">T175</f>
        <v>1500000</v>
      </c>
      <c r="V175" s="224">
        <f t="shared" si="107"/>
        <v>1500000</v>
      </c>
      <c r="W175" s="224">
        <f t="shared" si="107"/>
        <v>1500000</v>
      </c>
      <c r="X175" s="226">
        <v>1500000</v>
      </c>
      <c r="Y175" s="226">
        <f t="shared" si="96"/>
        <v>1500000</v>
      </c>
      <c r="Z175" s="226">
        <f t="shared" si="96"/>
        <v>1500000</v>
      </c>
      <c r="AA175" s="226">
        <v>1500000</v>
      </c>
      <c r="AB175" s="226">
        <v>1500000</v>
      </c>
      <c r="AC175" s="226">
        <v>1500000</v>
      </c>
      <c r="AD175" s="224">
        <f t="shared" si="92"/>
        <v>1500000</v>
      </c>
      <c r="AE175" s="226">
        <v>1500000</v>
      </c>
      <c r="AF175" s="226">
        <v>1500000</v>
      </c>
      <c r="AG175" s="224">
        <f t="shared" si="93"/>
        <v>1500000</v>
      </c>
      <c r="AH175" s="226">
        <v>1500000</v>
      </c>
      <c r="AI175" s="226">
        <f t="shared" si="97"/>
        <v>1500000</v>
      </c>
      <c r="AJ175" s="226">
        <f t="shared" si="97"/>
        <v>1500000</v>
      </c>
      <c r="AK175" s="226">
        <f t="shared" si="97"/>
        <v>1500000</v>
      </c>
      <c r="AL175" s="226">
        <f t="shared" si="97"/>
        <v>1500000</v>
      </c>
      <c r="AM175" s="226">
        <f t="shared" si="97"/>
        <v>1500000</v>
      </c>
      <c r="AN175" s="235">
        <v>1500000</v>
      </c>
      <c r="AO175" s="235">
        <f t="shared" si="105"/>
        <v>1500000</v>
      </c>
      <c r="AP175" s="235">
        <f t="shared" si="105"/>
        <v>1500000</v>
      </c>
      <c r="AQ175" s="236">
        <f t="shared" si="105"/>
        <v>1500000</v>
      </c>
      <c r="AR175" s="236">
        <f t="shared" si="105"/>
        <v>1500000</v>
      </c>
      <c r="AS175" s="236">
        <f t="shared" si="105"/>
        <v>1500000</v>
      </c>
      <c r="AT175" s="236">
        <f t="shared" si="105"/>
        <v>1500000</v>
      </c>
      <c r="AU175" s="236">
        <f t="shared" si="105"/>
        <v>1500000</v>
      </c>
      <c r="AV175" s="236">
        <f t="shared" si="105"/>
        <v>1500000</v>
      </c>
      <c r="AW175" s="226">
        <v>1500000</v>
      </c>
      <c r="AX175" s="226">
        <f t="shared" si="98"/>
        <v>1500000</v>
      </c>
      <c r="AY175" s="226">
        <f t="shared" si="98"/>
        <v>1500000</v>
      </c>
      <c r="AZ175" s="226">
        <f t="shared" si="98"/>
        <v>1500000</v>
      </c>
      <c r="BA175" s="226">
        <f t="shared" si="98"/>
        <v>1500000</v>
      </c>
      <c r="BB175" s="226">
        <f t="shared" si="98"/>
        <v>1500000</v>
      </c>
      <c r="BC175" s="226">
        <v>1500000</v>
      </c>
      <c r="BD175" s="224">
        <f t="shared" si="99"/>
        <v>1500000</v>
      </c>
      <c r="BE175" s="224">
        <f t="shared" si="99"/>
        <v>1500000</v>
      </c>
      <c r="BF175" s="224">
        <f t="shared" si="99"/>
        <v>1500000</v>
      </c>
      <c r="BG175" s="224">
        <f t="shared" si="99"/>
        <v>1500000</v>
      </c>
      <c r="BH175" s="224">
        <f t="shared" si="99"/>
        <v>1500000</v>
      </c>
      <c r="BI175" s="224">
        <f t="shared" si="99"/>
        <v>1500000</v>
      </c>
      <c r="BJ175" s="224">
        <f t="shared" si="99"/>
        <v>1500000</v>
      </c>
      <c r="BK175" s="224">
        <f t="shared" si="99"/>
        <v>1500000</v>
      </c>
      <c r="BL175" s="224">
        <f t="shared" si="99"/>
        <v>1500000</v>
      </c>
      <c r="BM175" s="224">
        <f t="shared" si="99"/>
        <v>1500000</v>
      </c>
      <c r="BN175" s="224">
        <f t="shared" si="99"/>
        <v>1500000</v>
      </c>
      <c r="BO175" s="224">
        <f t="shared" si="99"/>
        <v>1500000</v>
      </c>
    </row>
    <row r="176" spans="1:67">
      <c r="A176" s="223">
        <f t="shared" si="106"/>
        <v>5</v>
      </c>
      <c r="B176" s="151" t="s">
        <v>206</v>
      </c>
      <c r="C176" s="223">
        <v>174</v>
      </c>
      <c r="D176" s="225">
        <v>1500000</v>
      </c>
      <c r="E176" s="225">
        <f t="shared" si="104"/>
        <v>1500000</v>
      </c>
      <c r="F176" s="225">
        <f t="shared" si="104"/>
        <v>1500000</v>
      </c>
      <c r="G176" s="225">
        <f t="shared" si="104"/>
        <v>1500000</v>
      </c>
      <c r="H176" s="225">
        <f t="shared" si="104"/>
        <v>1500000</v>
      </c>
      <c r="I176" s="225">
        <f t="shared" si="104"/>
        <v>1500000</v>
      </c>
      <c r="J176" s="225">
        <f t="shared" si="104"/>
        <v>1500000</v>
      </c>
      <c r="K176" s="226">
        <v>1500000</v>
      </c>
      <c r="L176" s="237">
        <f t="shared" si="104"/>
        <v>1500000</v>
      </c>
      <c r="M176" s="237">
        <f t="shared" si="104"/>
        <v>1500000</v>
      </c>
      <c r="N176" s="237">
        <f t="shared" si="104"/>
        <v>1500000</v>
      </c>
      <c r="O176" s="237">
        <f t="shared" si="104"/>
        <v>1500000</v>
      </c>
      <c r="P176" s="237">
        <f t="shared" si="104"/>
        <v>1500000</v>
      </c>
      <c r="Q176" s="237">
        <f t="shared" si="104"/>
        <v>1500000</v>
      </c>
      <c r="R176" s="237">
        <f t="shared" si="104"/>
        <v>1500000</v>
      </c>
      <c r="S176" s="237">
        <f t="shared" si="104"/>
        <v>1500000</v>
      </c>
      <c r="T176" s="226">
        <v>1500000</v>
      </c>
      <c r="U176" s="224">
        <f t="shared" si="107"/>
        <v>1500000</v>
      </c>
      <c r="V176" s="224">
        <f t="shared" si="107"/>
        <v>1500000</v>
      </c>
      <c r="W176" s="224">
        <f t="shared" si="107"/>
        <v>1500000</v>
      </c>
      <c r="X176" s="226">
        <v>1500000</v>
      </c>
      <c r="Y176" s="226">
        <f t="shared" si="96"/>
        <v>1500000</v>
      </c>
      <c r="Z176" s="226">
        <f t="shared" si="96"/>
        <v>1500000</v>
      </c>
      <c r="AA176" s="226">
        <v>1500000</v>
      </c>
      <c r="AB176" s="226">
        <v>1500000</v>
      </c>
      <c r="AC176" s="226">
        <v>1500000</v>
      </c>
      <c r="AD176" s="224">
        <f t="shared" si="92"/>
        <v>1500000</v>
      </c>
      <c r="AE176" s="226">
        <v>1500000</v>
      </c>
      <c r="AF176" s="226">
        <v>1500000</v>
      </c>
      <c r="AG176" s="224">
        <f t="shared" si="93"/>
        <v>1500000</v>
      </c>
      <c r="AH176" s="226">
        <v>1500000</v>
      </c>
      <c r="AI176" s="226">
        <f t="shared" si="97"/>
        <v>1500000</v>
      </c>
      <c r="AJ176" s="226">
        <f t="shared" si="97"/>
        <v>1500000</v>
      </c>
      <c r="AK176" s="226">
        <f t="shared" si="97"/>
        <v>1500000</v>
      </c>
      <c r="AL176" s="226">
        <f t="shared" si="97"/>
        <v>1500000</v>
      </c>
      <c r="AM176" s="226">
        <f t="shared" si="97"/>
        <v>1500000</v>
      </c>
      <c r="AN176" s="235">
        <v>1500000</v>
      </c>
      <c r="AO176" s="235">
        <f t="shared" si="105"/>
        <v>1500000</v>
      </c>
      <c r="AP176" s="235">
        <f t="shared" si="105"/>
        <v>1500000</v>
      </c>
      <c r="AQ176" s="236">
        <f t="shared" si="105"/>
        <v>1500000</v>
      </c>
      <c r="AR176" s="236">
        <f t="shared" si="105"/>
        <v>1500000</v>
      </c>
      <c r="AS176" s="236">
        <f t="shared" si="105"/>
        <v>1500000</v>
      </c>
      <c r="AT176" s="236">
        <f t="shared" si="105"/>
        <v>1500000</v>
      </c>
      <c r="AU176" s="236">
        <f t="shared" si="105"/>
        <v>1500000</v>
      </c>
      <c r="AV176" s="236">
        <f t="shared" si="105"/>
        <v>1500000</v>
      </c>
      <c r="AW176" s="226">
        <v>1500000</v>
      </c>
      <c r="AX176" s="226">
        <f t="shared" si="98"/>
        <v>1500000</v>
      </c>
      <c r="AY176" s="226">
        <f t="shared" si="98"/>
        <v>1500000</v>
      </c>
      <c r="AZ176" s="226">
        <f t="shared" si="98"/>
        <v>1500000</v>
      </c>
      <c r="BA176" s="226">
        <f t="shared" si="98"/>
        <v>1500000</v>
      </c>
      <c r="BB176" s="226">
        <f t="shared" si="98"/>
        <v>1500000</v>
      </c>
      <c r="BC176" s="226">
        <v>1500000</v>
      </c>
      <c r="BD176" s="224">
        <f t="shared" si="99"/>
        <v>1500000</v>
      </c>
      <c r="BE176" s="224">
        <f t="shared" si="99"/>
        <v>1500000</v>
      </c>
      <c r="BF176" s="224">
        <f t="shared" si="99"/>
        <v>1500000</v>
      </c>
      <c r="BG176" s="224">
        <f t="shared" si="99"/>
        <v>1500000</v>
      </c>
      <c r="BH176" s="224">
        <f t="shared" si="99"/>
        <v>1500000</v>
      </c>
      <c r="BI176" s="224">
        <f t="shared" si="99"/>
        <v>1500000</v>
      </c>
      <c r="BJ176" s="224">
        <f t="shared" si="99"/>
        <v>1500000</v>
      </c>
      <c r="BK176" s="224">
        <f t="shared" si="99"/>
        <v>1500000</v>
      </c>
      <c r="BL176" s="224">
        <f t="shared" si="99"/>
        <v>1500000</v>
      </c>
      <c r="BM176" s="224">
        <f t="shared" si="99"/>
        <v>1500000</v>
      </c>
      <c r="BN176" s="224">
        <f t="shared" si="99"/>
        <v>1500000</v>
      </c>
      <c r="BO176" s="224">
        <f t="shared" si="99"/>
        <v>1500000</v>
      </c>
    </row>
    <row r="177" spans="1:67">
      <c r="A177" s="223">
        <f t="shared" si="106"/>
        <v>6</v>
      </c>
      <c r="B177" s="151" t="s">
        <v>207</v>
      </c>
      <c r="C177" s="223">
        <v>175</v>
      </c>
      <c r="D177" s="225">
        <v>2000000</v>
      </c>
      <c r="E177" s="225">
        <f t="shared" si="104"/>
        <v>2000000</v>
      </c>
      <c r="F177" s="225">
        <f t="shared" si="104"/>
        <v>2000000</v>
      </c>
      <c r="G177" s="225">
        <f t="shared" si="104"/>
        <v>2000000</v>
      </c>
      <c r="H177" s="225">
        <f t="shared" si="104"/>
        <v>2000000</v>
      </c>
      <c r="I177" s="225">
        <f t="shared" si="104"/>
        <v>2000000</v>
      </c>
      <c r="J177" s="225">
        <f t="shared" si="104"/>
        <v>2000000</v>
      </c>
      <c r="K177" s="226">
        <v>2000000</v>
      </c>
      <c r="L177" s="237">
        <f t="shared" si="104"/>
        <v>2000000</v>
      </c>
      <c r="M177" s="237">
        <f t="shared" si="104"/>
        <v>2000000</v>
      </c>
      <c r="N177" s="237">
        <f t="shared" si="104"/>
        <v>2000000</v>
      </c>
      <c r="O177" s="237">
        <f t="shared" si="104"/>
        <v>2000000</v>
      </c>
      <c r="P177" s="237">
        <f t="shared" si="104"/>
        <v>2000000</v>
      </c>
      <c r="Q177" s="237">
        <f t="shared" si="104"/>
        <v>2000000</v>
      </c>
      <c r="R177" s="237">
        <f t="shared" si="104"/>
        <v>2000000</v>
      </c>
      <c r="S177" s="237">
        <f t="shared" si="104"/>
        <v>2000000</v>
      </c>
      <c r="T177" s="226">
        <v>2000000</v>
      </c>
      <c r="U177" s="224">
        <f t="shared" si="107"/>
        <v>2000000</v>
      </c>
      <c r="V177" s="224">
        <f t="shared" si="107"/>
        <v>2000000</v>
      </c>
      <c r="W177" s="224">
        <f t="shared" si="107"/>
        <v>2000000</v>
      </c>
      <c r="X177" s="226">
        <v>2000000</v>
      </c>
      <c r="Y177" s="226">
        <f t="shared" si="96"/>
        <v>2000000</v>
      </c>
      <c r="Z177" s="226">
        <f t="shared" si="96"/>
        <v>2000000</v>
      </c>
      <c r="AA177" s="226">
        <v>2000000</v>
      </c>
      <c r="AB177" s="226">
        <v>2000000</v>
      </c>
      <c r="AC177" s="226">
        <v>2000000</v>
      </c>
      <c r="AD177" s="224">
        <f t="shared" si="92"/>
        <v>2000000</v>
      </c>
      <c r="AE177" s="226">
        <v>2000000</v>
      </c>
      <c r="AF177" s="226">
        <v>2000000</v>
      </c>
      <c r="AG177" s="224">
        <f t="shared" si="93"/>
        <v>2000000</v>
      </c>
      <c r="AH177" s="226">
        <v>2000000</v>
      </c>
      <c r="AI177" s="226">
        <f t="shared" si="97"/>
        <v>2000000</v>
      </c>
      <c r="AJ177" s="226">
        <f t="shared" si="97"/>
        <v>2000000</v>
      </c>
      <c r="AK177" s="226">
        <f t="shared" si="97"/>
        <v>2000000</v>
      </c>
      <c r="AL177" s="226">
        <f t="shared" si="97"/>
        <v>2000000</v>
      </c>
      <c r="AM177" s="226">
        <f t="shared" si="97"/>
        <v>2000000</v>
      </c>
      <c r="AN177" s="235">
        <v>2000000</v>
      </c>
      <c r="AO177" s="235">
        <f t="shared" si="105"/>
        <v>2000000</v>
      </c>
      <c r="AP177" s="235">
        <f t="shared" si="105"/>
        <v>2000000</v>
      </c>
      <c r="AQ177" s="236">
        <f t="shared" si="105"/>
        <v>2000000</v>
      </c>
      <c r="AR177" s="236">
        <f t="shared" si="105"/>
        <v>2000000</v>
      </c>
      <c r="AS177" s="236">
        <f t="shared" si="105"/>
        <v>2000000</v>
      </c>
      <c r="AT177" s="236">
        <f t="shared" si="105"/>
        <v>2000000</v>
      </c>
      <c r="AU177" s="236">
        <f t="shared" si="105"/>
        <v>2000000</v>
      </c>
      <c r="AV177" s="236">
        <f t="shared" si="105"/>
        <v>2000000</v>
      </c>
      <c r="AW177" s="226">
        <v>2000000</v>
      </c>
      <c r="AX177" s="226">
        <f t="shared" si="98"/>
        <v>2000000</v>
      </c>
      <c r="AY177" s="226">
        <f t="shared" si="98"/>
        <v>2000000</v>
      </c>
      <c r="AZ177" s="226">
        <f t="shared" si="98"/>
        <v>2000000</v>
      </c>
      <c r="BA177" s="226">
        <f t="shared" si="98"/>
        <v>2000000</v>
      </c>
      <c r="BB177" s="226">
        <f t="shared" si="98"/>
        <v>2000000</v>
      </c>
      <c r="BC177" s="226">
        <v>2000000</v>
      </c>
      <c r="BD177" s="224">
        <f t="shared" si="99"/>
        <v>2000000</v>
      </c>
      <c r="BE177" s="224">
        <f t="shared" si="99"/>
        <v>2000000</v>
      </c>
      <c r="BF177" s="224">
        <f t="shared" si="99"/>
        <v>2000000</v>
      </c>
      <c r="BG177" s="224">
        <f t="shared" si="99"/>
        <v>2000000</v>
      </c>
      <c r="BH177" s="224">
        <f t="shared" si="99"/>
        <v>2000000</v>
      </c>
      <c r="BI177" s="224">
        <f t="shared" si="99"/>
        <v>2000000</v>
      </c>
      <c r="BJ177" s="224">
        <f t="shared" si="99"/>
        <v>2000000</v>
      </c>
      <c r="BK177" s="224">
        <f t="shared" si="99"/>
        <v>2000000</v>
      </c>
      <c r="BL177" s="224">
        <f t="shared" si="99"/>
        <v>2000000</v>
      </c>
      <c r="BM177" s="224">
        <f t="shared" si="99"/>
        <v>2000000</v>
      </c>
      <c r="BN177" s="224">
        <f t="shared" si="99"/>
        <v>2000000</v>
      </c>
      <c r="BO177" s="224">
        <f t="shared" si="99"/>
        <v>2000000</v>
      </c>
    </row>
    <row r="178" spans="1:67" ht="30">
      <c r="A178" s="223">
        <f t="shared" si="106"/>
        <v>7</v>
      </c>
      <c r="B178" s="228" t="s">
        <v>313</v>
      </c>
      <c r="C178" s="223">
        <v>176</v>
      </c>
      <c r="D178" s="225">
        <v>2500000</v>
      </c>
      <c r="E178" s="225">
        <f t="shared" si="104"/>
        <v>2500000</v>
      </c>
      <c r="F178" s="225">
        <f t="shared" si="104"/>
        <v>2500000</v>
      </c>
      <c r="G178" s="225">
        <f t="shared" si="104"/>
        <v>2500000</v>
      </c>
      <c r="H178" s="225">
        <f t="shared" si="104"/>
        <v>2500000</v>
      </c>
      <c r="I178" s="225">
        <f t="shared" si="104"/>
        <v>2500000</v>
      </c>
      <c r="J178" s="225">
        <f t="shared" si="104"/>
        <v>2500000</v>
      </c>
      <c r="K178" s="247">
        <v>2500000</v>
      </c>
      <c r="L178" s="237">
        <f t="shared" si="104"/>
        <v>2500000</v>
      </c>
      <c r="M178" s="237">
        <f t="shared" si="104"/>
        <v>2500000</v>
      </c>
      <c r="N178" s="237">
        <f t="shared" si="104"/>
        <v>2500000</v>
      </c>
      <c r="O178" s="237">
        <f t="shared" si="104"/>
        <v>2500000</v>
      </c>
      <c r="P178" s="237">
        <f t="shared" si="104"/>
        <v>2500000</v>
      </c>
      <c r="Q178" s="237">
        <f t="shared" si="104"/>
        <v>2500000</v>
      </c>
      <c r="R178" s="237">
        <f t="shared" si="104"/>
        <v>2500000</v>
      </c>
      <c r="S178" s="237">
        <f t="shared" si="104"/>
        <v>2500000</v>
      </c>
      <c r="T178" s="247">
        <v>2500000</v>
      </c>
      <c r="U178" s="224">
        <f t="shared" si="107"/>
        <v>2500000</v>
      </c>
      <c r="V178" s="224">
        <f t="shared" si="107"/>
        <v>2500000</v>
      </c>
      <c r="W178" s="224">
        <f t="shared" si="107"/>
        <v>2500000</v>
      </c>
      <c r="X178" s="226">
        <v>2500000</v>
      </c>
      <c r="Y178" s="226">
        <f t="shared" si="96"/>
        <v>2500000</v>
      </c>
      <c r="Z178" s="226">
        <f t="shared" si="96"/>
        <v>2500000</v>
      </c>
      <c r="AA178" s="247">
        <v>2500000</v>
      </c>
      <c r="AB178" s="247">
        <v>2500000</v>
      </c>
      <c r="AC178" s="247">
        <v>2500000</v>
      </c>
      <c r="AD178" s="224">
        <f t="shared" si="92"/>
        <v>2500000</v>
      </c>
      <c r="AE178" s="247">
        <v>2500000</v>
      </c>
      <c r="AF178" s="247">
        <v>2500000</v>
      </c>
      <c r="AG178" s="224">
        <f t="shared" si="93"/>
        <v>2500000</v>
      </c>
      <c r="AH178" s="226">
        <v>2500000</v>
      </c>
      <c r="AI178" s="226">
        <f t="shared" si="97"/>
        <v>2500000</v>
      </c>
      <c r="AJ178" s="226">
        <f t="shared" si="97"/>
        <v>2500000</v>
      </c>
      <c r="AK178" s="226">
        <f t="shared" si="97"/>
        <v>2500000</v>
      </c>
      <c r="AL178" s="226">
        <f t="shared" si="97"/>
        <v>2500000</v>
      </c>
      <c r="AM178" s="226">
        <f t="shared" si="97"/>
        <v>2500000</v>
      </c>
      <c r="AN178" s="235">
        <v>2500000</v>
      </c>
      <c r="AO178" s="235">
        <f t="shared" si="105"/>
        <v>2500000</v>
      </c>
      <c r="AP178" s="235">
        <f t="shared" si="105"/>
        <v>2500000</v>
      </c>
      <c r="AQ178" s="236">
        <f t="shared" si="105"/>
        <v>2500000</v>
      </c>
      <c r="AR178" s="236">
        <f t="shared" si="105"/>
        <v>2500000</v>
      </c>
      <c r="AS178" s="236">
        <f t="shared" si="105"/>
        <v>2500000</v>
      </c>
      <c r="AT178" s="236">
        <f t="shared" si="105"/>
        <v>2500000</v>
      </c>
      <c r="AU178" s="236">
        <f t="shared" si="105"/>
        <v>2500000</v>
      </c>
      <c r="AV178" s="236">
        <f t="shared" si="105"/>
        <v>2500000</v>
      </c>
      <c r="AW178" s="247">
        <v>2500000</v>
      </c>
      <c r="AX178" s="226">
        <f t="shared" si="98"/>
        <v>2500000</v>
      </c>
      <c r="AY178" s="226">
        <f t="shared" si="98"/>
        <v>2500000</v>
      </c>
      <c r="AZ178" s="226">
        <f t="shared" si="98"/>
        <v>2500000</v>
      </c>
      <c r="BA178" s="226">
        <f t="shared" si="98"/>
        <v>2500000</v>
      </c>
      <c r="BB178" s="226">
        <f t="shared" si="98"/>
        <v>2500000</v>
      </c>
      <c r="BC178" s="247">
        <v>2500000</v>
      </c>
      <c r="BD178" s="224">
        <f t="shared" si="99"/>
        <v>2500000</v>
      </c>
      <c r="BE178" s="224">
        <f t="shared" si="99"/>
        <v>2500000</v>
      </c>
      <c r="BF178" s="224">
        <f t="shared" si="99"/>
        <v>2500000</v>
      </c>
      <c r="BG178" s="224">
        <f t="shared" si="99"/>
        <v>2500000</v>
      </c>
      <c r="BH178" s="224">
        <f t="shared" si="99"/>
        <v>2500000</v>
      </c>
      <c r="BI178" s="224">
        <f t="shared" si="99"/>
        <v>2500000</v>
      </c>
      <c r="BJ178" s="224">
        <f t="shared" si="99"/>
        <v>2500000</v>
      </c>
      <c r="BK178" s="224">
        <f t="shared" si="99"/>
        <v>2500000</v>
      </c>
      <c r="BL178" s="224">
        <f t="shared" si="99"/>
        <v>2500000</v>
      </c>
      <c r="BM178" s="224">
        <f t="shared" si="99"/>
        <v>2500000</v>
      </c>
      <c r="BN178" s="224">
        <f t="shared" si="99"/>
        <v>2500000</v>
      </c>
      <c r="BO178" s="224">
        <f t="shared" si="99"/>
        <v>2500000</v>
      </c>
    </row>
    <row r="179" spans="1:67" ht="30">
      <c r="A179" s="223">
        <f t="shared" si="106"/>
        <v>8</v>
      </c>
      <c r="B179" s="228" t="s">
        <v>314</v>
      </c>
      <c r="C179" s="223">
        <v>177</v>
      </c>
      <c r="D179" s="225">
        <v>3000000</v>
      </c>
      <c r="E179" s="225">
        <f t="shared" si="104"/>
        <v>3000000</v>
      </c>
      <c r="F179" s="225">
        <f t="shared" si="104"/>
        <v>3000000</v>
      </c>
      <c r="G179" s="225">
        <f t="shared" si="104"/>
        <v>3000000</v>
      </c>
      <c r="H179" s="225">
        <f t="shared" si="104"/>
        <v>3000000</v>
      </c>
      <c r="I179" s="225">
        <f t="shared" si="104"/>
        <v>3000000</v>
      </c>
      <c r="J179" s="225">
        <f t="shared" si="104"/>
        <v>3000000</v>
      </c>
      <c r="K179" s="247">
        <v>3000000</v>
      </c>
      <c r="L179" s="237">
        <f t="shared" si="104"/>
        <v>3000000</v>
      </c>
      <c r="M179" s="237">
        <f t="shared" si="104"/>
        <v>3000000</v>
      </c>
      <c r="N179" s="237">
        <f t="shared" si="104"/>
        <v>3000000</v>
      </c>
      <c r="O179" s="237">
        <f t="shared" si="104"/>
        <v>3000000</v>
      </c>
      <c r="P179" s="237">
        <f t="shared" si="104"/>
        <v>3000000</v>
      </c>
      <c r="Q179" s="237">
        <f t="shared" si="104"/>
        <v>3000000</v>
      </c>
      <c r="R179" s="237">
        <f t="shared" si="104"/>
        <v>3000000</v>
      </c>
      <c r="S179" s="237">
        <f t="shared" si="104"/>
        <v>3000000</v>
      </c>
      <c r="T179" s="247">
        <v>3000000</v>
      </c>
      <c r="U179" s="224">
        <f t="shared" si="107"/>
        <v>3000000</v>
      </c>
      <c r="V179" s="224">
        <f t="shared" si="107"/>
        <v>3000000</v>
      </c>
      <c r="W179" s="224">
        <f t="shared" si="107"/>
        <v>3000000</v>
      </c>
      <c r="X179" s="226">
        <v>3000000</v>
      </c>
      <c r="Y179" s="226">
        <f t="shared" si="96"/>
        <v>3000000</v>
      </c>
      <c r="Z179" s="226">
        <f t="shared" si="96"/>
        <v>3000000</v>
      </c>
      <c r="AA179" s="247">
        <v>3000000</v>
      </c>
      <c r="AB179" s="247">
        <v>3000000</v>
      </c>
      <c r="AC179" s="247">
        <v>3000000</v>
      </c>
      <c r="AD179" s="224">
        <f t="shared" si="92"/>
        <v>3000000</v>
      </c>
      <c r="AE179" s="247">
        <v>3000000</v>
      </c>
      <c r="AF179" s="247">
        <v>3000000</v>
      </c>
      <c r="AG179" s="224">
        <f t="shared" si="93"/>
        <v>3000000</v>
      </c>
      <c r="AH179" s="226">
        <v>3000000</v>
      </c>
      <c r="AI179" s="226">
        <f t="shared" si="97"/>
        <v>3000000</v>
      </c>
      <c r="AJ179" s="226">
        <f t="shared" si="97"/>
        <v>3000000</v>
      </c>
      <c r="AK179" s="226">
        <f t="shared" si="97"/>
        <v>3000000</v>
      </c>
      <c r="AL179" s="226">
        <f t="shared" si="97"/>
        <v>3000000</v>
      </c>
      <c r="AM179" s="226">
        <f t="shared" si="97"/>
        <v>3000000</v>
      </c>
      <c r="AN179" s="235">
        <v>3000000</v>
      </c>
      <c r="AO179" s="235">
        <f t="shared" si="105"/>
        <v>3000000</v>
      </c>
      <c r="AP179" s="235">
        <f t="shared" si="105"/>
        <v>3000000</v>
      </c>
      <c r="AQ179" s="236">
        <f t="shared" si="105"/>
        <v>3000000</v>
      </c>
      <c r="AR179" s="236">
        <f t="shared" si="105"/>
        <v>3000000</v>
      </c>
      <c r="AS179" s="236">
        <f t="shared" si="105"/>
        <v>3000000</v>
      </c>
      <c r="AT179" s="236">
        <f t="shared" si="105"/>
        <v>3000000</v>
      </c>
      <c r="AU179" s="236">
        <f t="shared" si="105"/>
        <v>3000000</v>
      </c>
      <c r="AV179" s="236">
        <f t="shared" si="105"/>
        <v>3000000</v>
      </c>
      <c r="AW179" s="247">
        <v>3000000</v>
      </c>
      <c r="AX179" s="226">
        <f t="shared" si="98"/>
        <v>3000000</v>
      </c>
      <c r="AY179" s="226">
        <f t="shared" si="98"/>
        <v>3000000</v>
      </c>
      <c r="AZ179" s="226">
        <f t="shared" si="98"/>
        <v>3000000</v>
      </c>
      <c r="BA179" s="226">
        <f t="shared" si="98"/>
        <v>3000000</v>
      </c>
      <c r="BB179" s="226">
        <f t="shared" si="98"/>
        <v>3000000</v>
      </c>
      <c r="BC179" s="247">
        <v>3000000</v>
      </c>
      <c r="BD179" s="224">
        <f t="shared" si="99"/>
        <v>3000000</v>
      </c>
      <c r="BE179" s="224">
        <f t="shared" si="99"/>
        <v>3000000</v>
      </c>
      <c r="BF179" s="224">
        <f t="shared" si="99"/>
        <v>3000000</v>
      </c>
      <c r="BG179" s="224">
        <f t="shared" si="99"/>
        <v>3000000</v>
      </c>
      <c r="BH179" s="224">
        <f t="shared" si="99"/>
        <v>3000000</v>
      </c>
      <c r="BI179" s="224">
        <f t="shared" si="99"/>
        <v>3000000</v>
      </c>
      <c r="BJ179" s="224">
        <f t="shared" si="99"/>
        <v>3000000</v>
      </c>
      <c r="BK179" s="224">
        <f t="shared" si="99"/>
        <v>3000000</v>
      </c>
      <c r="BL179" s="224">
        <f t="shared" si="99"/>
        <v>3000000</v>
      </c>
      <c r="BM179" s="224">
        <f t="shared" si="99"/>
        <v>3000000</v>
      </c>
      <c r="BN179" s="224">
        <f t="shared" si="99"/>
        <v>3000000</v>
      </c>
      <c r="BO179" s="224">
        <f t="shared" si="99"/>
        <v>3000000</v>
      </c>
    </row>
    <row r="180" spans="1:67">
      <c r="A180" s="223" t="s">
        <v>330</v>
      </c>
      <c r="B180" s="249" t="s">
        <v>331</v>
      </c>
      <c r="C180" s="223">
        <v>178</v>
      </c>
      <c r="D180" s="225"/>
      <c r="E180" s="225"/>
      <c r="F180" s="225"/>
      <c r="G180" s="225"/>
      <c r="H180" s="225"/>
      <c r="I180" s="225"/>
      <c r="J180" s="225"/>
      <c r="K180" s="247"/>
      <c r="L180" s="237"/>
      <c r="M180" s="237"/>
      <c r="N180" s="237"/>
      <c r="O180" s="237"/>
      <c r="P180" s="237"/>
      <c r="Q180" s="237"/>
      <c r="R180" s="237"/>
      <c r="S180" s="237"/>
      <c r="T180" s="224"/>
      <c r="U180" s="224">
        <f t="shared" si="107"/>
        <v>0</v>
      </c>
      <c r="V180" s="224">
        <f t="shared" si="107"/>
        <v>0</v>
      </c>
      <c r="W180" s="224">
        <f t="shared" si="107"/>
        <v>0</v>
      </c>
      <c r="X180" s="226"/>
      <c r="Y180" s="226">
        <f t="shared" ref="Y180:Z194" si="108">X180</f>
        <v>0</v>
      </c>
      <c r="Z180" s="226">
        <f t="shared" si="108"/>
        <v>0</v>
      </c>
      <c r="AA180" s="247"/>
      <c r="AB180" s="247"/>
      <c r="AC180" s="247"/>
      <c r="AD180" s="224">
        <f t="shared" si="92"/>
        <v>0</v>
      </c>
      <c r="AE180" s="247"/>
      <c r="AF180" s="247"/>
      <c r="AG180" s="224">
        <f t="shared" si="93"/>
        <v>0</v>
      </c>
      <c r="AH180" s="226"/>
      <c r="AI180" s="226">
        <f t="shared" ref="AI180:AM194" si="109">AH180</f>
        <v>0</v>
      </c>
      <c r="AJ180" s="226">
        <f t="shared" si="109"/>
        <v>0</v>
      </c>
      <c r="AK180" s="226">
        <f t="shared" si="109"/>
        <v>0</v>
      </c>
      <c r="AL180" s="226">
        <f t="shared" si="109"/>
        <v>0</v>
      </c>
      <c r="AM180" s="226">
        <f t="shared" si="109"/>
        <v>0</v>
      </c>
      <c r="AN180" s="235"/>
      <c r="AO180" s="235">
        <f t="shared" ref="AO180:AV194" si="110">AN180</f>
        <v>0</v>
      </c>
      <c r="AP180" s="235">
        <f t="shared" si="110"/>
        <v>0</v>
      </c>
      <c r="AQ180" s="236">
        <f t="shared" si="110"/>
        <v>0</v>
      </c>
      <c r="AR180" s="236">
        <f t="shared" si="110"/>
        <v>0</v>
      </c>
      <c r="AS180" s="236">
        <f t="shared" si="110"/>
        <v>0</v>
      </c>
      <c r="AT180" s="236">
        <f t="shared" si="110"/>
        <v>0</v>
      </c>
      <c r="AU180" s="236">
        <f t="shared" si="110"/>
        <v>0</v>
      </c>
      <c r="AV180" s="236">
        <f t="shared" si="110"/>
        <v>0</v>
      </c>
      <c r="AW180" s="226"/>
      <c r="AX180" s="226">
        <f t="shared" ref="AX180:BB194" si="111">AW180</f>
        <v>0</v>
      </c>
      <c r="AY180" s="226">
        <f t="shared" si="111"/>
        <v>0</v>
      </c>
      <c r="AZ180" s="226">
        <f t="shared" si="111"/>
        <v>0</v>
      </c>
      <c r="BA180" s="226">
        <f t="shared" si="111"/>
        <v>0</v>
      </c>
      <c r="BB180" s="226">
        <f t="shared" si="111"/>
        <v>0</v>
      </c>
      <c r="BC180" s="224"/>
      <c r="BD180" s="224">
        <f t="shared" ref="BD180:BO194" si="112">BC180</f>
        <v>0</v>
      </c>
      <c r="BE180" s="224">
        <f t="shared" si="112"/>
        <v>0</v>
      </c>
      <c r="BF180" s="224">
        <f t="shared" si="112"/>
        <v>0</v>
      </c>
      <c r="BG180" s="224">
        <f t="shared" si="112"/>
        <v>0</v>
      </c>
      <c r="BH180" s="224">
        <f t="shared" si="112"/>
        <v>0</v>
      </c>
      <c r="BI180" s="224">
        <f t="shared" si="112"/>
        <v>0</v>
      </c>
      <c r="BJ180" s="224">
        <f t="shared" si="112"/>
        <v>0</v>
      </c>
      <c r="BK180" s="224">
        <f t="shared" si="112"/>
        <v>0</v>
      </c>
      <c r="BL180" s="224">
        <f t="shared" si="112"/>
        <v>0</v>
      </c>
      <c r="BM180" s="224">
        <f t="shared" si="112"/>
        <v>0</v>
      </c>
      <c r="BN180" s="224">
        <f t="shared" si="112"/>
        <v>0</v>
      </c>
      <c r="BO180" s="224">
        <f t="shared" si="112"/>
        <v>0</v>
      </c>
    </row>
    <row r="181" spans="1:67">
      <c r="A181" s="223">
        <v>1</v>
      </c>
      <c r="B181" s="151" t="s">
        <v>332</v>
      </c>
      <c r="C181" s="223">
        <v>179</v>
      </c>
      <c r="D181" s="225">
        <v>27390662.299558982</v>
      </c>
      <c r="E181" s="225">
        <v>27390662.299558982</v>
      </c>
      <c r="F181" s="225">
        <v>27390662.299558982</v>
      </c>
      <c r="G181" s="225">
        <v>27390662.299558982</v>
      </c>
      <c r="H181" s="225">
        <v>27390662.299558982</v>
      </c>
      <c r="I181" s="225">
        <v>27390662.299558982</v>
      </c>
      <c r="J181" s="225">
        <v>27390662.299558982</v>
      </c>
      <c r="K181" s="247">
        <v>27390662.299558982</v>
      </c>
      <c r="L181" s="237">
        <v>27390662.299558982</v>
      </c>
      <c r="M181" s="237">
        <v>27390662.299558982</v>
      </c>
      <c r="N181" s="237">
        <v>27390662.299558982</v>
      </c>
      <c r="O181" s="237">
        <v>27390662.299558982</v>
      </c>
      <c r="P181" s="237">
        <v>27390662.299558982</v>
      </c>
      <c r="Q181" s="237">
        <v>27390662.299558982</v>
      </c>
      <c r="R181" s="237">
        <v>27390662.299558982</v>
      </c>
      <c r="S181" s="237">
        <v>27390662.299558982</v>
      </c>
      <c r="T181" s="247">
        <v>27390662.299558982</v>
      </c>
      <c r="U181" s="224">
        <v>27390662.299558982</v>
      </c>
      <c r="V181" s="224">
        <v>27390662.299558982</v>
      </c>
      <c r="W181" s="224">
        <v>27390662.299558982</v>
      </c>
      <c r="X181" s="226">
        <v>27390662.299558982</v>
      </c>
      <c r="Y181" s="226">
        <v>27390662.299558982</v>
      </c>
      <c r="Z181" s="226">
        <v>27390662.299558982</v>
      </c>
      <c r="AA181" s="247">
        <v>27390662.299558982</v>
      </c>
      <c r="AB181" s="247">
        <v>27390662.299558982</v>
      </c>
      <c r="AC181" s="247">
        <v>27390662.299558982</v>
      </c>
      <c r="AD181" s="224">
        <v>27390662.299558982</v>
      </c>
      <c r="AE181" s="247">
        <v>27390662.299558982</v>
      </c>
      <c r="AF181" s="247">
        <v>27390662.299558982</v>
      </c>
      <c r="AG181" s="224">
        <v>27390662.299558982</v>
      </c>
      <c r="AH181" s="226">
        <v>27543859.832189105</v>
      </c>
      <c r="AI181" s="226">
        <v>27543859.832189105</v>
      </c>
      <c r="AJ181" s="226">
        <v>27543859.832189105</v>
      </c>
      <c r="AK181" s="226">
        <v>27543859.832189105</v>
      </c>
      <c r="AL181" s="226">
        <v>27543859.832189105</v>
      </c>
      <c r="AM181" s="226">
        <v>27543859.832189105</v>
      </c>
      <c r="AN181" s="235">
        <v>27543859.832189105</v>
      </c>
      <c r="AO181" s="235">
        <v>27543859.832189105</v>
      </c>
      <c r="AP181" s="235">
        <v>27543859.832189105</v>
      </c>
      <c r="AQ181" s="236">
        <v>27543859.832189105</v>
      </c>
      <c r="AR181" s="236">
        <v>27543859.832189105</v>
      </c>
      <c r="AS181" s="236">
        <v>27543859.832189105</v>
      </c>
      <c r="AT181" s="236">
        <v>27543859.832189105</v>
      </c>
      <c r="AU181" s="236">
        <v>27543859.832189105</v>
      </c>
      <c r="AV181" s="236">
        <v>27543859.832189105</v>
      </c>
      <c r="AW181" s="226">
        <v>27454054.38202662</v>
      </c>
      <c r="AX181" s="226">
        <v>27454054.38202662</v>
      </c>
      <c r="AY181" s="226">
        <v>27454054.38202662</v>
      </c>
      <c r="AZ181" s="226">
        <v>27454054.38202662</v>
      </c>
      <c r="BA181" s="226">
        <v>27454054.38202662</v>
      </c>
      <c r="BB181" s="226">
        <v>27454054.38202662</v>
      </c>
      <c r="BC181" s="247">
        <v>27390662.299558982</v>
      </c>
      <c r="BD181" s="224">
        <v>27390662.299558982</v>
      </c>
      <c r="BE181" s="224">
        <v>27390662.299558982</v>
      </c>
      <c r="BF181" s="224">
        <v>27390662.299558982</v>
      </c>
      <c r="BG181" s="224">
        <v>27390662.299558982</v>
      </c>
      <c r="BH181" s="224">
        <v>27390662.299558982</v>
      </c>
      <c r="BI181" s="224">
        <v>27390662.299558982</v>
      </c>
      <c r="BJ181" s="224">
        <v>27390662.299558982</v>
      </c>
      <c r="BK181" s="224">
        <v>27390662.299558982</v>
      </c>
      <c r="BL181" s="224">
        <v>27390662.299558982</v>
      </c>
      <c r="BM181" s="224">
        <v>27390662.299558982</v>
      </c>
      <c r="BN181" s="224">
        <v>27390662.299558982</v>
      </c>
      <c r="BO181" s="224">
        <v>27390662.299558982</v>
      </c>
    </row>
    <row r="182" spans="1:67">
      <c r="A182" s="223">
        <v>2</v>
      </c>
      <c r="B182" s="151" t="s">
        <v>333</v>
      </c>
      <c r="C182" s="223">
        <v>180</v>
      </c>
      <c r="D182" s="225">
        <f>+D184</f>
        <v>143953206.36363634</v>
      </c>
      <c r="E182" s="225">
        <f t="shared" ref="E182:BO182" si="113">+E184</f>
        <v>143953206.36363634</v>
      </c>
      <c r="F182" s="225">
        <f t="shared" si="113"/>
        <v>143953206.36363634</v>
      </c>
      <c r="G182" s="225">
        <f t="shared" si="113"/>
        <v>143953206.36363634</v>
      </c>
      <c r="H182" s="225">
        <f t="shared" si="113"/>
        <v>143953206.36363634</v>
      </c>
      <c r="I182" s="225">
        <f t="shared" si="113"/>
        <v>143953206.36363634</v>
      </c>
      <c r="J182" s="225">
        <f t="shared" si="113"/>
        <v>143953206.36363634</v>
      </c>
      <c r="K182" s="225">
        <f t="shared" si="113"/>
        <v>143953206.36363634</v>
      </c>
      <c r="L182" s="225">
        <f t="shared" si="113"/>
        <v>143953206.36363634</v>
      </c>
      <c r="M182" s="225">
        <f t="shared" si="113"/>
        <v>143953206.36363634</v>
      </c>
      <c r="N182" s="225">
        <f t="shared" si="113"/>
        <v>143953206.36363634</v>
      </c>
      <c r="O182" s="225">
        <f t="shared" si="113"/>
        <v>143953206.36363634</v>
      </c>
      <c r="P182" s="225">
        <f t="shared" si="113"/>
        <v>143953206.36363634</v>
      </c>
      <c r="Q182" s="225">
        <f t="shared" si="113"/>
        <v>143953206.36363634</v>
      </c>
      <c r="R182" s="225">
        <f t="shared" si="113"/>
        <v>143953206.36363634</v>
      </c>
      <c r="S182" s="225">
        <f t="shared" si="113"/>
        <v>143953206.36363634</v>
      </c>
      <c r="T182" s="225">
        <f t="shared" si="113"/>
        <v>143953206.36363634</v>
      </c>
      <c r="U182" s="225">
        <f t="shared" si="113"/>
        <v>143953206.36363634</v>
      </c>
      <c r="V182" s="225">
        <f t="shared" si="113"/>
        <v>143953206.36363634</v>
      </c>
      <c r="W182" s="225">
        <f t="shared" si="113"/>
        <v>143953206.36363634</v>
      </c>
      <c r="X182" s="225">
        <f t="shared" si="113"/>
        <v>143953206.36363634</v>
      </c>
      <c r="Y182" s="225">
        <f t="shared" si="113"/>
        <v>143953206.36363634</v>
      </c>
      <c r="Z182" s="225">
        <f t="shared" si="113"/>
        <v>143953206.36363634</v>
      </c>
      <c r="AA182" s="225">
        <f t="shared" si="113"/>
        <v>143953206.36363634</v>
      </c>
      <c r="AB182" s="225">
        <f t="shared" si="113"/>
        <v>143953206.36363634</v>
      </c>
      <c r="AC182" s="225">
        <f t="shared" si="113"/>
        <v>143953206.36363634</v>
      </c>
      <c r="AD182" s="225">
        <f t="shared" si="113"/>
        <v>143953206.36363634</v>
      </c>
      <c r="AE182" s="225">
        <f t="shared" si="113"/>
        <v>143953206.36363634</v>
      </c>
      <c r="AF182" s="225">
        <f t="shared" si="113"/>
        <v>143953206.36363634</v>
      </c>
      <c r="AG182" s="225">
        <f t="shared" si="113"/>
        <v>143953206.36363634</v>
      </c>
      <c r="AH182" s="225">
        <f t="shared" si="113"/>
        <v>143953206.36363634</v>
      </c>
      <c r="AI182" s="225">
        <f t="shared" si="113"/>
        <v>143953206.36363634</v>
      </c>
      <c r="AJ182" s="225">
        <f t="shared" si="113"/>
        <v>143953206.36363634</v>
      </c>
      <c r="AK182" s="225">
        <f t="shared" si="113"/>
        <v>143953206.36363634</v>
      </c>
      <c r="AL182" s="225">
        <f t="shared" si="113"/>
        <v>143953206.36363634</v>
      </c>
      <c r="AM182" s="225">
        <f t="shared" si="113"/>
        <v>143953206.36363634</v>
      </c>
      <c r="AN182" s="225">
        <f t="shared" si="113"/>
        <v>143953206.36363634</v>
      </c>
      <c r="AO182" s="225">
        <f t="shared" si="113"/>
        <v>143953206.36363634</v>
      </c>
      <c r="AP182" s="225">
        <f t="shared" si="113"/>
        <v>143953206.36363634</v>
      </c>
      <c r="AQ182" s="225">
        <f t="shared" si="113"/>
        <v>143953206.36363634</v>
      </c>
      <c r="AR182" s="225">
        <f t="shared" si="113"/>
        <v>143953206.36363634</v>
      </c>
      <c r="AS182" s="225">
        <f t="shared" si="113"/>
        <v>143953206.36363634</v>
      </c>
      <c r="AT182" s="225">
        <f t="shared" si="113"/>
        <v>143953206.36363634</v>
      </c>
      <c r="AU182" s="225">
        <f t="shared" si="113"/>
        <v>143953206.36363634</v>
      </c>
      <c r="AV182" s="225">
        <f t="shared" si="113"/>
        <v>143953206.36363634</v>
      </c>
      <c r="AW182" s="225">
        <f t="shared" si="113"/>
        <v>143953206.36363634</v>
      </c>
      <c r="AX182" s="225">
        <f t="shared" si="113"/>
        <v>143953206.36363634</v>
      </c>
      <c r="AY182" s="225">
        <f t="shared" si="113"/>
        <v>143953206.36363634</v>
      </c>
      <c r="AZ182" s="225">
        <f t="shared" si="113"/>
        <v>143953206.36363634</v>
      </c>
      <c r="BA182" s="225">
        <f t="shared" si="113"/>
        <v>143953206.36363634</v>
      </c>
      <c r="BB182" s="225">
        <f t="shared" si="113"/>
        <v>143953206.36363634</v>
      </c>
      <c r="BC182" s="225">
        <f t="shared" si="113"/>
        <v>143953206.36363634</v>
      </c>
      <c r="BD182" s="225">
        <f t="shared" si="113"/>
        <v>143953206.36363634</v>
      </c>
      <c r="BE182" s="225">
        <f t="shared" si="113"/>
        <v>143953206.36363634</v>
      </c>
      <c r="BF182" s="225">
        <f t="shared" si="113"/>
        <v>143953206.36363634</v>
      </c>
      <c r="BG182" s="225">
        <f t="shared" si="113"/>
        <v>143953206.36363634</v>
      </c>
      <c r="BH182" s="225">
        <f t="shared" si="113"/>
        <v>143953206.36363634</v>
      </c>
      <c r="BI182" s="225">
        <f t="shared" si="113"/>
        <v>143953206.36363634</v>
      </c>
      <c r="BJ182" s="225">
        <f t="shared" si="113"/>
        <v>143953206.36363634</v>
      </c>
      <c r="BK182" s="225">
        <f t="shared" si="113"/>
        <v>143953206.36363634</v>
      </c>
      <c r="BL182" s="225">
        <f t="shared" si="113"/>
        <v>143953206.36363634</v>
      </c>
      <c r="BM182" s="225">
        <f t="shared" si="113"/>
        <v>143953206.36363634</v>
      </c>
      <c r="BN182" s="225">
        <f t="shared" si="113"/>
        <v>143953206.36363634</v>
      </c>
      <c r="BO182" s="225">
        <f t="shared" si="113"/>
        <v>143953206.36363634</v>
      </c>
    </row>
    <row r="183" spans="1:67">
      <c r="A183" s="223">
        <v>3</v>
      </c>
      <c r="B183" s="151" t="s">
        <v>334</v>
      </c>
      <c r="C183" s="223">
        <v>181</v>
      </c>
      <c r="D183" s="225">
        <v>27390662.299558982</v>
      </c>
      <c r="E183" s="225">
        <v>27390662.299558982</v>
      </c>
      <c r="F183" s="225">
        <v>27390662.299558982</v>
      </c>
      <c r="G183" s="225">
        <v>27390662.299558982</v>
      </c>
      <c r="H183" s="225">
        <v>27390662.299558982</v>
      </c>
      <c r="I183" s="225">
        <v>27390662.299558982</v>
      </c>
      <c r="J183" s="225">
        <v>27390662.299558982</v>
      </c>
      <c r="K183" s="247">
        <v>27390662.299558982</v>
      </c>
      <c r="L183" s="237">
        <v>27390662.299558982</v>
      </c>
      <c r="M183" s="237">
        <v>27390662.299558982</v>
      </c>
      <c r="N183" s="237">
        <v>27390662.299558982</v>
      </c>
      <c r="O183" s="237">
        <v>27390662.299558982</v>
      </c>
      <c r="P183" s="237">
        <v>27390662.299558982</v>
      </c>
      <c r="Q183" s="237">
        <v>27390662.299558982</v>
      </c>
      <c r="R183" s="237">
        <v>27390662.299558982</v>
      </c>
      <c r="S183" s="237">
        <v>27390662.299558982</v>
      </c>
      <c r="T183" s="224">
        <v>27390662.299558982</v>
      </c>
      <c r="U183" s="224">
        <v>27390662.299558982</v>
      </c>
      <c r="V183" s="224">
        <v>27390662.299558982</v>
      </c>
      <c r="W183" s="224">
        <v>27390662.299558982</v>
      </c>
      <c r="X183" s="226">
        <v>27390662.299558982</v>
      </c>
      <c r="Y183" s="226">
        <v>27390662.299558982</v>
      </c>
      <c r="Z183" s="226">
        <v>27390662.299558982</v>
      </c>
      <c r="AA183" s="247">
        <v>27390662.299558982</v>
      </c>
      <c r="AB183" s="247">
        <v>27390662.299558982</v>
      </c>
      <c r="AC183" s="247">
        <v>27390662.299558982</v>
      </c>
      <c r="AD183" s="224">
        <v>27390662.299558982</v>
      </c>
      <c r="AE183" s="247">
        <v>27390662.299558982</v>
      </c>
      <c r="AF183" s="247">
        <v>27390662.299558982</v>
      </c>
      <c r="AG183" s="224">
        <v>27390662.299558982</v>
      </c>
      <c r="AH183" s="226">
        <v>27543859.832189105</v>
      </c>
      <c r="AI183" s="226">
        <v>27543859.832189105</v>
      </c>
      <c r="AJ183" s="226">
        <v>27543859.832189105</v>
      </c>
      <c r="AK183" s="226">
        <v>27543859.832189105</v>
      </c>
      <c r="AL183" s="226">
        <v>27543859.832189105</v>
      </c>
      <c r="AM183" s="226">
        <v>27543859.832189105</v>
      </c>
      <c r="AN183" s="235">
        <v>27543859.832189105</v>
      </c>
      <c r="AO183" s="235">
        <v>27543859.832189105</v>
      </c>
      <c r="AP183" s="235">
        <v>27543859.832189105</v>
      </c>
      <c r="AQ183" s="236">
        <v>27543859.832189105</v>
      </c>
      <c r="AR183" s="236">
        <v>27543859.832189105</v>
      </c>
      <c r="AS183" s="236">
        <v>27543859.832189105</v>
      </c>
      <c r="AT183" s="236">
        <v>27543859.832189105</v>
      </c>
      <c r="AU183" s="236">
        <v>27543859.832189105</v>
      </c>
      <c r="AV183" s="236">
        <v>27543859.832189105</v>
      </c>
      <c r="AW183" s="226">
        <v>27454054.38202662</v>
      </c>
      <c r="AX183" s="226">
        <v>27454054.38202662</v>
      </c>
      <c r="AY183" s="226">
        <v>27454054.38202662</v>
      </c>
      <c r="AZ183" s="226">
        <v>27454054.38202662</v>
      </c>
      <c r="BA183" s="226">
        <v>27454054.38202662</v>
      </c>
      <c r="BB183" s="226">
        <v>27454054.38202662</v>
      </c>
      <c r="BC183" s="247">
        <v>27390662.299558982</v>
      </c>
      <c r="BD183" s="224">
        <v>27390662.299558982</v>
      </c>
      <c r="BE183" s="224">
        <v>27390662.299558982</v>
      </c>
      <c r="BF183" s="224">
        <v>27390662.299558982</v>
      </c>
      <c r="BG183" s="224">
        <v>27390662.299558982</v>
      </c>
      <c r="BH183" s="224">
        <v>27390662.299558982</v>
      </c>
      <c r="BI183" s="224">
        <v>27390662.299558982</v>
      </c>
      <c r="BJ183" s="224">
        <v>27390662.299558982</v>
      </c>
      <c r="BK183" s="224">
        <v>27390662.299558982</v>
      </c>
      <c r="BL183" s="224">
        <v>27390662.299558982</v>
      </c>
      <c r="BM183" s="224">
        <v>27390662.299558982</v>
      </c>
      <c r="BN183" s="224">
        <v>27390662.299558982</v>
      </c>
      <c r="BO183" s="224">
        <v>27390662.299558982</v>
      </c>
    </row>
    <row r="184" spans="1:67">
      <c r="A184" s="223">
        <v>4</v>
      </c>
      <c r="B184" s="151" t="s">
        <v>335</v>
      </c>
      <c r="C184" s="223">
        <v>182</v>
      </c>
      <c r="D184" s="225">
        <f>+D185/1.1</f>
        <v>143953206.36363634</v>
      </c>
      <c r="E184" s="225">
        <f t="shared" ref="E184:BO184" si="114">+E185/1.1</f>
        <v>143953206.36363634</v>
      </c>
      <c r="F184" s="225">
        <f t="shared" si="114"/>
        <v>143953206.36363634</v>
      </c>
      <c r="G184" s="225">
        <f t="shared" si="114"/>
        <v>143953206.36363634</v>
      </c>
      <c r="H184" s="225">
        <f t="shared" si="114"/>
        <v>143953206.36363634</v>
      </c>
      <c r="I184" s="225">
        <f t="shared" si="114"/>
        <v>143953206.36363634</v>
      </c>
      <c r="J184" s="225">
        <f t="shared" si="114"/>
        <v>143953206.36363634</v>
      </c>
      <c r="K184" s="225">
        <f t="shared" si="114"/>
        <v>143953206.36363634</v>
      </c>
      <c r="L184" s="225">
        <f t="shared" si="114"/>
        <v>143953206.36363634</v>
      </c>
      <c r="M184" s="225">
        <f t="shared" si="114"/>
        <v>143953206.36363634</v>
      </c>
      <c r="N184" s="225">
        <f t="shared" si="114"/>
        <v>143953206.36363634</v>
      </c>
      <c r="O184" s="225">
        <f t="shared" si="114"/>
        <v>143953206.36363634</v>
      </c>
      <c r="P184" s="225">
        <f t="shared" si="114"/>
        <v>143953206.36363634</v>
      </c>
      <c r="Q184" s="225">
        <f t="shared" si="114"/>
        <v>143953206.36363634</v>
      </c>
      <c r="R184" s="225">
        <f t="shared" si="114"/>
        <v>143953206.36363634</v>
      </c>
      <c r="S184" s="225">
        <f t="shared" si="114"/>
        <v>143953206.36363634</v>
      </c>
      <c r="T184" s="225">
        <f t="shared" si="114"/>
        <v>143953206.36363634</v>
      </c>
      <c r="U184" s="225">
        <f t="shared" si="114"/>
        <v>143953206.36363634</v>
      </c>
      <c r="V184" s="225">
        <f t="shared" si="114"/>
        <v>143953206.36363634</v>
      </c>
      <c r="W184" s="225">
        <f t="shared" si="114"/>
        <v>143953206.36363634</v>
      </c>
      <c r="X184" s="225">
        <f t="shared" si="114"/>
        <v>143953206.36363634</v>
      </c>
      <c r="Y184" s="225">
        <f t="shared" si="114"/>
        <v>143953206.36363634</v>
      </c>
      <c r="Z184" s="225">
        <f t="shared" si="114"/>
        <v>143953206.36363634</v>
      </c>
      <c r="AA184" s="225">
        <f t="shared" si="114"/>
        <v>143953206.36363634</v>
      </c>
      <c r="AB184" s="225">
        <f t="shared" si="114"/>
        <v>143953206.36363634</v>
      </c>
      <c r="AC184" s="225">
        <f t="shared" si="114"/>
        <v>143953206.36363634</v>
      </c>
      <c r="AD184" s="225">
        <f t="shared" si="114"/>
        <v>143953206.36363634</v>
      </c>
      <c r="AE184" s="225">
        <f t="shared" si="114"/>
        <v>143953206.36363634</v>
      </c>
      <c r="AF184" s="225">
        <f t="shared" si="114"/>
        <v>143953206.36363634</v>
      </c>
      <c r="AG184" s="225">
        <f t="shared" si="114"/>
        <v>143953206.36363634</v>
      </c>
      <c r="AH184" s="225">
        <f t="shared" si="114"/>
        <v>143953206.36363634</v>
      </c>
      <c r="AI184" s="225">
        <f t="shared" si="114"/>
        <v>143953206.36363634</v>
      </c>
      <c r="AJ184" s="225">
        <f t="shared" si="114"/>
        <v>143953206.36363634</v>
      </c>
      <c r="AK184" s="225">
        <f t="shared" si="114"/>
        <v>143953206.36363634</v>
      </c>
      <c r="AL184" s="225">
        <f t="shared" si="114"/>
        <v>143953206.36363634</v>
      </c>
      <c r="AM184" s="225">
        <f t="shared" si="114"/>
        <v>143953206.36363634</v>
      </c>
      <c r="AN184" s="225">
        <f t="shared" si="114"/>
        <v>143953206.36363634</v>
      </c>
      <c r="AO184" s="225">
        <f t="shared" si="114"/>
        <v>143953206.36363634</v>
      </c>
      <c r="AP184" s="225">
        <f t="shared" si="114"/>
        <v>143953206.36363634</v>
      </c>
      <c r="AQ184" s="225">
        <f t="shared" si="114"/>
        <v>143953206.36363634</v>
      </c>
      <c r="AR184" s="225">
        <f t="shared" si="114"/>
        <v>143953206.36363634</v>
      </c>
      <c r="AS184" s="225">
        <f t="shared" si="114"/>
        <v>143953206.36363634</v>
      </c>
      <c r="AT184" s="225">
        <f t="shared" si="114"/>
        <v>143953206.36363634</v>
      </c>
      <c r="AU184" s="225">
        <f t="shared" si="114"/>
        <v>143953206.36363634</v>
      </c>
      <c r="AV184" s="225">
        <f t="shared" si="114"/>
        <v>143953206.36363634</v>
      </c>
      <c r="AW184" s="225">
        <f t="shared" si="114"/>
        <v>143953206.36363634</v>
      </c>
      <c r="AX184" s="225">
        <f t="shared" si="114"/>
        <v>143953206.36363634</v>
      </c>
      <c r="AY184" s="225">
        <f t="shared" si="114"/>
        <v>143953206.36363634</v>
      </c>
      <c r="AZ184" s="225">
        <f t="shared" si="114"/>
        <v>143953206.36363634</v>
      </c>
      <c r="BA184" s="225">
        <f t="shared" si="114"/>
        <v>143953206.36363634</v>
      </c>
      <c r="BB184" s="225">
        <f t="shared" si="114"/>
        <v>143953206.36363634</v>
      </c>
      <c r="BC184" s="225">
        <f t="shared" si="114"/>
        <v>143953206.36363634</v>
      </c>
      <c r="BD184" s="225">
        <f t="shared" si="114"/>
        <v>143953206.36363634</v>
      </c>
      <c r="BE184" s="225">
        <f t="shared" si="114"/>
        <v>143953206.36363634</v>
      </c>
      <c r="BF184" s="225">
        <f t="shared" si="114"/>
        <v>143953206.36363634</v>
      </c>
      <c r="BG184" s="225">
        <f t="shared" si="114"/>
        <v>143953206.36363634</v>
      </c>
      <c r="BH184" s="225">
        <f t="shared" si="114"/>
        <v>143953206.36363634</v>
      </c>
      <c r="BI184" s="225">
        <f t="shared" si="114"/>
        <v>143953206.36363634</v>
      </c>
      <c r="BJ184" s="225">
        <f t="shared" si="114"/>
        <v>143953206.36363634</v>
      </c>
      <c r="BK184" s="225">
        <f t="shared" si="114"/>
        <v>143953206.36363634</v>
      </c>
      <c r="BL184" s="225">
        <f t="shared" si="114"/>
        <v>143953206.36363634</v>
      </c>
      <c r="BM184" s="225">
        <f t="shared" si="114"/>
        <v>143953206.36363634</v>
      </c>
      <c r="BN184" s="225">
        <f t="shared" si="114"/>
        <v>143953206.36363634</v>
      </c>
      <c r="BO184" s="225">
        <f t="shared" si="114"/>
        <v>143953206.36363634</v>
      </c>
    </row>
    <row r="185" spans="1:67">
      <c r="A185" s="256"/>
      <c r="B185" s="151" t="s">
        <v>1565</v>
      </c>
      <c r="C185" s="223">
        <v>183</v>
      </c>
      <c r="D185" s="259">
        <v>158348527</v>
      </c>
      <c r="E185" s="259">
        <v>158348527</v>
      </c>
      <c r="F185" s="259">
        <v>158348527</v>
      </c>
      <c r="G185" s="259">
        <v>158348527</v>
      </c>
      <c r="H185" s="259">
        <v>158348527</v>
      </c>
      <c r="I185" s="259">
        <v>158348527</v>
      </c>
      <c r="J185" s="259">
        <v>158348527</v>
      </c>
      <c r="K185" s="343">
        <v>158348527</v>
      </c>
      <c r="L185" s="260">
        <v>158348527</v>
      </c>
      <c r="M185" s="260">
        <v>158348527</v>
      </c>
      <c r="N185" s="260">
        <v>158348527</v>
      </c>
      <c r="O185" s="260">
        <v>158348527</v>
      </c>
      <c r="P185" s="260">
        <v>158348527</v>
      </c>
      <c r="Q185" s="260">
        <v>158348527</v>
      </c>
      <c r="R185" s="260">
        <v>158348527</v>
      </c>
      <c r="S185" s="260">
        <v>158348527</v>
      </c>
      <c r="T185" s="258">
        <v>158348527</v>
      </c>
      <c r="U185" s="258">
        <v>158348527</v>
      </c>
      <c r="V185" s="258">
        <v>158348527</v>
      </c>
      <c r="W185" s="258">
        <v>158348527</v>
      </c>
      <c r="X185" s="261">
        <v>158348527</v>
      </c>
      <c r="Y185" s="261">
        <v>158348527</v>
      </c>
      <c r="Z185" s="261">
        <v>158348527</v>
      </c>
      <c r="AA185" s="343">
        <v>158348527</v>
      </c>
      <c r="AB185" s="343">
        <v>158348527</v>
      </c>
      <c r="AC185" s="343">
        <v>158348527</v>
      </c>
      <c r="AD185" s="258">
        <v>158348527</v>
      </c>
      <c r="AE185" s="343">
        <v>158348527</v>
      </c>
      <c r="AF185" s="343">
        <v>158348527</v>
      </c>
      <c r="AG185" s="258">
        <v>158348527</v>
      </c>
      <c r="AH185" s="261">
        <v>158348527</v>
      </c>
      <c r="AI185" s="261">
        <v>158348527</v>
      </c>
      <c r="AJ185" s="261">
        <v>158348527</v>
      </c>
      <c r="AK185" s="261">
        <v>158348527</v>
      </c>
      <c r="AL185" s="261">
        <v>158348527</v>
      </c>
      <c r="AM185" s="261">
        <v>158348527</v>
      </c>
      <c r="AN185" s="262">
        <v>158348527</v>
      </c>
      <c r="AO185" s="262">
        <v>158348527</v>
      </c>
      <c r="AP185" s="262">
        <v>158348527</v>
      </c>
      <c r="AQ185" s="263">
        <v>158348527</v>
      </c>
      <c r="AR185" s="263">
        <v>158348527</v>
      </c>
      <c r="AS185" s="263">
        <v>158348527</v>
      </c>
      <c r="AT185" s="263">
        <v>158348527</v>
      </c>
      <c r="AU185" s="263">
        <v>158348527</v>
      </c>
      <c r="AV185" s="263">
        <v>158348527</v>
      </c>
      <c r="AW185" s="261">
        <v>158348527</v>
      </c>
      <c r="AX185" s="261">
        <v>158348527</v>
      </c>
      <c r="AY185" s="261">
        <v>158348527</v>
      </c>
      <c r="AZ185" s="261">
        <v>158348527</v>
      </c>
      <c r="BA185" s="261">
        <v>158348527</v>
      </c>
      <c r="BB185" s="261">
        <v>158348527</v>
      </c>
      <c r="BC185" s="343">
        <v>158348527</v>
      </c>
      <c r="BD185" s="258">
        <v>158348527</v>
      </c>
      <c r="BE185" s="258">
        <v>158348527</v>
      </c>
      <c r="BF185" s="258">
        <v>158348527</v>
      </c>
      <c r="BG185" s="258">
        <v>158348527</v>
      </c>
      <c r="BH185" s="258">
        <v>158348527</v>
      </c>
      <c r="BI185" s="258">
        <v>158348527</v>
      </c>
      <c r="BJ185" s="258">
        <v>158348527</v>
      </c>
      <c r="BK185" s="258">
        <v>158348527</v>
      </c>
      <c r="BL185" s="258">
        <v>158348527</v>
      </c>
      <c r="BM185" s="258">
        <v>158348527</v>
      </c>
      <c r="BN185" s="258">
        <v>158348527</v>
      </c>
      <c r="BO185" s="258">
        <v>158348527</v>
      </c>
    </row>
    <row r="186" spans="1:67">
      <c r="A186" s="229" t="s">
        <v>225</v>
      </c>
      <c r="B186" s="230" t="s">
        <v>277</v>
      </c>
      <c r="C186" s="223">
        <v>184</v>
      </c>
      <c r="D186" s="248"/>
      <c r="E186" s="225"/>
      <c r="F186" s="225"/>
      <c r="G186" s="225"/>
      <c r="H186" s="225"/>
      <c r="I186" s="225"/>
      <c r="J186" s="225"/>
      <c r="K186" s="237"/>
      <c r="L186" s="237">
        <f t="shared" ref="L186:S194" si="115">K186</f>
        <v>0</v>
      </c>
      <c r="M186" s="237">
        <f t="shared" si="115"/>
        <v>0</v>
      </c>
      <c r="N186" s="237">
        <f t="shared" si="115"/>
        <v>0</v>
      </c>
      <c r="O186" s="237">
        <f t="shared" si="115"/>
        <v>0</v>
      </c>
      <c r="P186" s="237">
        <f t="shared" si="115"/>
        <v>0</v>
      </c>
      <c r="Q186" s="237">
        <f t="shared" si="115"/>
        <v>0</v>
      </c>
      <c r="R186" s="237">
        <f t="shared" si="115"/>
        <v>0</v>
      </c>
      <c r="S186" s="237">
        <f t="shared" si="115"/>
        <v>0</v>
      </c>
      <c r="T186" s="224"/>
      <c r="U186" s="224">
        <f t="shared" si="107"/>
        <v>0</v>
      </c>
      <c r="V186" s="224">
        <f t="shared" si="107"/>
        <v>0</v>
      </c>
      <c r="W186" s="224">
        <f t="shared" si="107"/>
        <v>0</v>
      </c>
      <c r="X186" s="226"/>
      <c r="Y186" s="226">
        <f t="shared" si="108"/>
        <v>0</v>
      </c>
      <c r="Z186" s="226">
        <f t="shared" si="108"/>
        <v>0</v>
      </c>
      <c r="AA186" s="248"/>
      <c r="AB186" s="248"/>
      <c r="AC186" s="248"/>
      <c r="AD186" s="224">
        <f t="shared" si="92"/>
        <v>0</v>
      </c>
      <c r="AE186" s="248"/>
      <c r="AF186" s="248"/>
      <c r="AG186" s="224">
        <f t="shared" si="93"/>
        <v>0</v>
      </c>
      <c r="AH186" s="226"/>
      <c r="AI186" s="226">
        <f t="shared" si="109"/>
        <v>0</v>
      </c>
      <c r="AJ186" s="226">
        <f t="shared" si="109"/>
        <v>0</v>
      </c>
      <c r="AK186" s="226">
        <f t="shared" si="109"/>
        <v>0</v>
      </c>
      <c r="AL186" s="226">
        <f t="shared" si="109"/>
        <v>0</v>
      </c>
      <c r="AM186" s="226">
        <f t="shared" si="109"/>
        <v>0</v>
      </c>
      <c r="AN186" s="235"/>
      <c r="AO186" s="235">
        <f t="shared" si="110"/>
        <v>0</v>
      </c>
      <c r="AP186" s="235">
        <f t="shared" si="110"/>
        <v>0</v>
      </c>
      <c r="AQ186" s="236">
        <f t="shared" si="110"/>
        <v>0</v>
      </c>
      <c r="AR186" s="236">
        <f t="shared" si="110"/>
        <v>0</v>
      </c>
      <c r="AS186" s="236">
        <f t="shared" si="110"/>
        <v>0</v>
      </c>
      <c r="AT186" s="236">
        <f t="shared" si="110"/>
        <v>0</v>
      </c>
      <c r="AU186" s="236">
        <f t="shared" si="110"/>
        <v>0</v>
      </c>
      <c r="AV186" s="236">
        <f t="shared" si="110"/>
        <v>0</v>
      </c>
      <c r="AW186" s="226"/>
      <c r="AX186" s="226">
        <f t="shared" si="111"/>
        <v>0</v>
      </c>
      <c r="AY186" s="226">
        <f t="shared" si="111"/>
        <v>0</v>
      </c>
      <c r="AZ186" s="226">
        <f t="shared" si="111"/>
        <v>0</v>
      </c>
      <c r="BA186" s="226">
        <f t="shared" si="111"/>
        <v>0</v>
      </c>
      <c r="BB186" s="226">
        <f t="shared" si="111"/>
        <v>0</v>
      </c>
      <c r="BC186" s="248"/>
      <c r="BD186" s="224">
        <f t="shared" si="112"/>
        <v>0</v>
      </c>
      <c r="BE186" s="224">
        <f t="shared" si="112"/>
        <v>0</v>
      </c>
      <c r="BF186" s="224">
        <f t="shared" si="112"/>
        <v>0</v>
      </c>
      <c r="BG186" s="224">
        <f t="shared" si="112"/>
        <v>0</v>
      </c>
      <c r="BH186" s="224">
        <f t="shared" si="112"/>
        <v>0</v>
      </c>
      <c r="BI186" s="224">
        <f t="shared" si="112"/>
        <v>0</v>
      </c>
      <c r="BJ186" s="224">
        <f t="shared" si="112"/>
        <v>0</v>
      </c>
      <c r="BK186" s="224">
        <f t="shared" si="112"/>
        <v>0</v>
      </c>
      <c r="BL186" s="224">
        <f t="shared" si="112"/>
        <v>0</v>
      </c>
      <c r="BM186" s="224">
        <f t="shared" si="112"/>
        <v>0</v>
      </c>
      <c r="BN186" s="224">
        <f t="shared" si="112"/>
        <v>0</v>
      </c>
      <c r="BO186" s="224">
        <f t="shared" si="112"/>
        <v>0</v>
      </c>
    </row>
    <row r="187" spans="1:67">
      <c r="A187" s="223">
        <v>1</v>
      </c>
      <c r="B187" s="151" t="s">
        <v>311</v>
      </c>
      <c r="C187" s="223">
        <v>185</v>
      </c>
      <c r="D187" s="248">
        <v>4020851.0025400007</v>
      </c>
      <c r="E187" s="225">
        <f t="shared" ref="E187:J189" si="116">D187</f>
        <v>4020851.0025400007</v>
      </c>
      <c r="F187" s="225">
        <f t="shared" si="116"/>
        <v>4020851.0025400007</v>
      </c>
      <c r="G187" s="225">
        <f t="shared" si="116"/>
        <v>4020851.0025400007</v>
      </c>
      <c r="H187" s="225">
        <f t="shared" si="116"/>
        <v>4020851.0025400007</v>
      </c>
      <c r="I187" s="225">
        <f t="shared" si="116"/>
        <v>4020851.0025400007</v>
      </c>
      <c r="J187" s="225">
        <f t="shared" si="116"/>
        <v>4020851.0025400007</v>
      </c>
      <c r="K187" s="237">
        <v>4020851.0025400007</v>
      </c>
      <c r="L187" s="237">
        <f t="shared" si="115"/>
        <v>4020851.0025400007</v>
      </c>
      <c r="M187" s="237">
        <f t="shared" si="115"/>
        <v>4020851.0025400007</v>
      </c>
      <c r="N187" s="237">
        <f t="shared" si="115"/>
        <v>4020851.0025400007</v>
      </c>
      <c r="O187" s="237">
        <f t="shared" si="115"/>
        <v>4020851.0025400007</v>
      </c>
      <c r="P187" s="237">
        <f t="shared" si="115"/>
        <v>4020851.0025400007</v>
      </c>
      <c r="Q187" s="237">
        <f t="shared" si="115"/>
        <v>4020851.0025400007</v>
      </c>
      <c r="R187" s="237">
        <f t="shared" si="115"/>
        <v>4020851.0025400007</v>
      </c>
      <c r="S187" s="237">
        <f t="shared" si="115"/>
        <v>4020851.0025400007</v>
      </c>
      <c r="T187" s="248">
        <v>4020851.0025400007</v>
      </c>
      <c r="U187" s="224">
        <f t="shared" si="107"/>
        <v>4020851.0025400007</v>
      </c>
      <c r="V187" s="224">
        <f t="shared" si="107"/>
        <v>4020851.0025400007</v>
      </c>
      <c r="W187" s="224">
        <f t="shared" si="107"/>
        <v>4020851.0025400007</v>
      </c>
      <c r="X187" s="226">
        <v>4020851.0025400007</v>
      </c>
      <c r="Y187" s="226">
        <f t="shared" si="108"/>
        <v>4020851.0025400007</v>
      </c>
      <c r="Z187" s="226">
        <f t="shared" si="108"/>
        <v>4020851.0025400007</v>
      </c>
      <c r="AA187" s="248">
        <v>4020851.0025400007</v>
      </c>
      <c r="AB187" s="248">
        <v>4020851.0025400007</v>
      </c>
      <c r="AC187" s="248">
        <v>4020851.0025400007</v>
      </c>
      <c r="AD187" s="224">
        <f t="shared" si="92"/>
        <v>4020851.0025400007</v>
      </c>
      <c r="AE187" s="248">
        <v>4020851.0025400007</v>
      </c>
      <c r="AF187" s="248">
        <v>4020851.0025400007</v>
      </c>
      <c r="AG187" s="224">
        <f t="shared" si="93"/>
        <v>4020851.0025400007</v>
      </c>
      <c r="AH187" s="226">
        <v>4043339.8509630789</v>
      </c>
      <c r="AI187" s="226">
        <f t="shared" si="109"/>
        <v>4043339.8509630789</v>
      </c>
      <c r="AJ187" s="226">
        <f t="shared" si="109"/>
        <v>4043339.8509630789</v>
      </c>
      <c r="AK187" s="226">
        <f t="shared" si="109"/>
        <v>4043339.8509630789</v>
      </c>
      <c r="AL187" s="226">
        <f t="shared" si="109"/>
        <v>4043339.8509630789</v>
      </c>
      <c r="AM187" s="226">
        <f t="shared" si="109"/>
        <v>4043339.8509630789</v>
      </c>
      <c r="AN187" s="235">
        <v>4043339.8509630789</v>
      </c>
      <c r="AO187" s="235">
        <f t="shared" si="110"/>
        <v>4043339.8509630789</v>
      </c>
      <c r="AP187" s="235">
        <f t="shared" si="110"/>
        <v>4043339.8509630789</v>
      </c>
      <c r="AQ187" s="236">
        <f t="shared" si="110"/>
        <v>4043339.8509630789</v>
      </c>
      <c r="AR187" s="236">
        <f t="shared" si="110"/>
        <v>4043339.8509630789</v>
      </c>
      <c r="AS187" s="236">
        <f t="shared" si="110"/>
        <v>4043339.8509630789</v>
      </c>
      <c r="AT187" s="236">
        <f t="shared" si="110"/>
        <v>4043339.8509630789</v>
      </c>
      <c r="AU187" s="236">
        <f t="shared" si="110"/>
        <v>4043339.8509630789</v>
      </c>
      <c r="AV187" s="236">
        <f t="shared" si="110"/>
        <v>4043339.8509630789</v>
      </c>
      <c r="AW187" s="226">
        <v>4030156.732921964</v>
      </c>
      <c r="AX187" s="226">
        <f t="shared" si="111"/>
        <v>4030156.732921964</v>
      </c>
      <c r="AY187" s="226">
        <f t="shared" si="111"/>
        <v>4030156.732921964</v>
      </c>
      <c r="AZ187" s="226">
        <f t="shared" si="111"/>
        <v>4030156.732921964</v>
      </c>
      <c r="BA187" s="226">
        <f t="shared" si="111"/>
        <v>4030156.732921964</v>
      </c>
      <c r="BB187" s="226">
        <f t="shared" si="111"/>
        <v>4030156.732921964</v>
      </c>
      <c r="BC187" s="248">
        <v>4020851.0025400007</v>
      </c>
      <c r="BD187" s="224">
        <f t="shared" si="112"/>
        <v>4020851.0025400007</v>
      </c>
      <c r="BE187" s="224">
        <f t="shared" si="112"/>
        <v>4020851.0025400007</v>
      </c>
      <c r="BF187" s="224">
        <f t="shared" si="112"/>
        <v>4020851.0025400007</v>
      </c>
      <c r="BG187" s="224">
        <f t="shared" si="112"/>
        <v>4020851.0025400007</v>
      </c>
      <c r="BH187" s="224">
        <f t="shared" si="112"/>
        <v>4020851.0025400007</v>
      </c>
      <c r="BI187" s="224">
        <f t="shared" si="112"/>
        <v>4020851.0025400007</v>
      </c>
      <c r="BJ187" s="224">
        <f t="shared" si="112"/>
        <v>4020851.0025400007</v>
      </c>
      <c r="BK187" s="224">
        <f t="shared" si="112"/>
        <v>4020851.0025400007</v>
      </c>
      <c r="BL187" s="224">
        <f t="shared" si="112"/>
        <v>4020851.0025400007</v>
      </c>
      <c r="BM187" s="224">
        <f t="shared" si="112"/>
        <v>4020851.0025400007</v>
      </c>
      <c r="BN187" s="224">
        <f t="shared" si="112"/>
        <v>4020851.0025400007</v>
      </c>
      <c r="BO187" s="224">
        <f t="shared" si="112"/>
        <v>4020851.0025400007</v>
      </c>
    </row>
    <row r="188" spans="1:67">
      <c r="A188" s="223">
        <v>2</v>
      </c>
      <c r="B188" s="151" t="s">
        <v>312</v>
      </c>
      <c r="C188" s="223">
        <v>186</v>
      </c>
      <c r="D188" s="248">
        <v>5022437.8253898481</v>
      </c>
      <c r="E188" s="225">
        <f t="shared" si="116"/>
        <v>5022437.8253898481</v>
      </c>
      <c r="F188" s="225">
        <f t="shared" si="116"/>
        <v>5022437.8253898481</v>
      </c>
      <c r="G188" s="225">
        <f t="shared" si="116"/>
        <v>5022437.8253898481</v>
      </c>
      <c r="H188" s="225">
        <f t="shared" si="116"/>
        <v>5022437.8253898481</v>
      </c>
      <c r="I188" s="225">
        <f t="shared" si="116"/>
        <v>5022437.8253898481</v>
      </c>
      <c r="J188" s="225">
        <f t="shared" si="116"/>
        <v>5022437.8253898481</v>
      </c>
      <c r="K188" s="237">
        <v>5022437.8253898481</v>
      </c>
      <c r="L188" s="237">
        <f t="shared" si="115"/>
        <v>5022437.8253898481</v>
      </c>
      <c r="M188" s="237">
        <f t="shared" si="115"/>
        <v>5022437.8253898481</v>
      </c>
      <c r="N188" s="237">
        <f t="shared" si="115"/>
        <v>5022437.8253898481</v>
      </c>
      <c r="O188" s="237">
        <f t="shared" si="115"/>
        <v>5022437.8253898481</v>
      </c>
      <c r="P188" s="237">
        <f t="shared" si="115"/>
        <v>5022437.8253898481</v>
      </c>
      <c r="Q188" s="237">
        <f t="shared" si="115"/>
        <v>5022437.8253898481</v>
      </c>
      <c r="R188" s="237">
        <f t="shared" si="115"/>
        <v>5022437.8253898481</v>
      </c>
      <c r="S188" s="237">
        <f t="shared" si="115"/>
        <v>5022437.8253898481</v>
      </c>
      <c r="T188" s="248">
        <v>5022437.8253898481</v>
      </c>
      <c r="U188" s="224">
        <f t="shared" si="107"/>
        <v>5022437.8253898481</v>
      </c>
      <c r="V188" s="224">
        <f t="shared" si="107"/>
        <v>5022437.8253898481</v>
      </c>
      <c r="W188" s="224">
        <f t="shared" si="107"/>
        <v>5022437.8253898481</v>
      </c>
      <c r="X188" s="226">
        <v>5022437.8253898481</v>
      </c>
      <c r="Y188" s="226">
        <f t="shared" si="108"/>
        <v>5022437.8253898481</v>
      </c>
      <c r="Z188" s="226">
        <f t="shared" si="108"/>
        <v>5022437.8253898481</v>
      </c>
      <c r="AA188" s="248">
        <v>5022437.8253898481</v>
      </c>
      <c r="AB188" s="248">
        <v>5022437.8253898481</v>
      </c>
      <c r="AC188" s="248">
        <v>5022437.8253898481</v>
      </c>
      <c r="AD188" s="224">
        <f t="shared" si="92"/>
        <v>5022437.8253898481</v>
      </c>
      <c r="AE188" s="248">
        <v>5022437.8253898481</v>
      </c>
      <c r="AF188" s="248">
        <v>5022437.8253898481</v>
      </c>
      <c r="AG188" s="224">
        <f t="shared" si="93"/>
        <v>5022437.8253898481</v>
      </c>
      <c r="AH188" s="226">
        <v>5050528.6058982974</v>
      </c>
      <c r="AI188" s="226">
        <f t="shared" si="109"/>
        <v>5050528.6058982974</v>
      </c>
      <c r="AJ188" s="226">
        <f t="shared" si="109"/>
        <v>5050528.6058982974</v>
      </c>
      <c r="AK188" s="226">
        <f t="shared" si="109"/>
        <v>5050528.6058982974</v>
      </c>
      <c r="AL188" s="226">
        <f t="shared" si="109"/>
        <v>5050528.6058982974</v>
      </c>
      <c r="AM188" s="226">
        <f t="shared" si="109"/>
        <v>5050528.6058982974</v>
      </c>
      <c r="AN188" s="235">
        <v>5050528.6058982974</v>
      </c>
      <c r="AO188" s="235">
        <f t="shared" si="110"/>
        <v>5050528.6058982974</v>
      </c>
      <c r="AP188" s="235">
        <f t="shared" si="110"/>
        <v>5050528.6058982974</v>
      </c>
      <c r="AQ188" s="236">
        <f t="shared" si="110"/>
        <v>5050528.6058982974</v>
      </c>
      <c r="AR188" s="236">
        <f t="shared" si="110"/>
        <v>5050528.6058982974</v>
      </c>
      <c r="AS188" s="236">
        <f t="shared" si="110"/>
        <v>5050528.6058982974</v>
      </c>
      <c r="AT188" s="236">
        <f t="shared" si="110"/>
        <v>5050528.6058982974</v>
      </c>
      <c r="AU188" s="236">
        <f t="shared" si="110"/>
        <v>5050528.6058982974</v>
      </c>
      <c r="AV188" s="236">
        <f t="shared" si="110"/>
        <v>5050528.6058982974</v>
      </c>
      <c r="AW188" s="226">
        <v>5034061.5966347242</v>
      </c>
      <c r="AX188" s="226">
        <f t="shared" si="111"/>
        <v>5034061.5966347242</v>
      </c>
      <c r="AY188" s="226">
        <f t="shared" si="111"/>
        <v>5034061.5966347242</v>
      </c>
      <c r="AZ188" s="226">
        <f t="shared" si="111"/>
        <v>5034061.5966347242</v>
      </c>
      <c r="BA188" s="226">
        <f t="shared" si="111"/>
        <v>5034061.5966347242</v>
      </c>
      <c r="BB188" s="226">
        <f t="shared" si="111"/>
        <v>5034061.5966347242</v>
      </c>
      <c r="BC188" s="248">
        <v>5022437.8253898481</v>
      </c>
      <c r="BD188" s="224">
        <f t="shared" si="112"/>
        <v>5022437.8253898481</v>
      </c>
      <c r="BE188" s="224">
        <f t="shared" si="112"/>
        <v>5022437.8253898481</v>
      </c>
      <c r="BF188" s="224">
        <f t="shared" si="112"/>
        <v>5022437.8253898481</v>
      </c>
      <c r="BG188" s="224">
        <f t="shared" si="112"/>
        <v>5022437.8253898481</v>
      </c>
      <c r="BH188" s="224">
        <f t="shared" si="112"/>
        <v>5022437.8253898481</v>
      </c>
      <c r="BI188" s="224">
        <f t="shared" si="112"/>
        <v>5022437.8253898481</v>
      </c>
      <c r="BJ188" s="224">
        <f t="shared" si="112"/>
        <v>5022437.8253898481</v>
      </c>
      <c r="BK188" s="224">
        <f t="shared" si="112"/>
        <v>5022437.8253898481</v>
      </c>
      <c r="BL188" s="224">
        <f t="shared" si="112"/>
        <v>5022437.8253898481</v>
      </c>
      <c r="BM188" s="224">
        <f t="shared" si="112"/>
        <v>5022437.8253898481</v>
      </c>
      <c r="BN188" s="224">
        <f t="shared" si="112"/>
        <v>5022437.8253898481</v>
      </c>
      <c r="BO188" s="224">
        <f t="shared" si="112"/>
        <v>5022437.8253898481</v>
      </c>
    </row>
    <row r="189" spans="1:67">
      <c r="A189" s="223">
        <v>3</v>
      </c>
      <c r="B189" s="151" t="s">
        <v>303</v>
      </c>
      <c r="C189" s="223">
        <v>187</v>
      </c>
      <c r="D189" s="248">
        <v>995865.93864030833</v>
      </c>
      <c r="E189" s="225">
        <f t="shared" si="116"/>
        <v>995865.93864030833</v>
      </c>
      <c r="F189" s="225">
        <f t="shared" si="116"/>
        <v>995865.93864030833</v>
      </c>
      <c r="G189" s="225">
        <f t="shared" si="116"/>
        <v>995865.93864030833</v>
      </c>
      <c r="H189" s="225">
        <f t="shared" si="116"/>
        <v>995865.93864030833</v>
      </c>
      <c r="I189" s="225">
        <f t="shared" si="116"/>
        <v>995865.93864030833</v>
      </c>
      <c r="J189" s="225">
        <f t="shared" si="116"/>
        <v>995865.93864030833</v>
      </c>
      <c r="K189" s="237">
        <v>995865.93864030833</v>
      </c>
      <c r="L189" s="237">
        <f t="shared" si="115"/>
        <v>995865.93864030833</v>
      </c>
      <c r="M189" s="237">
        <f t="shared" si="115"/>
        <v>995865.93864030833</v>
      </c>
      <c r="N189" s="237">
        <f t="shared" si="115"/>
        <v>995865.93864030833</v>
      </c>
      <c r="O189" s="237">
        <f t="shared" si="115"/>
        <v>995865.93864030833</v>
      </c>
      <c r="P189" s="237">
        <f t="shared" si="115"/>
        <v>995865.93864030833</v>
      </c>
      <c r="Q189" s="237">
        <f t="shared" si="115"/>
        <v>995865.93864030833</v>
      </c>
      <c r="R189" s="237">
        <f t="shared" si="115"/>
        <v>995865.93864030833</v>
      </c>
      <c r="S189" s="237">
        <f t="shared" si="115"/>
        <v>995865.93864030833</v>
      </c>
      <c r="T189" s="248">
        <v>995865.93864030833</v>
      </c>
      <c r="U189" s="224">
        <f t="shared" si="107"/>
        <v>995865.93864030833</v>
      </c>
      <c r="V189" s="224">
        <f t="shared" si="107"/>
        <v>995865.93864030833</v>
      </c>
      <c r="W189" s="224">
        <f t="shared" si="107"/>
        <v>995865.93864030833</v>
      </c>
      <c r="X189" s="226">
        <v>995865.93864030833</v>
      </c>
      <c r="Y189" s="226">
        <f t="shared" si="108"/>
        <v>995865.93864030833</v>
      </c>
      <c r="Z189" s="226">
        <f t="shared" si="108"/>
        <v>995865.93864030833</v>
      </c>
      <c r="AA189" s="248">
        <v>995865.93864030833</v>
      </c>
      <c r="AB189" s="248">
        <v>995865.93864030833</v>
      </c>
      <c r="AC189" s="248">
        <v>995865.93864030833</v>
      </c>
      <c r="AD189" s="224">
        <f t="shared" si="92"/>
        <v>995865.93864030833</v>
      </c>
      <c r="AE189" s="248">
        <v>995865.93864030833</v>
      </c>
      <c r="AF189" s="248">
        <v>995865.93864030833</v>
      </c>
      <c r="AG189" s="224">
        <f t="shared" si="93"/>
        <v>995865.93864030833</v>
      </c>
      <c r="AH189" s="226">
        <v>1001435.8734948058</v>
      </c>
      <c r="AI189" s="226">
        <f t="shared" si="109"/>
        <v>1001435.8734948058</v>
      </c>
      <c r="AJ189" s="226">
        <f t="shared" si="109"/>
        <v>1001435.8734948058</v>
      </c>
      <c r="AK189" s="226">
        <f t="shared" si="109"/>
        <v>1001435.8734948058</v>
      </c>
      <c r="AL189" s="226">
        <f t="shared" si="109"/>
        <v>1001435.8734948058</v>
      </c>
      <c r="AM189" s="226">
        <f t="shared" si="109"/>
        <v>1001435.8734948058</v>
      </c>
      <c r="AN189" s="235">
        <v>1001435.8734948058</v>
      </c>
      <c r="AO189" s="235">
        <f t="shared" si="110"/>
        <v>1001435.8734948058</v>
      </c>
      <c r="AP189" s="235">
        <f t="shared" si="110"/>
        <v>1001435.8734948058</v>
      </c>
      <c r="AQ189" s="236">
        <f t="shared" si="110"/>
        <v>1001435.8734948058</v>
      </c>
      <c r="AR189" s="236">
        <f t="shared" si="110"/>
        <v>1001435.8734948058</v>
      </c>
      <c r="AS189" s="236">
        <f t="shared" si="110"/>
        <v>1001435.8734948058</v>
      </c>
      <c r="AT189" s="236">
        <f t="shared" si="110"/>
        <v>1001435.8734948058</v>
      </c>
      <c r="AU189" s="236">
        <f t="shared" si="110"/>
        <v>1001435.8734948058</v>
      </c>
      <c r="AV189" s="236">
        <f t="shared" si="110"/>
        <v>1001435.8734948058</v>
      </c>
      <c r="AW189" s="226">
        <v>998170.73926975543</v>
      </c>
      <c r="AX189" s="226">
        <f t="shared" si="111"/>
        <v>998170.73926975543</v>
      </c>
      <c r="AY189" s="226">
        <f t="shared" si="111"/>
        <v>998170.73926975543</v>
      </c>
      <c r="AZ189" s="226">
        <f t="shared" si="111"/>
        <v>998170.73926975543</v>
      </c>
      <c r="BA189" s="226">
        <f t="shared" si="111"/>
        <v>998170.73926975543</v>
      </c>
      <c r="BB189" s="226">
        <f t="shared" si="111"/>
        <v>998170.73926975543</v>
      </c>
      <c r="BC189" s="248">
        <v>995865.93864030833</v>
      </c>
      <c r="BD189" s="224">
        <f t="shared" si="112"/>
        <v>995865.93864030833</v>
      </c>
      <c r="BE189" s="224">
        <f t="shared" si="112"/>
        <v>995865.93864030833</v>
      </c>
      <c r="BF189" s="224">
        <f t="shared" si="112"/>
        <v>995865.93864030833</v>
      </c>
      <c r="BG189" s="224">
        <f t="shared" si="112"/>
        <v>995865.93864030833</v>
      </c>
      <c r="BH189" s="224">
        <f t="shared" si="112"/>
        <v>995865.93864030833</v>
      </c>
      <c r="BI189" s="224">
        <f t="shared" si="112"/>
        <v>995865.93864030833</v>
      </c>
      <c r="BJ189" s="224">
        <f t="shared" si="112"/>
        <v>995865.93864030833</v>
      </c>
      <c r="BK189" s="224">
        <f t="shared" si="112"/>
        <v>995865.93864030833</v>
      </c>
      <c r="BL189" s="224">
        <f t="shared" si="112"/>
        <v>995865.93864030833</v>
      </c>
      <c r="BM189" s="224">
        <f t="shared" si="112"/>
        <v>995865.93864030833</v>
      </c>
      <c r="BN189" s="224">
        <f t="shared" si="112"/>
        <v>995865.93864030833</v>
      </c>
      <c r="BO189" s="224">
        <f t="shared" si="112"/>
        <v>995865.93864030833</v>
      </c>
    </row>
    <row r="190" spans="1:67">
      <c r="A190" s="229" t="s">
        <v>278</v>
      </c>
      <c r="B190" s="230" t="s">
        <v>210</v>
      </c>
      <c r="C190" s="223">
        <v>188</v>
      </c>
      <c r="D190" s="248"/>
      <c r="E190" s="225"/>
      <c r="F190" s="225"/>
      <c r="G190" s="225"/>
      <c r="H190" s="225"/>
      <c r="I190" s="225"/>
      <c r="J190" s="225"/>
      <c r="K190" s="237"/>
      <c r="L190" s="237">
        <f t="shared" si="115"/>
        <v>0</v>
      </c>
      <c r="M190" s="237">
        <f t="shared" si="115"/>
        <v>0</v>
      </c>
      <c r="N190" s="237">
        <f t="shared" si="115"/>
        <v>0</v>
      </c>
      <c r="O190" s="237">
        <f t="shared" si="115"/>
        <v>0</v>
      </c>
      <c r="P190" s="237">
        <f t="shared" si="115"/>
        <v>0</v>
      </c>
      <c r="Q190" s="237">
        <f t="shared" si="115"/>
        <v>0</v>
      </c>
      <c r="R190" s="237">
        <f t="shared" si="115"/>
        <v>0</v>
      </c>
      <c r="S190" s="237">
        <f t="shared" si="115"/>
        <v>0</v>
      </c>
      <c r="T190" s="224"/>
      <c r="U190" s="224">
        <f t="shared" si="107"/>
        <v>0</v>
      </c>
      <c r="V190" s="224">
        <f t="shared" si="107"/>
        <v>0</v>
      </c>
      <c r="W190" s="224">
        <f t="shared" si="107"/>
        <v>0</v>
      </c>
      <c r="X190" s="226"/>
      <c r="Y190" s="226">
        <f t="shared" si="108"/>
        <v>0</v>
      </c>
      <c r="Z190" s="226">
        <f t="shared" si="108"/>
        <v>0</v>
      </c>
      <c r="AA190" s="248"/>
      <c r="AB190" s="248"/>
      <c r="AC190" s="248"/>
      <c r="AD190" s="224">
        <f t="shared" si="92"/>
        <v>0</v>
      </c>
      <c r="AE190" s="248"/>
      <c r="AF190" s="248"/>
      <c r="AG190" s="224">
        <f t="shared" si="93"/>
        <v>0</v>
      </c>
      <c r="AH190" s="226"/>
      <c r="AI190" s="226">
        <f t="shared" si="109"/>
        <v>0</v>
      </c>
      <c r="AJ190" s="226">
        <f t="shared" si="109"/>
        <v>0</v>
      </c>
      <c r="AK190" s="226">
        <f t="shared" si="109"/>
        <v>0</v>
      </c>
      <c r="AL190" s="226">
        <f t="shared" si="109"/>
        <v>0</v>
      </c>
      <c r="AM190" s="226">
        <f t="shared" si="109"/>
        <v>0</v>
      </c>
      <c r="AN190" s="235"/>
      <c r="AO190" s="235">
        <f t="shared" si="110"/>
        <v>0</v>
      </c>
      <c r="AP190" s="235">
        <f t="shared" si="110"/>
        <v>0</v>
      </c>
      <c r="AQ190" s="236">
        <f t="shared" si="110"/>
        <v>0</v>
      </c>
      <c r="AR190" s="236">
        <f t="shared" si="110"/>
        <v>0</v>
      </c>
      <c r="AS190" s="236">
        <f t="shared" si="110"/>
        <v>0</v>
      </c>
      <c r="AT190" s="236">
        <f t="shared" si="110"/>
        <v>0</v>
      </c>
      <c r="AU190" s="236">
        <f t="shared" si="110"/>
        <v>0</v>
      </c>
      <c r="AV190" s="236">
        <f t="shared" si="110"/>
        <v>0</v>
      </c>
      <c r="AW190" s="226"/>
      <c r="AX190" s="226">
        <f t="shared" si="111"/>
        <v>0</v>
      </c>
      <c r="AY190" s="226">
        <f t="shared" si="111"/>
        <v>0</v>
      </c>
      <c r="AZ190" s="226">
        <f t="shared" si="111"/>
        <v>0</v>
      </c>
      <c r="BA190" s="226">
        <f t="shared" si="111"/>
        <v>0</v>
      </c>
      <c r="BB190" s="226">
        <f t="shared" si="111"/>
        <v>0</v>
      </c>
      <c r="BC190" s="248"/>
      <c r="BD190" s="224">
        <f t="shared" si="112"/>
        <v>0</v>
      </c>
      <c r="BE190" s="224">
        <f t="shared" si="112"/>
        <v>0</v>
      </c>
      <c r="BF190" s="224">
        <f t="shared" si="112"/>
        <v>0</v>
      </c>
      <c r="BG190" s="224">
        <f t="shared" si="112"/>
        <v>0</v>
      </c>
      <c r="BH190" s="224">
        <f t="shared" si="112"/>
        <v>0</v>
      </c>
      <c r="BI190" s="224">
        <f t="shared" si="112"/>
        <v>0</v>
      </c>
      <c r="BJ190" s="224">
        <f t="shared" si="112"/>
        <v>0</v>
      </c>
      <c r="BK190" s="224">
        <f t="shared" si="112"/>
        <v>0</v>
      </c>
      <c r="BL190" s="224">
        <f t="shared" si="112"/>
        <v>0</v>
      </c>
      <c r="BM190" s="224">
        <f t="shared" si="112"/>
        <v>0</v>
      </c>
      <c r="BN190" s="224">
        <f t="shared" si="112"/>
        <v>0</v>
      </c>
      <c r="BO190" s="224">
        <f t="shared" si="112"/>
        <v>0</v>
      </c>
    </row>
    <row r="191" spans="1:67" ht="41.25" customHeight="1">
      <c r="A191" s="223">
        <v>1</v>
      </c>
      <c r="B191" s="245" t="s">
        <v>215</v>
      </c>
      <c r="C191" s="223">
        <v>189</v>
      </c>
      <c r="D191" s="248">
        <v>2129342.2034322266</v>
      </c>
      <c r="E191" s="225">
        <f t="shared" ref="E191:J194" si="117">D191</f>
        <v>2129342.2034322266</v>
      </c>
      <c r="F191" s="225">
        <f t="shared" si="117"/>
        <v>2129342.2034322266</v>
      </c>
      <c r="G191" s="225">
        <f t="shared" si="117"/>
        <v>2129342.2034322266</v>
      </c>
      <c r="H191" s="225">
        <f t="shared" si="117"/>
        <v>2129342.2034322266</v>
      </c>
      <c r="I191" s="225">
        <f t="shared" si="117"/>
        <v>2129342.2034322266</v>
      </c>
      <c r="J191" s="225">
        <f t="shared" si="117"/>
        <v>2129342.2034322266</v>
      </c>
      <c r="K191" s="237">
        <f>J191</f>
        <v>2129342.2034322266</v>
      </c>
      <c r="L191" s="237">
        <f t="shared" si="115"/>
        <v>2129342.2034322266</v>
      </c>
      <c r="M191" s="237">
        <f t="shared" si="115"/>
        <v>2129342.2034322266</v>
      </c>
      <c r="N191" s="237">
        <f t="shared" si="115"/>
        <v>2129342.2034322266</v>
      </c>
      <c r="O191" s="237">
        <f t="shared" si="115"/>
        <v>2129342.2034322266</v>
      </c>
      <c r="P191" s="237">
        <f t="shared" si="115"/>
        <v>2129342.2034322266</v>
      </c>
      <c r="Q191" s="237">
        <f t="shared" si="115"/>
        <v>2129342.2034322266</v>
      </c>
      <c r="R191" s="237">
        <f t="shared" si="115"/>
        <v>2129342.2034322266</v>
      </c>
      <c r="S191" s="237">
        <f t="shared" si="115"/>
        <v>2129342.2034322266</v>
      </c>
      <c r="T191" s="248">
        <v>2129342.2034322266</v>
      </c>
      <c r="U191" s="224">
        <f t="shared" si="107"/>
        <v>2129342.2034322266</v>
      </c>
      <c r="V191" s="224">
        <f t="shared" si="107"/>
        <v>2129342.2034322266</v>
      </c>
      <c r="W191" s="224">
        <f t="shared" si="107"/>
        <v>2129342.2034322266</v>
      </c>
      <c r="X191" s="226">
        <v>2129342.2034322266</v>
      </c>
      <c r="Y191" s="226">
        <f t="shared" si="108"/>
        <v>2129342.2034322266</v>
      </c>
      <c r="Z191" s="226">
        <f t="shared" si="108"/>
        <v>2129342.2034322266</v>
      </c>
      <c r="AA191" s="248">
        <v>2129342.2034322266</v>
      </c>
      <c r="AB191" s="248">
        <v>2129342.2034322266</v>
      </c>
      <c r="AC191" s="248">
        <v>2129342.2034322266</v>
      </c>
      <c r="AD191" s="224">
        <f t="shared" si="92"/>
        <v>2129342.2034322266</v>
      </c>
      <c r="AE191" s="248">
        <v>2129342.2034322266</v>
      </c>
      <c r="AF191" s="248">
        <v>2129342.2034322266</v>
      </c>
      <c r="AG191" s="224">
        <f t="shared" si="93"/>
        <v>2129342.2034322266</v>
      </c>
      <c r="AH191" s="226">
        <v>2129342.2034322266</v>
      </c>
      <c r="AI191" s="226">
        <f t="shared" si="109"/>
        <v>2129342.2034322266</v>
      </c>
      <c r="AJ191" s="226">
        <f t="shared" si="109"/>
        <v>2129342.2034322266</v>
      </c>
      <c r="AK191" s="226">
        <f t="shared" si="109"/>
        <v>2129342.2034322266</v>
      </c>
      <c r="AL191" s="226">
        <f t="shared" si="109"/>
        <v>2129342.2034322266</v>
      </c>
      <c r="AM191" s="226">
        <f t="shared" si="109"/>
        <v>2129342.2034322266</v>
      </c>
      <c r="AN191" s="235">
        <v>2129342.2034322266</v>
      </c>
      <c r="AO191" s="235">
        <f t="shared" si="110"/>
        <v>2129342.2034322266</v>
      </c>
      <c r="AP191" s="235">
        <f t="shared" si="110"/>
        <v>2129342.2034322266</v>
      </c>
      <c r="AQ191" s="236">
        <f t="shared" si="110"/>
        <v>2129342.2034322266</v>
      </c>
      <c r="AR191" s="236">
        <f t="shared" si="110"/>
        <v>2129342.2034322266</v>
      </c>
      <c r="AS191" s="236">
        <f t="shared" si="110"/>
        <v>2129342.2034322266</v>
      </c>
      <c r="AT191" s="236">
        <f t="shared" si="110"/>
        <v>2129342.2034322266</v>
      </c>
      <c r="AU191" s="236">
        <f t="shared" si="110"/>
        <v>2129342.2034322266</v>
      </c>
      <c r="AV191" s="236">
        <f t="shared" si="110"/>
        <v>2129342.2034322266</v>
      </c>
      <c r="AW191" s="247">
        <v>2129342.2034322266</v>
      </c>
      <c r="AX191" s="226">
        <f t="shared" si="111"/>
        <v>2129342.2034322266</v>
      </c>
      <c r="AY191" s="226">
        <f t="shared" si="111"/>
        <v>2129342.2034322266</v>
      </c>
      <c r="AZ191" s="226">
        <f t="shared" si="111"/>
        <v>2129342.2034322266</v>
      </c>
      <c r="BA191" s="226">
        <f t="shared" si="111"/>
        <v>2129342.2034322266</v>
      </c>
      <c r="BB191" s="226">
        <f t="shared" si="111"/>
        <v>2129342.2034322266</v>
      </c>
      <c r="BC191" s="248">
        <v>2129342.2034322266</v>
      </c>
      <c r="BD191" s="224">
        <f t="shared" si="112"/>
        <v>2129342.2034322266</v>
      </c>
      <c r="BE191" s="224">
        <f t="shared" si="112"/>
        <v>2129342.2034322266</v>
      </c>
      <c r="BF191" s="224">
        <f t="shared" si="112"/>
        <v>2129342.2034322266</v>
      </c>
      <c r="BG191" s="224">
        <f t="shared" si="112"/>
        <v>2129342.2034322266</v>
      </c>
      <c r="BH191" s="224">
        <f t="shared" si="112"/>
        <v>2129342.2034322266</v>
      </c>
      <c r="BI191" s="224">
        <f t="shared" si="112"/>
        <v>2129342.2034322266</v>
      </c>
      <c r="BJ191" s="224">
        <f t="shared" si="112"/>
        <v>2129342.2034322266</v>
      </c>
      <c r="BK191" s="224">
        <f t="shared" si="112"/>
        <v>2129342.2034322266</v>
      </c>
      <c r="BL191" s="224">
        <f t="shared" si="112"/>
        <v>2129342.2034322266</v>
      </c>
      <c r="BM191" s="224">
        <f t="shared" si="112"/>
        <v>2129342.2034322266</v>
      </c>
      <c r="BN191" s="224">
        <f t="shared" si="112"/>
        <v>2129342.2034322266</v>
      </c>
      <c r="BO191" s="224">
        <f t="shared" si="112"/>
        <v>2129342.2034322266</v>
      </c>
    </row>
    <row r="192" spans="1:67" ht="45">
      <c r="A192" s="223">
        <f>A191+1</f>
        <v>2</v>
      </c>
      <c r="B192" s="245" t="s">
        <v>217</v>
      </c>
      <c r="C192" s="223">
        <v>190</v>
      </c>
      <c r="D192" s="248">
        <v>1167357.2747262933</v>
      </c>
      <c r="E192" s="225">
        <f t="shared" si="117"/>
        <v>1167357.2747262933</v>
      </c>
      <c r="F192" s="225">
        <f t="shared" si="117"/>
        <v>1167357.2747262933</v>
      </c>
      <c r="G192" s="225">
        <f t="shared" si="117"/>
        <v>1167357.2747262933</v>
      </c>
      <c r="H192" s="225">
        <f t="shared" si="117"/>
        <v>1167357.2747262933</v>
      </c>
      <c r="I192" s="225">
        <f t="shared" si="117"/>
        <v>1167357.2747262933</v>
      </c>
      <c r="J192" s="225">
        <f t="shared" si="117"/>
        <v>1167357.2747262933</v>
      </c>
      <c r="K192" s="237">
        <f>J192</f>
        <v>1167357.2747262933</v>
      </c>
      <c r="L192" s="237">
        <f t="shared" si="115"/>
        <v>1167357.2747262933</v>
      </c>
      <c r="M192" s="237">
        <f t="shared" si="115"/>
        <v>1167357.2747262933</v>
      </c>
      <c r="N192" s="237">
        <f t="shared" si="115"/>
        <v>1167357.2747262933</v>
      </c>
      <c r="O192" s="237">
        <f t="shared" si="115"/>
        <v>1167357.2747262933</v>
      </c>
      <c r="P192" s="237">
        <f t="shared" si="115"/>
        <v>1167357.2747262933</v>
      </c>
      <c r="Q192" s="237">
        <f t="shared" si="115"/>
        <v>1167357.2747262933</v>
      </c>
      <c r="R192" s="237">
        <f t="shared" si="115"/>
        <v>1167357.2747262933</v>
      </c>
      <c r="S192" s="237">
        <f t="shared" si="115"/>
        <v>1167357.2747262933</v>
      </c>
      <c r="T192" s="248">
        <v>1167357.2747262933</v>
      </c>
      <c r="U192" s="224">
        <f t="shared" ref="U192:W196" si="118">T192</f>
        <v>1167357.2747262933</v>
      </c>
      <c r="V192" s="224">
        <f t="shared" si="118"/>
        <v>1167357.2747262933</v>
      </c>
      <c r="W192" s="224">
        <f t="shared" si="118"/>
        <v>1167357.2747262933</v>
      </c>
      <c r="X192" s="226">
        <v>1167357.2747262933</v>
      </c>
      <c r="Y192" s="226">
        <f t="shared" si="108"/>
        <v>1167357.2747262933</v>
      </c>
      <c r="Z192" s="226">
        <f t="shared" si="108"/>
        <v>1167357.2747262933</v>
      </c>
      <c r="AA192" s="248">
        <v>1167357.2747262933</v>
      </c>
      <c r="AB192" s="248">
        <v>1167357.2747262933</v>
      </c>
      <c r="AC192" s="248">
        <v>1167357.2747262933</v>
      </c>
      <c r="AD192" s="224">
        <f t="shared" si="92"/>
        <v>1167357.2747262933</v>
      </c>
      <c r="AE192" s="248">
        <v>1167357.2747262933</v>
      </c>
      <c r="AF192" s="248">
        <v>1167357.2747262933</v>
      </c>
      <c r="AG192" s="224">
        <f t="shared" si="93"/>
        <v>1167357.2747262933</v>
      </c>
      <c r="AH192" s="226">
        <v>1167357.2747262933</v>
      </c>
      <c r="AI192" s="226">
        <f t="shared" si="109"/>
        <v>1167357.2747262933</v>
      </c>
      <c r="AJ192" s="226">
        <f t="shared" si="109"/>
        <v>1167357.2747262933</v>
      </c>
      <c r="AK192" s="226">
        <f t="shared" si="109"/>
        <v>1167357.2747262933</v>
      </c>
      <c r="AL192" s="226">
        <f t="shared" si="109"/>
        <v>1167357.2747262933</v>
      </c>
      <c r="AM192" s="226">
        <f t="shared" si="109"/>
        <v>1167357.2747262933</v>
      </c>
      <c r="AN192" s="235">
        <v>1167357.2747262933</v>
      </c>
      <c r="AO192" s="235">
        <f t="shared" si="110"/>
        <v>1167357.2747262933</v>
      </c>
      <c r="AP192" s="235">
        <f t="shared" si="110"/>
        <v>1167357.2747262933</v>
      </c>
      <c r="AQ192" s="236">
        <f t="shared" si="110"/>
        <v>1167357.2747262933</v>
      </c>
      <c r="AR192" s="236">
        <f t="shared" si="110"/>
        <v>1167357.2747262933</v>
      </c>
      <c r="AS192" s="236">
        <f t="shared" si="110"/>
        <v>1167357.2747262933</v>
      </c>
      <c r="AT192" s="236">
        <f t="shared" si="110"/>
        <v>1167357.2747262933</v>
      </c>
      <c r="AU192" s="236">
        <f t="shared" si="110"/>
        <v>1167357.2747262933</v>
      </c>
      <c r="AV192" s="236">
        <f t="shared" si="110"/>
        <v>1167357.2747262933</v>
      </c>
      <c r="AW192" s="247">
        <v>1167357.2747262933</v>
      </c>
      <c r="AX192" s="226">
        <f t="shared" si="111"/>
        <v>1167357.2747262933</v>
      </c>
      <c r="AY192" s="226">
        <f t="shared" si="111"/>
        <v>1167357.2747262933</v>
      </c>
      <c r="AZ192" s="226">
        <f t="shared" si="111"/>
        <v>1167357.2747262933</v>
      </c>
      <c r="BA192" s="226">
        <f t="shared" si="111"/>
        <v>1167357.2747262933</v>
      </c>
      <c r="BB192" s="226">
        <f t="shared" si="111"/>
        <v>1167357.2747262933</v>
      </c>
      <c r="BC192" s="248">
        <v>1167357.2747262933</v>
      </c>
      <c r="BD192" s="224">
        <f t="shared" si="112"/>
        <v>1167357.2747262933</v>
      </c>
      <c r="BE192" s="224">
        <f t="shared" si="112"/>
        <v>1167357.2747262933</v>
      </c>
      <c r="BF192" s="224">
        <f t="shared" si="112"/>
        <v>1167357.2747262933</v>
      </c>
      <c r="BG192" s="224">
        <f t="shared" si="112"/>
        <v>1167357.2747262933</v>
      </c>
      <c r="BH192" s="224">
        <f t="shared" si="112"/>
        <v>1167357.2747262933</v>
      </c>
      <c r="BI192" s="224">
        <f t="shared" si="112"/>
        <v>1167357.2747262933</v>
      </c>
      <c r="BJ192" s="224">
        <f t="shared" si="112"/>
        <v>1167357.2747262933</v>
      </c>
      <c r="BK192" s="224">
        <f t="shared" si="112"/>
        <v>1167357.2747262933</v>
      </c>
      <c r="BL192" s="224">
        <f t="shared" si="112"/>
        <v>1167357.2747262933</v>
      </c>
      <c r="BM192" s="224">
        <f t="shared" si="112"/>
        <v>1167357.2747262933</v>
      </c>
      <c r="BN192" s="224">
        <f t="shared" si="112"/>
        <v>1167357.2747262933</v>
      </c>
      <c r="BO192" s="224">
        <f t="shared" si="112"/>
        <v>1167357.2747262933</v>
      </c>
    </row>
    <row r="193" spans="1:67" ht="45">
      <c r="A193" s="223">
        <f>A192+1</f>
        <v>3</v>
      </c>
      <c r="B193" s="245" t="s">
        <v>211</v>
      </c>
      <c r="C193" s="223">
        <v>191</v>
      </c>
      <c r="D193" s="248">
        <v>4423162.6695955256</v>
      </c>
      <c r="E193" s="225">
        <f t="shared" si="117"/>
        <v>4423162.6695955256</v>
      </c>
      <c r="F193" s="225">
        <f t="shared" si="117"/>
        <v>4423162.6695955256</v>
      </c>
      <c r="G193" s="225">
        <f t="shared" si="117"/>
        <v>4423162.6695955256</v>
      </c>
      <c r="H193" s="225">
        <f t="shared" si="117"/>
        <v>4423162.6695955256</v>
      </c>
      <c r="I193" s="225">
        <f t="shared" si="117"/>
        <v>4423162.6695955256</v>
      </c>
      <c r="J193" s="225">
        <f t="shared" si="117"/>
        <v>4423162.6695955256</v>
      </c>
      <c r="K193" s="237">
        <f>J193</f>
        <v>4423162.6695955256</v>
      </c>
      <c r="L193" s="237">
        <f t="shared" si="115"/>
        <v>4423162.6695955256</v>
      </c>
      <c r="M193" s="237">
        <f t="shared" si="115"/>
        <v>4423162.6695955256</v>
      </c>
      <c r="N193" s="237">
        <f t="shared" si="115"/>
        <v>4423162.6695955256</v>
      </c>
      <c r="O193" s="237">
        <f t="shared" si="115"/>
        <v>4423162.6695955256</v>
      </c>
      <c r="P193" s="237">
        <f t="shared" si="115"/>
        <v>4423162.6695955256</v>
      </c>
      <c r="Q193" s="237">
        <f t="shared" si="115"/>
        <v>4423162.6695955256</v>
      </c>
      <c r="R193" s="237">
        <f t="shared" si="115"/>
        <v>4423162.6695955256</v>
      </c>
      <c r="S193" s="237">
        <f t="shared" si="115"/>
        <v>4423162.6695955256</v>
      </c>
      <c r="T193" s="248">
        <v>4423162.6695955256</v>
      </c>
      <c r="U193" s="224">
        <f t="shared" si="118"/>
        <v>4423162.6695955256</v>
      </c>
      <c r="V193" s="224">
        <f t="shared" si="118"/>
        <v>4423162.6695955256</v>
      </c>
      <c r="W193" s="224">
        <f t="shared" si="118"/>
        <v>4423162.6695955256</v>
      </c>
      <c r="X193" s="226">
        <v>4423162.6695955256</v>
      </c>
      <c r="Y193" s="226">
        <f t="shared" si="108"/>
        <v>4423162.6695955256</v>
      </c>
      <c r="Z193" s="226">
        <f t="shared" si="108"/>
        <v>4423162.6695955256</v>
      </c>
      <c r="AA193" s="248">
        <v>4423162.6695955256</v>
      </c>
      <c r="AB193" s="248">
        <v>4423162.6695955256</v>
      </c>
      <c r="AC193" s="248">
        <v>4423162.6695955256</v>
      </c>
      <c r="AD193" s="224">
        <f t="shared" si="92"/>
        <v>4423162.6695955256</v>
      </c>
      <c r="AE193" s="248">
        <v>4423162.6695955256</v>
      </c>
      <c r="AF193" s="248">
        <v>4423162.6695955256</v>
      </c>
      <c r="AG193" s="224">
        <f t="shared" si="93"/>
        <v>4423162.6695955256</v>
      </c>
      <c r="AH193" s="226">
        <v>4423162.6695955256</v>
      </c>
      <c r="AI193" s="226">
        <f t="shared" si="109"/>
        <v>4423162.6695955256</v>
      </c>
      <c r="AJ193" s="226">
        <f t="shared" si="109"/>
        <v>4423162.6695955256</v>
      </c>
      <c r="AK193" s="226">
        <f t="shared" si="109"/>
        <v>4423162.6695955256</v>
      </c>
      <c r="AL193" s="226">
        <f t="shared" si="109"/>
        <v>4423162.6695955256</v>
      </c>
      <c r="AM193" s="226">
        <f t="shared" si="109"/>
        <v>4423162.6695955256</v>
      </c>
      <c r="AN193" s="235">
        <v>4423162.6695955256</v>
      </c>
      <c r="AO193" s="235">
        <f t="shared" si="110"/>
        <v>4423162.6695955256</v>
      </c>
      <c r="AP193" s="235">
        <f t="shared" si="110"/>
        <v>4423162.6695955256</v>
      </c>
      <c r="AQ193" s="236">
        <f t="shared" si="110"/>
        <v>4423162.6695955256</v>
      </c>
      <c r="AR193" s="236">
        <f t="shared" si="110"/>
        <v>4423162.6695955256</v>
      </c>
      <c r="AS193" s="236">
        <f t="shared" si="110"/>
        <v>4423162.6695955256</v>
      </c>
      <c r="AT193" s="236">
        <f t="shared" si="110"/>
        <v>4423162.6695955256</v>
      </c>
      <c r="AU193" s="236">
        <f t="shared" si="110"/>
        <v>4423162.6695955256</v>
      </c>
      <c r="AV193" s="236">
        <f t="shared" si="110"/>
        <v>4423162.6695955256</v>
      </c>
      <c r="AW193" s="247">
        <v>4423162.6695955256</v>
      </c>
      <c r="AX193" s="226">
        <f t="shared" si="111"/>
        <v>4423162.6695955256</v>
      </c>
      <c r="AY193" s="226">
        <f t="shared" si="111"/>
        <v>4423162.6695955256</v>
      </c>
      <c r="AZ193" s="226">
        <f t="shared" si="111"/>
        <v>4423162.6695955256</v>
      </c>
      <c r="BA193" s="226">
        <f t="shared" si="111"/>
        <v>4423162.6695955256</v>
      </c>
      <c r="BB193" s="226">
        <f t="shared" si="111"/>
        <v>4423162.6695955256</v>
      </c>
      <c r="BC193" s="248">
        <v>4423162.6695955256</v>
      </c>
      <c r="BD193" s="224">
        <f t="shared" si="112"/>
        <v>4423162.6695955256</v>
      </c>
      <c r="BE193" s="224">
        <f t="shared" si="112"/>
        <v>4423162.6695955256</v>
      </c>
      <c r="BF193" s="224">
        <f t="shared" si="112"/>
        <v>4423162.6695955256</v>
      </c>
      <c r="BG193" s="224">
        <f t="shared" si="112"/>
        <v>4423162.6695955256</v>
      </c>
      <c r="BH193" s="224">
        <f t="shared" si="112"/>
        <v>4423162.6695955256</v>
      </c>
      <c r="BI193" s="224">
        <f t="shared" si="112"/>
        <v>4423162.6695955256</v>
      </c>
      <c r="BJ193" s="224">
        <f t="shared" si="112"/>
        <v>4423162.6695955256</v>
      </c>
      <c r="BK193" s="224">
        <f t="shared" si="112"/>
        <v>4423162.6695955256</v>
      </c>
      <c r="BL193" s="224">
        <f t="shared" si="112"/>
        <v>4423162.6695955256</v>
      </c>
      <c r="BM193" s="224">
        <f t="shared" si="112"/>
        <v>4423162.6695955256</v>
      </c>
      <c r="BN193" s="224">
        <f t="shared" si="112"/>
        <v>4423162.6695955256</v>
      </c>
      <c r="BO193" s="224">
        <f t="shared" si="112"/>
        <v>4423162.6695955256</v>
      </c>
    </row>
    <row r="194" spans="1:67" ht="30">
      <c r="A194" s="223">
        <f>A193+1</f>
        <v>4</v>
      </c>
      <c r="B194" s="245" t="s">
        <v>310</v>
      </c>
      <c r="C194" s="223">
        <v>192</v>
      </c>
      <c r="D194" s="248">
        <v>725661.91403061838</v>
      </c>
      <c r="E194" s="225">
        <f t="shared" si="117"/>
        <v>725661.91403061838</v>
      </c>
      <c r="F194" s="225">
        <f t="shared" si="117"/>
        <v>725661.91403061838</v>
      </c>
      <c r="G194" s="225">
        <f t="shared" si="117"/>
        <v>725661.91403061838</v>
      </c>
      <c r="H194" s="225">
        <f t="shared" si="117"/>
        <v>725661.91403061838</v>
      </c>
      <c r="I194" s="225">
        <f t="shared" si="117"/>
        <v>725661.91403061838</v>
      </c>
      <c r="J194" s="225">
        <f t="shared" si="117"/>
        <v>725661.91403061838</v>
      </c>
      <c r="K194" s="237">
        <f>J194</f>
        <v>725661.91403061838</v>
      </c>
      <c r="L194" s="237">
        <f t="shared" si="115"/>
        <v>725661.91403061838</v>
      </c>
      <c r="M194" s="237">
        <f t="shared" si="115"/>
        <v>725661.91403061838</v>
      </c>
      <c r="N194" s="237">
        <f t="shared" si="115"/>
        <v>725661.91403061838</v>
      </c>
      <c r="O194" s="237">
        <f t="shared" si="115"/>
        <v>725661.91403061838</v>
      </c>
      <c r="P194" s="237">
        <f t="shared" si="115"/>
        <v>725661.91403061838</v>
      </c>
      <c r="Q194" s="237">
        <f t="shared" si="115"/>
        <v>725661.91403061838</v>
      </c>
      <c r="R194" s="237">
        <f t="shared" si="115"/>
        <v>725661.91403061838</v>
      </c>
      <c r="S194" s="237">
        <f t="shared" si="115"/>
        <v>725661.91403061838</v>
      </c>
      <c r="T194" s="248">
        <v>725661.91403061838</v>
      </c>
      <c r="U194" s="224">
        <f t="shared" si="118"/>
        <v>725661.91403061838</v>
      </c>
      <c r="V194" s="224">
        <f t="shared" si="118"/>
        <v>725661.91403061838</v>
      </c>
      <c r="W194" s="224">
        <f t="shared" si="118"/>
        <v>725661.91403061838</v>
      </c>
      <c r="X194" s="226">
        <v>725661.91403061838</v>
      </c>
      <c r="Y194" s="226">
        <f t="shared" si="108"/>
        <v>725661.91403061838</v>
      </c>
      <c r="Z194" s="226">
        <f t="shared" si="108"/>
        <v>725661.91403061838</v>
      </c>
      <c r="AA194" s="248">
        <v>725661.91403061838</v>
      </c>
      <c r="AB194" s="248">
        <v>725661.91403061838</v>
      </c>
      <c r="AC194" s="248">
        <v>725661.91403061838</v>
      </c>
      <c r="AD194" s="224">
        <f t="shared" si="92"/>
        <v>725661.91403061838</v>
      </c>
      <c r="AE194" s="248">
        <v>725661.91403061838</v>
      </c>
      <c r="AF194" s="248">
        <v>725661.91403061838</v>
      </c>
      <c r="AG194" s="224">
        <f t="shared" si="93"/>
        <v>725661.91403061838</v>
      </c>
      <c r="AH194" s="226">
        <v>725661.91403061838</v>
      </c>
      <c r="AI194" s="226">
        <f t="shared" si="109"/>
        <v>725661.91403061838</v>
      </c>
      <c r="AJ194" s="226">
        <f t="shared" si="109"/>
        <v>725661.91403061838</v>
      </c>
      <c r="AK194" s="226">
        <f t="shared" si="109"/>
        <v>725661.91403061838</v>
      </c>
      <c r="AL194" s="226">
        <f t="shared" si="109"/>
        <v>725661.91403061838</v>
      </c>
      <c r="AM194" s="226">
        <f t="shared" si="109"/>
        <v>725661.91403061838</v>
      </c>
      <c r="AN194" s="235">
        <v>725661.91403061838</v>
      </c>
      <c r="AO194" s="235">
        <f t="shared" si="110"/>
        <v>725661.91403061838</v>
      </c>
      <c r="AP194" s="235">
        <f t="shared" si="110"/>
        <v>725661.91403061838</v>
      </c>
      <c r="AQ194" s="236">
        <f t="shared" si="110"/>
        <v>725661.91403061838</v>
      </c>
      <c r="AR194" s="236">
        <f t="shared" si="110"/>
        <v>725661.91403061838</v>
      </c>
      <c r="AS194" s="236">
        <f t="shared" si="110"/>
        <v>725661.91403061838</v>
      </c>
      <c r="AT194" s="236">
        <f t="shared" si="110"/>
        <v>725661.91403061838</v>
      </c>
      <c r="AU194" s="236">
        <f t="shared" si="110"/>
        <v>725661.91403061838</v>
      </c>
      <c r="AV194" s="236">
        <f t="shared" si="110"/>
        <v>725661.91403061838</v>
      </c>
      <c r="AW194" s="247">
        <v>725661.91403061838</v>
      </c>
      <c r="AX194" s="226">
        <f t="shared" si="111"/>
        <v>725661.91403061838</v>
      </c>
      <c r="AY194" s="226">
        <f t="shared" si="111"/>
        <v>725661.91403061838</v>
      </c>
      <c r="AZ194" s="226">
        <f t="shared" si="111"/>
        <v>725661.91403061838</v>
      </c>
      <c r="BA194" s="226">
        <f t="shared" si="111"/>
        <v>725661.91403061838</v>
      </c>
      <c r="BB194" s="226">
        <f t="shared" si="111"/>
        <v>725661.91403061838</v>
      </c>
      <c r="BC194" s="248">
        <v>725661.91403061838</v>
      </c>
      <c r="BD194" s="224">
        <f t="shared" si="112"/>
        <v>725661.91403061838</v>
      </c>
      <c r="BE194" s="224">
        <f t="shared" si="112"/>
        <v>725661.91403061838</v>
      </c>
      <c r="BF194" s="224">
        <f t="shared" si="112"/>
        <v>725661.91403061838</v>
      </c>
      <c r="BG194" s="224">
        <f t="shared" si="112"/>
        <v>725661.91403061838</v>
      </c>
      <c r="BH194" s="224">
        <f t="shared" si="112"/>
        <v>725661.91403061838</v>
      </c>
      <c r="BI194" s="224">
        <f t="shared" si="112"/>
        <v>725661.91403061838</v>
      </c>
      <c r="BJ194" s="224">
        <f t="shared" si="112"/>
        <v>725661.91403061838</v>
      </c>
      <c r="BK194" s="224">
        <f t="shared" si="112"/>
        <v>725661.91403061838</v>
      </c>
      <c r="BL194" s="224">
        <f t="shared" si="112"/>
        <v>725661.91403061838</v>
      </c>
      <c r="BM194" s="224">
        <f t="shared" si="112"/>
        <v>725661.91403061838</v>
      </c>
      <c r="BN194" s="224">
        <f t="shared" si="112"/>
        <v>725661.91403061838</v>
      </c>
      <c r="BO194" s="224">
        <f t="shared" si="112"/>
        <v>725661.91403061838</v>
      </c>
    </row>
    <row r="195" spans="1:67" ht="75">
      <c r="A195" s="223">
        <f>A194+1</f>
        <v>5</v>
      </c>
      <c r="B195" s="245" t="s">
        <v>216</v>
      </c>
      <c r="C195" s="223">
        <v>193</v>
      </c>
      <c r="D195" s="248">
        <f>3665487.8974359+1903933.758</f>
        <v>5569421.6554358993</v>
      </c>
      <c r="E195" s="225">
        <f>D195</f>
        <v>5569421.6554358993</v>
      </c>
      <c r="F195" s="225">
        <f>1473640.46248286+2889434.80224013</f>
        <v>4363075.2647229899</v>
      </c>
      <c r="G195" s="225">
        <f>984414.96224013+503113.007682857</f>
        <v>1487527.9699229868</v>
      </c>
      <c r="H195" s="225">
        <f>2580476.87521368+1338085.172</f>
        <v>3918562.0472136801</v>
      </c>
      <c r="I195" s="225">
        <f>1884423.78001791+987791.876482857</f>
        <v>2872215.656500767</v>
      </c>
      <c r="J195" s="225">
        <f>984414.96224013+503113.007682857</f>
        <v>1487527.9699229868</v>
      </c>
      <c r="K195" s="237">
        <f>1556512.33485389+799020.729917143</f>
        <v>2355533.0647710329</v>
      </c>
      <c r="L195" s="237">
        <f>2580476.87521368+1338085.172</f>
        <v>3918562.0472136801</v>
      </c>
      <c r="M195" s="237">
        <f>1473640.46248286+2889434.80224013</f>
        <v>4363075.2647229899</v>
      </c>
      <c r="N195" s="237">
        <f>1884423.78001791+987791.876482857</f>
        <v>2872215.656500767</v>
      </c>
      <c r="O195" s="237">
        <f>1556512.33485389+799020.729917143</f>
        <v>2355533.0647710329</v>
      </c>
      <c r="P195" s="237">
        <f>1371510.13040944+717851.012717143</f>
        <v>2089361.1431265832</v>
      </c>
      <c r="Q195" s="237">
        <f>984414.96224013+503113.007682857</f>
        <v>1487527.9699229868</v>
      </c>
      <c r="R195" s="237">
        <f>1106507.925965+556681.295517143</f>
        <v>1663189.2214821428</v>
      </c>
      <c r="S195" s="237">
        <f>984414.96224013+503113.007682857</f>
        <v>1487527.9699229868</v>
      </c>
      <c r="T195" s="225">
        <f>984414.96224013+503113.007682857</f>
        <v>1487527.9699229868</v>
      </c>
      <c r="U195" s="237">
        <f>1106507.925965+556681.295517143</f>
        <v>1663189.2214821428</v>
      </c>
      <c r="V195" s="237">
        <f>1556512.33485389+799020.729917143</f>
        <v>2355533.0647710329</v>
      </c>
      <c r="W195" s="225">
        <f>1884423.78001791+987791.876482857</f>
        <v>2872215.656500767</v>
      </c>
      <c r="X195" s="237">
        <f>1106507.925965+556681.295517143</f>
        <v>1663189.2214821428</v>
      </c>
      <c r="Y195" s="237">
        <f>1371510.13040944+717851.012717143</f>
        <v>2089361.1431265832</v>
      </c>
      <c r="Z195" s="237">
        <f>1371510.13040944+717851.012717143</f>
        <v>2089361.1431265832</v>
      </c>
      <c r="AA195" s="248">
        <f>534410.553351241+260773.573282857</f>
        <v>795184.12663409801</v>
      </c>
      <c r="AB195" s="248">
        <f>534410.553351241+260773.573282857</f>
        <v>795184.12663409801</v>
      </c>
      <c r="AC195" s="237">
        <f>1371510.13040944+717851.012717143</f>
        <v>2089361.1431265832</v>
      </c>
      <c r="AD195" s="237">
        <f>1884423.78001791+987791.876482857</f>
        <v>2872215.656500767</v>
      </c>
      <c r="AE195" s="225">
        <f>2580476.87521368+1338085.172</f>
        <v>3918562.0472136801</v>
      </c>
      <c r="AF195" s="236">
        <f>4361540.99263166+2254227.05351714</f>
        <v>6615768.0461487994</v>
      </c>
      <c r="AG195" s="236">
        <f>3276529.97040944+1688378.46751714</f>
        <v>4964908.4379265802</v>
      </c>
      <c r="AH195" s="226">
        <f>1884423.78001791+987791.876482857</f>
        <v>2872215.656500767</v>
      </c>
      <c r="AI195" s="226">
        <f>1106507.925965+556681.295517143</f>
        <v>1663189.2214821428</v>
      </c>
      <c r="AJ195" s="226">
        <f>799412.757795686+421943.290482857</f>
        <v>1221356.0482785429</v>
      </c>
      <c r="AK195" s="226">
        <f>1473640.46248286+2889434.80224013</f>
        <v>4363075.2647229899</v>
      </c>
      <c r="AL195" s="226">
        <f>1556512.33485389+799020.729917143</f>
        <v>2355533.0647710329</v>
      </c>
      <c r="AM195" s="226">
        <f>1473640.46248286+2889434.80224013</f>
        <v>4363075.2647229899</v>
      </c>
      <c r="AN195" s="235">
        <f>799412.757795686+421943.290482857</f>
        <v>1221356.0482785429</v>
      </c>
      <c r="AO195" s="235">
        <f>3276529.97040944+1688378.46751714</f>
        <v>4964908.4379265802</v>
      </c>
      <c r="AP195" s="235">
        <f>4361540.99263166+2254227.05351714</f>
        <v>6615768.0461487994</v>
      </c>
      <c r="AQ195" s="248">
        <f>3665487.8974359+1903933.758</f>
        <v>5569421.6554358993</v>
      </c>
      <c r="AR195" s="236">
        <f>4361540.99263166+2254227.05351714</f>
        <v>6615768.0461487994</v>
      </c>
      <c r="AS195" s="236">
        <f>5059456.84668457+2605337.63448286</f>
        <v>7664794.4811674301</v>
      </c>
      <c r="AT195" s="236">
        <f>5059456.84668457+2605337.63448286</f>
        <v>7664794.4811674301</v>
      </c>
      <c r="AU195" s="236">
        <f>5059456.84668457+2605337.63448286</f>
        <v>7664794.4811674301</v>
      </c>
      <c r="AV195" s="236">
        <f>6531563.03707611+3385924.22551714</f>
        <v>9917487.2625932507</v>
      </c>
      <c r="AW195" s="247">
        <f>717851.012717143+1371510.13040944</f>
        <v>2089361.1431265832</v>
      </c>
      <c r="AX195" s="248">
        <f>799412.757795686+421943.290482857</f>
        <v>1221356.0482785429</v>
      </c>
      <c r="AY195" s="237">
        <f>1106507.925965+556681.295517143</f>
        <v>1663189.2214821428</v>
      </c>
      <c r="AZ195" s="247">
        <f>717851.012717143+1371510.13040944</f>
        <v>2089361.1431265832</v>
      </c>
      <c r="BA195" s="248">
        <f>799412.757795686+421943.290482857</f>
        <v>1221356.0482785429</v>
      </c>
      <c r="BB195" s="248">
        <f>799412.757795686+421943.290482857</f>
        <v>1221356.0482785429</v>
      </c>
      <c r="BC195" s="225">
        <f>1884423.78001791+987791.876482857</f>
        <v>2872215.656500767</v>
      </c>
      <c r="BD195" s="237">
        <f>1106507.925965+556681.295517143</f>
        <v>1663189.2214821428</v>
      </c>
      <c r="BE195" s="247">
        <f>717851.012717143+1371510.13040944</f>
        <v>2089361.1431265832</v>
      </c>
      <c r="BF195" s="247">
        <f>717851.012717143+1371510.13040944</f>
        <v>2089361.1431265832</v>
      </c>
      <c r="BG195" s="237">
        <f>1556512.33485389+799020.729917143</f>
        <v>2355533.0647710329</v>
      </c>
      <c r="BH195" s="225">
        <f>1884423.78001791+987791.876482857</f>
        <v>2872215.656500767</v>
      </c>
      <c r="BI195" s="224">
        <f>2191518.94818722+1122529.88151714</f>
        <v>3314048.8297043601</v>
      </c>
      <c r="BJ195" s="224">
        <f>2191518.94818722+1122529.88151714</f>
        <v>3314048.8297043601</v>
      </c>
      <c r="BK195" s="247">
        <f>717851.012717143+1371510.13040944</f>
        <v>2089361.1431265832</v>
      </c>
      <c r="BL195" s="224">
        <f>2191518.94818722+1122529.88151714</f>
        <v>3314048.8297043601</v>
      </c>
      <c r="BM195" s="224">
        <f>2191518.94818722+1122529.88151714</f>
        <v>3314048.8297043601</v>
      </c>
      <c r="BN195" s="237">
        <f>1473640.46248286+2889434.80224013</f>
        <v>4363075.2647229899</v>
      </c>
      <c r="BO195" s="224">
        <f>2191518.94818722+1122529.88151714</f>
        <v>3314048.8297043601</v>
      </c>
    </row>
    <row r="196" spans="1:67" ht="45">
      <c r="A196" s="223">
        <f>A195+1</f>
        <v>6</v>
      </c>
      <c r="B196" s="245" t="s">
        <v>212</v>
      </c>
      <c r="C196" s="223">
        <v>194</v>
      </c>
      <c r="D196" s="248">
        <v>948735.44063977397</v>
      </c>
      <c r="E196" s="225">
        <f t="shared" ref="E196:J196" si="119">D196</f>
        <v>948735.44063977397</v>
      </c>
      <c r="F196" s="225">
        <f t="shared" si="119"/>
        <v>948735.44063977397</v>
      </c>
      <c r="G196" s="225">
        <f t="shared" si="119"/>
        <v>948735.44063977397</v>
      </c>
      <c r="H196" s="225">
        <f t="shared" si="119"/>
        <v>948735.44063977397</v>
      </c>
      <c r="I196" s="225">
        <f t="shared" si="119"/>
        <v>948735.44063977397</v>
      </c>
      <c r="J196" s="225">
        <f t="shared" si="119"/>
        <v>948735.44063977397</v>
      </c>
      <c r="K196" s="237">
        <f>J196</f>
        <v>948735.44063977397</v>
      </c>
      <c r="L196" s="237">
        <f t="shared" ref="L196:S196" si="120">K196</f>
        <v>948735.44063977397</v>
      </c>
      <c r="M196" s="237">
        <f t="shared" si="120"/>
        <v>948735.44063977397</v>
      </c>
      <c r="N196" s="237">
        <f t="shared" si="120"/>
        <v>948735.44063977397</v>
      </c>
      <c r="O196" s="237">
        <f t="shared" si="120"/>
        <v>948735.44063977397</v>
      </c>
      <c r="P196" s="237">
        <f t="shared" si="120"/>
        <v>948735.44063977397</v>
      </c>
      <c r="Q196" s="237">
        <f t="shared" si="120"/>
        <v>948735.44063977397</v>
      </c>
      <c r="R196" s="237">
        <f t="shared" si="120"/>
        <v>948735.44063977397</v>
      </c>
      <c r="S196" s="237">
        <f t="shared" si="120"/>
        <v>948735.44063977397</v>
      </c>
      <c r="T196" s="248">
        <v>948735.44063977397</v>
      </c>
      <c r="U196" s="224">
        <f t="shared" si="118"/>
        <v>948735.44063977397</v>
      </c>
      <c r="V196" s="224">
        <f t="shared" si="118"/>
        <v>948735.44063977397</v>
      </c>
      <c r="W196" s="224">
        <f t="shared" si="118"/>
        <v>948735.44063977397</v>
      </c>
      <c r="X196" s="226">
        <v>948735.44063977397</v>
      </c>
      <c r="Y196" s="226">
        <f>X196</f>
        <v>948735.44063977397</v>
      </c>
      <c r="Z196" s="226">
        <f>Y196</f>
        <v>948735.44063977397</v>
      </c>
      <c r="AA196" s="248">
        <v>948735.44063977397</v>
      </c>
      <c r="AB196" s="248">
        <v>948735.44063977397</v>
      </c>
      <c r="AC196" s="237">
        <v>948735.44063977397</v>
      </c>
      <c r="AD196" s="237">
        <f t="shared" si="92"/>
        <v>948735.44063977397</v>
      </c>
      <c r="AE196" s="248">
        <v>948735.44063977397</v>
      </c>
      <c r="AF196" s="248">
        <v>948735.44063977397</v>
      </c>
      <c r="AG196" s="224">
        <f t="shared" si="93"/>
        <v>948735.44063977397</v>
      </c>
      <c r="AH196" s="226">
        <v>948735.44063977397</v>
      </c>
      <c r="AI196" s="226">
        <f>AH196</f>
        <v>948735.44063977397</v>
      </c>
      <c r="AJ196" s="226">
        <f>AI196</f>
        <v>948735.44063977397</v>
      </c>
      <c r="AK196" s="226">
        <f>AJ196</f>
        <v>948735.44063977397</v>
      </c>
      <c r="AL196" s="226">
        <f>AK196</f>
        <v>948735.44063977397</v>
      </c>
      <c r="AM196" s="226">
        <f>AL196</f>
        <v>948735.44063977397</v>
      </c>
      <c r="AN196" s="235">
        <v>948735.44063977397</v>
      </c>
      <c r="AO196" s="235">
        <f t="shared" ref="AO196:AV196" si="121">AN196</f>
        <v>948735.44063977397</v>
      </c>
      <c r="AP196" s="235">
        <f t="shared" si="121"/>
        <v>948735.44063977397</v>
      </c>
      <c r="AQ196" s="236">
        <f t="shared" si="121"/>
        <v>948735.44063977397</v>
      </c>
      <c r="AR196" s="236">
        <f t="shared" si="121"/>
        <v>948735.44063977397</v>
      </c>
      <c r="AS196" s="236">
        <f t="shared" si="121"/>
        <v>948735.44063977397</v>
      </c>
      <c r="AT196" s="236">
        <f t="shared" si="121"/>
        <v>948735.44063977397</v>
      </c>
      <c r="AU196" s="236">
        <f t="shared" si="121"/>
        <v>948735.44063977397</v>
      </c>
      <c r="AV196" s="236">
        <f t="shared" si="121"/>
        <v>948735.44063977397</v>
      </c>
      <c r="AW196" s="247">
        <v>948735.44063977397</v>
      </c>
      <c r="AX196" s="226">
        <f>AW196</f>
        <v>948735.44063977397</v>
      </c>
      <c r="AY196" s="226">
        <f>AX196</f>
        <v>948735.44063977397</v>
      </c>
      <c r="AZ196" s="226">
        <f>AY196</f>
        <v>948735.44063977397</v>
      </c>
      <c r="BA196" s="226">
        <f>AZ196</f>
        <v>948735.44063977397</v>
      </c>
      <c r="BB196" s="226">
        <f>BA196</f>
        <v>948735.44063977397</v>
      </c>
      <c r="BC196" s="248">
        <v>948735.44063977397</v>
      </c>
      <c r="BD196" s="224">
        <f t="shared" ref="BD196:BO196" si="122">BC196</f>
        <v>948735.44063977397</v>
      </c>
      <c r="BE196" s="224">
        <f t="shared" si="122"/>
        <v>948735.44063977397</v>
      </c>
      <c r="BF196" s="224">
        <f t="shared" si="122"/>
        <v>948735.44063977397</v>
      </c>
      <c r="BG196" s="224">
        <f t="shared" si="122"/>
        <v>948735.44063977397</v>
      </c>
      <c r="BH196" s="224">
        <f t="shared" si="122"/>
        <v>948735.44063977397</v>
      </c>
      <c r="BI196" s="224">
        <f t="shared" si="122"/>
        <v>948735.44063977397</v>
      </c>
      <c r="BJ196" s="224">
        <f t="shared" si="122"/>
        <v>948735.44063977397</v>
      </c>
      <c r="BK196" s="224">
        <f t="shared" si="122"/>
        <v>948735.44063977397</v>
      </c>
      <c r="BL196" s="224">
        <f t="shared" si="122"/>
        <v>948735.44063977397</v>
      </c>
      <c r="BM196" s="224">
        <f t="shared" si="122"/>
        <v>948735.44063977397</v>
      </c>
      <c r="BN196" s="224">
        <f t="shared" si="122"/>
        <v>948735.44063977397</v>
      </c>
      <c r="BO196" s="224">
        <f t="shared" si="122"/>
        <v>948735.44063977397</v>
      </c>
    </row>
    <row r="197" spans="1:67" ht="29.25">
      <c r="A197" s="229" t="s">
        <v>25</v>
      </c>
      <c r="B197" s="249" t="s">
        <v>336</v>
      </c>
      <c r="C197" s="223">
        <v>195</v>
      </c>
      <c r="D197" s="250"/>
      <c r="E197" s="250"/>
      <c r="F197" s="250"/>
      <c r="G197" s="250"/>
      <c r="H197" s="250"/>
      <c r="I197" s="250"/>
      <c r="J197" s="250"/>
      <c r="K197" s="151"/>
      <c r="L197" s="151"/>
      <c r="M197" s="151"/>
      <c r="N197" s="151"/>
      <c r="O197" s="151"/>
      <c r="P197" s="151"/>
      <c r="Q197" s="151"/>
      <c r="R197" s="151"/>
      <c r="S197" s="151"/>
      <c r="T197" s="224"/>
      <c r="U197" s="224"/>
      <c r="V197" s="224"/>
      <c r="W197" s="224"/>
      <c r="X197" s="226"/>
      <c r="Y197" s="226">
        <f>X197</f>
        <v>0</v>
      </c>
      <c r="Z197" s="226">
        <f>Y197</f>
        <v>0</v>
      </c>
      <c r="AA197" s="224"/>
      <c r="AB197" s="224"/>
      <c r="AC197" s="237"/>
      <c r="AD197" s="237"/>
      <c r="AE197" s="151"/>
      <c r="AF197" s="224"/>
      <c r="AG197" s="224"/>
      <c r="AH197" s="226"/>
      <c r="AI197" s="226"/>
      <c r="AJ197" s="226"/>
      <c r="AK197" s="226"/>
      <c r="AL197" s="226"/>
      <c r="AM197" s="226"/>
      <c r="AN197" s="235"/>
      <c r="AO197" s="235"/>
      <c r="AP197" s="235"/>
      <c r="AQ197" s="151"/>
      <c r="AR197" s="151"/>
      <c r="AS197" s="151"/>
      <c r="AT197" s="151"/>
      <c r="AU197" s="151"/>
      <c r="AV197" s="151"/>
      <c r="AW197" s="226"/>
      <c r="AX197" s="226"/>
      <c r="AY197" s="226"/>
      <c r="AZ197" s="226"/>
      <c r="BA197" s="226"/>
      <c r="BB197" s="226"/>
      <c r="BC197" s="151"/>
      <c r="BD197" s="151"/>
      <c r="BE197" s="151"/>
      <c r="BF197" s="151"/>
      <c r="BG197" s="151"/>
      <c r="BH197" s="151"/>
      <c r="BI197" s="151"/>
      <c r="BJ197" s="151"/>
      <c r="BK197" s="151"/>
      <c r="BL197" s="151"/>
      <c r="BM197" s="151"/>
      <c r="BN197" s="151"/>
      <c r="BO197" s="151"/>
    </row>
    <row r="198" spans="1:67">
      <c r="A198" s="223">
        <v>1</v>
      </c>
      <c r="B198" s="151" t="s">
        <v>226</v>
      </c>
      <c r="C198" s="223">
        <v>196</v>
      </c>
      <c r="D198" s="251">
        <v>6900000</v>
      </c>
      <c r="E198" s="251">
        <v>6900000</v>
      </c>
      <c r="F198" s="251">
        <v>6900000</v>
      </c>
      <c r="G198" s="225">
        <v>6900000</v>
      </c>
      <c r="H198" s="251">
        <v>6900000</v>
      </c>
      <c r="I198" s="225">
        <v>6900000</v>
      </c>
      <c r="J198" s="225">
        <v>5280000</v>
      </c>
      <c r="K198" s="252">
        <v>6900000</v>
      </c>
      <c r="L198" s="252">
        <v>6900000</v>
      </c>
      <c r="M198" s="252">
        <v>6900000</v>
      </c>
      <c r="N198" s="252">
        <v>6900000</v>
      </c>
      <c r="O198" s="252">
        <v>6900000</v>
      </c>
      <c r="P198" s="252">
        <v>6900000</v>
      </c>
      <c r="Q198" s="237">
        <v>6900000</v>
      </c>
      <c r="R198" s="237">
        <v>6900000</v>
      </c>
      <c r="S198" s="237">
        <v>6900000</v>
      </c>
      <c r="T198" s="248">
        <v>4740000</v>
      </c>
      <c r="U198" s="248">
        <v>7980000</v>
      </c>
      <c r="V198" s="248">
        <v>17700000</v>
      </c>
      <c r="W198" s="237">
        <v>6900000</v>
      </c>
      <c r="X198" s="237">
        <v>6900000</v>
      </c>
      <c r="Y198" s="226">
        <v>9060000</v>
      </c>
      <c r="Z198" s="226">
        <v>10140000</v>
      </c>
      <c r="AA198" s="224">
        <v>11000000</v>
      </c>
      <c r="AB198" s="224">
        <v>18000000</v>
      </c>
      <c r="AC198" s="237">
        <v>5820000</v>
      </c>
      <c r="AD198" s="237">
        <v>5820000</v>
      </c>
      <c r="AE198" s="237">
        <v>4740000</v>
      </c>
      <c r="AF198" s="237">
        <v>6900000</v>
      </c>
      <c r="AG198" s="237">
        <v>5820000</v>
      </c>
      <c r="AH198" s="226">
        <v>17700000</v>
      </c>
      <c r="AI198" s="226">
        <v>18780000</v>
      </c>
      <c r="AJ198" s="226">
        <v>6900000</v>
      </c>
      <c r="AK198" s="226">
        <v>6900000</v>
      </c>
      <c r="AL198" s="226">
        <v>6900000</v>
      </c>
      <c r="AM198" s="226">
        <v>6900000</v>
      </c>
      <c r="AN198" s="235">
        <v>10140000</v>
      </c>
      <c r="AO198" s="235">
        <v>6900000</v>
      </c>
      <c r="AP198" s="235">
        <v>7980000</v>
      </c>
      <c r="AQ198" s="248">
        <v>6900000</v>
      </c>
      <c r="AR198" s="248">
        <v>6900000</v>
      </c>
      <c r="AS198" s="248">
        <v>10680000</v>
      </c>
      <c r="AT198" s="248">
        <v>14460000</v>
      </c>
      <c r="AU198" s="248">
        <v>6900000</v>
      </c>
      <c r="AV198" s="248">
        <v>10140000</v>
      </c>
      <c r="AW198" s="248">
        <v>7980000</v>
      </c>
      <c r="AX198" s="248">
        <v>10140000</v>
      </c>
      <c r="AY198" s="248">
        <v>6900000</v>
      </c>
      <c r="AZ198" s="248">
        <v>4740000</v>
      </c>
      <c r="BA198" s="248">
        <v>6900000</v>
      </c>
      <c r="BB198" s="248">
        <v>16080000</v>
      </c>
      <c r="BC198" s="248">
        <v>5280000</v>
      </c>
      <c r="BD198" s="248">
        <v>2040000</v>
      </c>
      <c r="BE198" s="248">
        <v>4740000</v>
      </c>
      <c r="BF198" s="248">
        <v>6900000</v>
      </c>
      <c r="BG198" s="248">
        <v>3660000</v>
      </c>
      <c r="BH198" s="248">
        <v>4740000</v>
      </c>
      <c r="BI198" s="248">
        <v>4200000</v>
      </c>
      <c r="BJ198" s="248">
        <v>5496000</v>
      </c>
      <c r="BK198" s="248">
        <v>2310000</v>
      </c>
      <c r="BL198" s="248">
        <v>4956000</v>
      </c>
      <c r="BM198" s="248">
        <v>1500000</v>
      </c>
      <c r="BN198" s="248">
        <v>3660000</v>
      </c>
      <c r="BO198" s="253">
        <v>6900000</v>
      </c>
    </row>
    <row r="199" spans="1:67">
      <c r="A199" s="223">
        <f>A198+1</f>
        <v>2</v>
      </c>
      <c r="B199" s="151" t="s">
        <v>227</v>
      </c>
      <c r="C199" s="223">
        <v>197</v>
      </c>
      <c r="D199" s="251">
        <v>1820000</v>
      </c>
      <c r="E199" s="251">
        <v>1820000</v>
      </c>
      <c r="F199" s="251">
        <v>1820000</v>
      </c>
      <c r="G199" s="225">
        <v>1820000</v>
      </c>
      <c r="H199" s="251">
        <v>1820000</v>
      </c>
      <c r="I199" s="225">
        <v>1820000</v>
      </c>
      <c r="J199" s="225">
        <v>3980000</v>
      </c>
      <c r="K199" s="252">
        <v>1280000</v>
      </c>
      <c r="L199" s="252">
        <v>1280000</v>
      </c>
      <c r="M199" s="252">
        <v>1280000</v>
      </c>
      <c r="N199" s="252">
        <v>1280000</v>
      </c>
      <c r="O199" s="252">
        <v>1280000</v>
      </c>
      <c r="P199" s="252">
        <v>1280000</v>
      </c>
      <c r="Q199" s="237">
        <v>1280000</v>
      </c>
      <c r="R199" s="237">
        <v>1280000</v>
      </c>
      <c r="S199" s="237">
        <v>2360000</v>
      </c>
      <c r="T199" s="248">
        <v>5600000</v>
      </c>
      <c r="U199" s="248">
        <v>2360000</v>
      </c>
      <c r="V199" s="248">
        <v>2900000</v>
      </c>
      <c r="W199" s="237">
        <v>1280000</v>
      </c>
      <c r="X199" s="226">
        <v>3440000</v>
      </c>
      <c r="Y199" s="226">
        <v>4520000</v>
      </c>
      <c r="Z199" s="226">
        <v>4520000</v>
      </c>
      <c r="AA199" s="224">
        <v>3440000</v>
      </c>
      <c r="AB199" s="224">
        <v>3440000</v>
      </c>
      <c r="AC199" s="237">
        <v>1820000</v>
      </c>
      <c r="AD199" s="237">
        <v>1280000</v>
      </c>
      <c r="AE199" s="237">
        <v>1280000</v>
      </c>
      <c r="AF199" s="237">
        <v>1280000</v>
      </c>
      <c r="AG199" s="237">
        <v>2360000</v>
      </c>
      <c r="AH199" s="226">
        <v>1280000</v>
      </c>
      <c r="AI199" s="226">
        <v>1280000</v>
      </c>
      <c r="AJ199" s="226">
        <v>1280000</v>
      </c>
      <c r="AK199" s="226">
        <v>740000</v>
      </c>
      <c r="AL199" s="226">
        <v>1280000</v>
      </c>
      <c r="AM199" s="226">
        <v>1280000</v>
      </c>
      <c r="AN199" s="235">
        <v>1388000</v>
      </c>
      <c r="AO199" s="235">
        <v>1280000</v>
      </c>
      <c r="AP199" s="235">
        <v>470000</v>
      </c>
      <c r="AQ199" s="248">
        <v>1280000</v>
      </c>
      <c r="AR199" s="248">
        <v>2360000</v>
      </c>
      <c r="AS199" s="248">
        <v>1280000</v>
      </c>
      <c r="AT199" s="248">
        <v>2900000</v>
      </c>
      <c r="AU199" s="248">
        <v>1820000</v>
      </c>
      <c r="AV199" s="248">
        <v>2900000</v>
      </c>
      <c r="AW199" s="248">
        <v>1280000</v>
      </c>
      <c r="AX199" s="248">
        <v>1820000</v>
      </c>
      <c r="AY199" s="248">
        <v>740000</v>
      </c>
      <c r="AZ199" s="248">
        <v>740000</v>
      </c>
      <c r="BA199" s="248">
        <v>1280000</v>
      </c>
      <c r="BB199" s="248">
        <v>1280000</v>
      </c>
      <c r="BC199" s="248">
        <v>2252000</v>
      </c>
      <c r="BD199" s="248">
        <v>740000</v>
      </c>
      <c r="BE199" s="248">
        <v>1820000</v>
      </c>
      <c r="BF199" s="248">
        <v>3440000</v>
      </c>
      <c r="BG199" s="248">
        <v>1820000</v>
      </c>
      <c r="BH199" s="248">
        <v>740000</v>
      </c>
      <c r="BI199" s="248">
        <v>740000</v>
      </c>
      <c r="BJ199" s="248">
        <v>740000</v>
      </c>
      <c r="BK199" s="248">
        <v>2360000</v>
      </c>
      <c r="BL199" s="248">
        <v>2360000</v>
      </c>
      <c r="BM199" s="248">
        <v>1820000</v>
      </c>
      <c r="BN199" s="248">
        <v>2360000</v>
      </c>
      <c r="BO199" s="253">
        <v>1820000</v>
      </c>
    </row>
    <row r="200" spans="1:67">
      <c r="A200" s="223"/>
      <c r="B200" s="151"/>
      <c r="C200" s="223">
        <v>198</v>
      </c>
      <c r="D200" s="250"/>
      <c r="E200" s="250"/>
      <c r="F200" s="250"/>
      <c r="G200" s="250"/>
      <c r="H200" s="250"/>
      <c r="I200" s="250"/>
      <c r="J200" s="250"/>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c r="AH200" s="226"/>
      <c r="AI200" s="226"/>
      <c r="AJ200" s="226"/>
      <c r="AK200" s="226"/>
      <c r="AL200" s="226"/>
      <c r="AM200" s="226"/>
      <c r="AN200" s="235"/>
      <c r="AO200" s="235"/>
      <c r="AP200" s="235"/>
      <c r="AQ200" s="248"/>
      <c r="AR200" s="248"/>
      <c r="AS200" s="248"/>
      <c r="AT200" s="248"/>
      <c r="AU200" s="248"/>
      <c r="AV200" s="248"/>
      <c r="AW200" s="248"/>
      <c r="AX200" s="248"/>
      <c r="AY200" s="248"/>
      <c r="AZ200" s="248"/>
      <c r="BA200" s="248"/>
      <c r="BB200" s="248"/>
      <c r="BC200" s="248"/>
      <c r="BD200" s="248"/>
      <c r="BE200" s="248"/>
      <c r="BF200" s="248"/>
      <c r="BG200" s="248"/>
      <c r="BH200" s="248"/>
      <c r="BI200" s="248"/>
      <c r="BJ200" s="248"/>
      <c r="BK200" s="248"/>
      <c r="BL200" s="248"/>
      <c r="BM200" s="248"/>
      <c r="BN200" s="248"/>
      <c r="BO200" s="248"/>
    </row>
    <row r="201" spans="1:67">
      <c r="A201" s="264" t="s">
        <v>26</v>
      </c>
      <c r="B201" s="265" t="s">
        <v>1458</v>
      </c>
      <c r="C201" s="223">
        <v>199</v>
      </c>
      <c r="D201" s="266">
        <v>13000000</v>
      </c>
      <c r="E201" s="266">
        <v>13000000</v>
      </c>
      <c r="F201" s="266">
        <v>13000000</v>
      </c>
      <c r="G201" s="266">
        <v>13000000</v>
      </c>
      <c r="H201" s="266">
        <v>13000000</v>
      </c>
      <c r="I201" s="266">
        <v>13000000</v>
      </c>
      <c r="J201" s="266">
        <v>13000000</v>
      </c>
      <c r="K201" s="266">
        <v>13000000</v>
      </c>
      <c r="L201" s="266">
        <v>13000000</v>
      </c>
      <c r="M201" s="266">
        <v>13000000</v>
      </c>
      <c r="N201" s="266">
        <v>13000000</v>
      </c>
      <c r="O201" s="266">
        <v>13000000</v>
      </c>
      <c r="P201" s="266">
        <v>13000000</v>
      </c>
      <c r="Q201" s="266">
        <v>13000000</v>
      </c>
      <c r="R201" s="266">
        <v>13000000</v>
      </c>
      <c r="S201" s="266">
        <v>13000000</v>
      </c>
      <c r="T201" s="266">
        <v>13000000</v>
      </c>
      <c r="U201" s="266">
        <v>13000000</v>
      </c>
      <c r="V201" s="266">
        <v>13000000</v>
      </c>
      <c r="W201" s="266">
        <v>13000000</v>
      </c>
      <c r="X201" s="266">
        <v>13000000</v>
      </c>
      <c r="Y201" s="266">
        <v>13000000</v>
      </c>
      <c r="Z201" s="266">
        <v>13000000</v>
      </c>
      <c r="AA201" s="266">
        <v>13000000</v>
      </c>
      <c r="AB201" s="266">
        <v>13000000</v>
      </c>
      <c r="AC201" s="266">
        <v>13000000</v>
      </c>
      <c r="AD201" s="266">
        <v>13000000</v>
      </c>
      <c r="AE201" s="266">
        <v>13000000</v>
      </c>
      <c r="AF201" s="266">
        <v>13000000</v>
      </c>
      <c r="AG201" s="266">
        <v>13000000</v>
      </c>
      <c r="AH201" s="266">
        <v>13000000</v>
      </c>
      <c r="AI201" s="266">
        <v>13000000</v>
      </c>
      <c r="AJ201" s="266">
        <v>13000000</v>
      </c>
      <c r="AK201" s="266">
        <v>13000000</v>
      </c>
      <c r="AL201" s="266">
        <v>13000000</v>
      </c>
      <c r="AM201" s="266">
        <v>13000000</v>
      </c>
      <c r="AN201" s="266">
        <v>13000000</v>
      </c>
      <c r="AO201" s="266">
        <v>13000000</v>
      </c>
      <c r="AP201" s="266">
        <v>13000000</v>
      </c>
      <c r="AQ201" s="266">
        <v>13000000</v>
      </c>
      <c r="AR201" s="266">
        <v>13000000</v>
      </c>
      <c r="AS201" s="266">
        <v>13000000</v>
      </c>
      <c r="AT201" s="266">
        <v>13000000</v>
      </c>
      <c r="AU201" s="266">
        <v>13000000</v>
      </c>
      <c r="AV201" s="266">
        <v>13000000</v>
      </c>
      <c r="AW201" s="266">
        <v>13000000</v>
      </c>
      <c r="AX201" s="266">
        <v>13000000</v>
      </c>
      <c r="AY201" s="266">
        <v>13000000</v>
      </c>
      <c r="AZ201" s="266">
        <v>13000000</v>
      </c>
      <c r="BA201" s="266">
        <v>13000000</v>
      </c>
      <c r="BB201" s="266">
        <v>13000000</v>
      </c>
      <c r="BC201" s="266">
        <v>13000000</v>
      </c>
      <c r="BD201" s="266">
        <v>13000000</v>
      </c>
      <c r="BE201" s="266">
        <v>13000000</v>
      </c>
      <c r="BF201" s="266">
        <v>13000000</v>
      </c>
      <c r="BG201" s="266">
        <v>13000000</v>
      </c>
      <c r="BH201" s="266">
        <v>13000000</v>
      </c>
      <c r="BI201" s="266">
        <v>13000000</v>
      </c>
      <c r="BJ201" s="266">
        <v>13000000</v>
      </c>
      <c r="BK201" s="266">
        <v>13000000</v>
      </c>
      <c r="BL201" s="266">
        <v>13000000</v>
      </c>
      <c r="BM201" s="266">
        <v>13000000</v>
      </c>
      <c r="BN201" s="266">
        <v>13000000</v>
      </c>
      <c r="BO201" s="266">
        <v>13000000</v>
      </c>
    </row>
    <row r="202" spans="1:67">
      <c r="A202" s="256" t="s">
        <v>110</v>
      </c>
      <c r="B202" s="257" t="s">
        <v>1530</v>
      </c>
      <c r="C202" s="256"/>
      <c r="D202" s="266" t="s">
        <v>1461</v>
      </c>
      <c r="E202" s="266" t="s">
        <v>1462</v>
      </c>
      <c r="F202" s="266" t="s">
        <v>1463</v>
      </c>
      <c r="G202" s="266" t="s">
        <v>1471</v>
      </c>
      <c r="H202" s="266" t="s">
        <v>1472</v>
      </c>
      <c r="I202" s="266" t="s">
        <v>1473</v>
      </c>
      <c r="J202" s="266" t="s">
        <v>1474</v>
      </c>
      <c r="K202" s="266" t="s">
        <v>1475</v>
      </c>
      <c r="L202" s="266" t="s">
        <v>1476</v>
      </c>
      <c r="M202" s="266" t="s">
        <v>1477</v>
      </c>
      <c r="N202" s="266" t="s">
        <v>1478</v>
      </c>
      <c r="O202" s="266" t="s">
        <v>1479</v>
      </c>
      <c r="P202" s="266" t="s">
        <v>1480</v>
      </c>
      <c r="Q202" s="266" t="s">
        <v>1481</v>
      </c>
      <c r="R202" s="266" t="s">
        <v>1482</v>
      </c>
      <c r="S202" s="266" t="s">
        <v>1483</v>
      </c>
      <c r="T202" s="266" t="s">
        <v>1484</v>
      </c>
      <c r="U202" s="266" t="s">
        <v>1485</v>
      </c>
      <c r="V202" s="266" t="s">
        <v>1486</v>
      </c>
      <c r="W202" s="266" t="s">
        <v>1487</v>
      </c>
      <c r="X202" s="266" t="s">
        <v>1488</v>
      </c>
      <c r="Y202" s="266" t="s">
        <v>1489</v>
      </c>
      <c r="Z202" s="266" t="s">
        <v>1490</v>
      </c>
      <c r="AA202" s="266" t="s">
        <v>1491</v>
      </c>
      <c r="AB202" s="266" t="s">
        <v>1491</v>
      </c>
      <c r="AC202" s="266" t="s">
        <v>1492</v>
      </c>
      <c r="AD202" s="266" t="s">
        <v>1493</v>
      </c>
      <c r="AE202" s="266" t="s">
        <v>1494</v>
      </c>
      <c r="AF202" s="266" t="s">
        <v>1495</v>
      </c>
      <c r="AG202" s="266" t="s">
        <v>1497</v>
      </c>
      <c r="AH202" s="266" t="s">
        <v>1496</v>
      </c>
      <c r="AI202" s="266" t="s">
        <v>1529</v>
      </c>
      <c r="AJ202" s="266" t="s">
        <v>1498</v>
      </c>
      <c r="AK202" s="266" t="s">
        <v>1531</v>
      </c>
      <c r="AL202" s="266" t="s">
        <v>1499</v>
      </c>
      <c r="AM202" s="266" t="s">
        <v>1500</v>
      </c>
      <c r="AN202" s="266" t="s">
        <v>1501</v>
      </c>
      <c r="AO202" s="266" t="s">
        <v>1502</v>
      </c>
      <c r="AP202" s="266" t="s">
        <v>1503</v>
      </c>
      <c r="AQ202" s="266" t="s">
        <v>1504</v>
      </c>
      <c r="AR202" s="266" t="s">
        <v>1505</v>
      </c>
      <c r="AS202" s="266" t="s">
        <v>1506</v>
      </c>
      <c r="AT202" s="266" t="s">
        <v>1507</v>
      </c>
      <c r="AU202" s="266" t="s">
        <v>1508</v>
      </c>
      <c r="AV202" s="266" t="s">
        <v>1509</v>
      </c>
      <c r="AW202" s="266" t="s">
        <v>1510</v>
      </c>
      <c r="AX202" s="266" t="s">
        <v>1511</v>
      </c>
      <c r="AY202" s="266" t="s">
        <v>1512</v>
      </c>
      <c r="AZ202" s="266" t="s">
        <v>1513</v>
      </c>
      <c r="BA202" s="266" t="s">
        <v>1514</v>
      </c>
      <c r="BB202" s="266" t="s">
        <v>1515</v>
      </c>
      <c r="BC202" s="266" t="s">
        <v>1516</v>
      </c>
      <c r="BD202" s="266" t="s">
        <v>1517</v>
      </c>
      <c r="BE202" s="266" t="s">
        <v>1518</v>
      </c>
      <c r="BF202" s="266" t="s">
        <v>1519</v>
      </c>
      <c r="BG202" s="266" t="s">
        <v>1520</v>
      </c>
      <c r="BH202" s="266" t="s">
        <v>1521</v>
      </c>
      <c r="BI202" s="266" t="s">
        <v>1522</v>
      </c>
      <c r="BJ202" s="266" t="s">
        <v>1523</v>
      </c>
      <c r="BK202" s="266" t="s">
        <v>1524</v>
      </c>
      <c r="BL202" s="266" t="s">
        <v>1525</v>
      </c>
      <c r="BM202" s="266" t="s">
        <v>1526</v>
      </c>
      <c r="BN202" s="266" t="s">
        <v>1527</v>
      </c>
      <c r="BO202" s="266" t="s">
        <v>1528</v>
      </c>
    </row>
  </sheetData>
  <sheetProtection algorithmName="SHA-512" hashValue="Q6q9aI7WZu8alOXtz3P7jwtlA1/7o0/tjNghHq4fbS5G/XG+3v+Pp0xg+TwqjJczux4HUB7I0o+1avcMrnmBWQ==" saltValue="aCt716XCdBP3TxgTWssSvA==" spinCount="100000" sheet="1" objects="1" scenarios="1"/>
  <mergeCells count="10">
    <mergeCell ref="AH2:AM2"/>
    <mergeCell ref="AN2:AV2"/>
    <mergeCell ref="AW2:BB2"/>
    <mergeCell ref="BC2:BO2"/>
    <mergeCell ref="D2:J2"/>
    <mergeCell ref="K2:S2"/>
    <mergeCell ref="T2:W2"/>
    <mergeCell ref="X2:Z2"/>
    <mergeCell ref="AC2:AD2"/>
    <mergeCell ref="AF2:AG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BO219"/>
  <sheetViews>
    <sheetView zoomScaleNormal="100" workbookViewId="0">
      <pane xSplit="3" ySplit="3" topLeftCell="D133" activePane="bottomRight" state="frozen"/>
      <selection pane="topRight" activeCell="D1" sqref="D1"/>
      <selection pane="bottomLeft" activeCell="A4" sqref="A4"/>
      <selection pane="bottomRight" activeCell="I227" sqref="I227"/>
    </sheetView>
  </sheetViews>
  <sheetFormatPr defaultColWidth="9.140625" defaultRowHeight="15"/>
  <cols>
    <col min="1" max="1" width="9.140625" style="106"/>
    <col min="2" max="2" width="46.42578125" style="2" customWidth="1"/>
    <col min="3" max="3" width="7.140625" style="106" customWidth="1"/>
    <col min="4" max="4" width="20.42578125" style="6" customWidth="1"/>
    <col min="5" max="10" width="14.42578125" style="6" customWidth="1"/>
    <col min="11" max="26" width="14.42578125" style="2" customWidth="1"/>
    <col min="27" max="27" width="15.140625" style="2" customWidth="1"/>
    <col min="28" max="28" width="16" style="2" customWidth="1"/>
    <col min="29" max="29" width="14.42578125" style="2" customWidth="1"/>
    <col min="30" max="30" width="14.140625" style="2" customWidth="1"/>
    <col min="31" max="32" width="14.42578125" style="2" customWidth="1"/>
    <col min="33" max="33" width="15.28515625" style="2" customWidth="1"/>
    <col min="34" max="38" width="14.42578125" style="90" customWidth="1"/>
    <col min="39" max="48" width="14.42578125" style="2" customWidth="1"/>
    <col min="49" max="67" width="14.42578125" style="2" bestFit="1" customWidth="1"/>
    <col min="68" max="16384" width="9.140625" style="2"/>
  </cols>
  <sheetData>
    <row r="2" spans="1:67">
      <c r="A2" s="229"/>
      <c r="B2" s="230"/>
      <c r="C2" s="223"/>
      <c r="D2" s="792" t="s">
        <v>32</v>
      </c>
      <c r="E2" s="792"/>
      <c r="F2" s="792"/>
      <c r="G2" s="792"/>
      <c r="H2" s="792"/>
      <c r="I2" s="792"/>
      <c r="J2" s="792"/>
      <c r="K2" s="793" t="s">
        <v>33</v>
      </c>
      <c r="L2" s="793"/>
      <c r="M2" s="793"/>
      <c r="N2" s="793"/>
      <c r="O2" s="793"/>
      <c r="P2" s="793"/>
      <c r="Q2" s="793"/>
      <c r="R2" s="793"/>
      <c r="S2" s="793"/>
      <c r="T2" s="791" t="s">
        <v>34</v>
      </c>
      <c r="U2" s="791"/>
      <c r="V2" s="791"/>
      <c r="W2" s="791"/>
      <c r="X2" s="790" t="s">
        <v>35</v>
      </c>
      <c r="Y2" s="790"/>
      <c r="Z2" s="790"/>
      <c r="AA2" s="231" t="s">
        <v>36</v>
      </c>
      <c r="AB2" s="232" t="s">
        <v>37</v>
      </c>
      <c r="AC2" s="791" t="s">
        <v>38</v>
      </c>
      <c r="AD2" s="791"/>
      <c r="AE2" s="232" t="s">
        <v>39</v>
      </c>
      <c r="AF2" s="791" t="s">
        <v>40</v>
      </c>
      <c r="AG2" s="791"/>
      <c r="AH2" s="790" t="s">
        <v>41</v>
      </c>
      <c r="AI2" s="790"/>
      <c r="AJ2" s="790"/>
      <c r="AK2" s="790"/>
      <c r="AL2" s="790"/>
      <c r="AM2" s="790"/>
      <c r="AN2" s="791" t="s">
        <v>42</v>
      </c>
      <c r="AO2" s="791"/>
      <c r="AP2" s="791"/>
      <c r="AQ2" s="791"/>
      <c r="AR2" s="791"/>
      <c r="AS2" s="791"/>
      <c r="AT2" s="791"/>
      <c r="AU2" s="791"/>
      <c r="AV2" s="791"/>
      <c r="AW2" s="790" t="s">
        <v>43</v>
      </c>
      <c r="AX2" s="790"/>
      <c r="AY2" s="790"/>
      <c r="AZ2" s="790"/>
      <c r="BA2" s="790"/>
      <c r="BB2" s="790"/>
      <c r="BC2" s="791" t="s">
        <v>44</v>
      </c>
      <c r="BD2" s="791"/>
      <c r="BE2" s="791"/>
      <c r="BF2" s="791"/>
      <c r="BG2" s="791"/>
      <c r="BH2" s="791"/>
      <c r="BI2" s="791"/>
      <c r="BJ2" s="791"/>
      <c r="BK2" s="791"/>
      <c r="BL2" s="791"/>
      <c r="BM2" s="791"/>
      <c r="BN2" s="791"/>
      <c r="BO2" s="791"/>
    </row>
    <row r="3" spans="1:67">
      <c r="A3" s="223"/>
      <c r="B3" s="230" t="s">
        <v>235</v>
      </c>
      <c r="C3" s="223">
        <v>1</v>
      </c>
      <c r="D3" s="622" t="s">
        <v>47</v>
      </c>
      <c r="E3" s="622" t="s">
        <v>48</v>
      </c>
      <c r="F3" s="622" t="s">
        <v>49</v>
      </c>
      <c r="G3" s="622" t="s">
        <v>50</v>
      </c>
      <c r="H3" s="622" t="s">
        <v>51</v>
      </c>
      <c r="I3" s="622" t="s">
        <v>53</v>
      </c>
      <c r="J3" s="622" t="s">
        <v>52</v>
      </c>
      <c r="K3" s="233" t="s">
        <v>54</v>
      </c>
      <c r="L3" s="233" t="s">
        <v>55</v>
      </c>
      <c r="M3" s="233" t="s">
        <v>56</v>
      </c>
      <c r="N3" s="233" t="s">
        <v>526</v>
      </c>
      <c r="O3" s="233" t="s">
        <v>58</v>
      </c>
      <c r="P3" s="233" t="s">
        <v>59</v>
      </c>
      <c r="Q3" s="233" t="s">
        <v>60</v>
      </c>
      <c r="R3" s="233" t="s">
        <v>61</v>
      </c>
      <c r="S3" s="233" t="s">
        <v>62</v>
      </c>
      <c r="T3" s="151" t="s">
        <v>63</v>
      </c>
      <c r="U3" s="151" t="s">
        <v>64</v>
      </c>
      <c r="V3" s="151" t="s">
        <v>65</v>
      </c>
      <c r="W3" s="151" t="s">
        <v>66</v>
      </c>
      <c r="X3" s="151" t="s">
        <v>67</v>
      </c>
      <c r="Y3" s="151" t="s">
        <v>68</v>
      </c>
      <c r="Z3" s="151" t="s">
        <v>69</v>
      </c>
      <c r="AA3" s="234" t="s">
        <v>440</v>
      </c>
      <c r="AB3" s="152" t="s">
        <v>441</v>
      </c>
      <c r="AC3" s="151" t="s">
        <v>70</v>
      </c>
      <c r="AD3" s="151" t="s">
        <v>71</v>
      </c>
      <c r="AE3" s="230" t="s">
        <v>72</v>
      </c>
      <c r="AF3" s="151" t="s">
        <v>73</v>
      </c>
      <c r="AG3" s="151" t="s">
        <v>74</v>
      </c>
      <c r="AH3" s="235" t="s">
        <v>75</v>
      </c>
      <c r="AI3" s="235" t="s">
        <v>76</v>
      </c>
      <c r="AJ3" s="235" t="s">
        <v>77</v>
      </c>
      <c r="AK3" s="235" t="s">
        <v>78</v>
      </c>
      <c r="AL3" s="235" t="s">
        <v>79</v>
      </c>
      <c r="AM3" s="151" t="s">
        <v>80</v>
      </c>
      <c r="AN3" s="151" t="s">
        <v>81</v>
      </c>
      <c r="AO3" s="151" t="s">
        <v>82</v>
      </c>
      <c r="AP3" s="151" t="s">
        <v>83</v>
      </c>
      <c r="AQ3" s="151" t="s">
        <v>84</v>
      </c>
      <c r="AR3" s="151" t="s">
        <v>85</v>
      </c>
      <c r="AS3" s="151" t="s">
        <v>86</v>
      </c>
      <c r="AT3" s="151" t="s">
        <v>87</v>
      </c>
      <c r="AU3" s="151" t="s">
        <v>88</v>
      </c>
      <c r="AV3" s="151" t="s">
        <v>89</v>
      </c>
      <c r="AW3" s="151" t="s">
        <v>90</v>
      </c>
      <c r="AX3" s="151" t="s">
        <v>91</v>
      </c>
      <c r="AY3" s="151" t="s">
        <v>92</v>
      </c>
      <c r="AZ3" s="151" t="s">
        <v>93</v>
      </c>
      <c r="BA3" s="151" t="s">
        <v>94</v>
      </c>
      <c r="BB3" s="151" t="s">
        <v>95</v>
      </c>
      <c r="BC3" s="151" t="s">
        <v>96</v>
      </c>
      <c r="BD3" s="151" t="s">
        <v>97</v>
      </c>
      <c r="BE3" s="151" t="s">
        <v>98</v>
      </c>
      <c r="BF3" s="151" t="s">
        <v>99</v>
      </c>
      <c r="BG3" s="151" t="s">
        <v>100</v>
      </c>
      <c r="BH3" s="151" t="s">
        <v>101</v>
      </c>
      <c r="BI3" s="151" t="s">
        <v>102</v>
      </c>
      <c r="BJ3" s="151" t="s">
        <v>103</v>
      </c>
      <c r="BK3" s="151" t="s">
        <v>104</v>
      </c>
      <c r="BL3" s="151" t="s">
        <v>105</v>
      </c>
      <c r="BM3" s="151" t="s">
        <v>106</v>
      </c>
      <c r="BN3" s="151" t="s">
        <v>107</v>
      </c>
      <c r="BO3" s="151" t="s">
        <v>108</v>
      </c>
    </row>
    <row r="4" spans="1:67">
      <c r="A4" s="223" t="s">
        <v>0</v>
      </c>
      <c r="B4" s="230" t="s">
        <v>218</v>
      </c>
      <c r="C4" s="223">
        <v>2</v>
      </c>
      <c r="D4" s="622" t="s">
        <v>551</v>
      </c>
      <c r="E4" s="622" t="s">
        <v>551</v>
      </c>
      <c r="F4" s="622" t="s">
        <v>551</v>
      </c>
      <c r="G4" s="622" t="str">
        <f>+P4</f>
        <v>Nhóm 3</v>
      </c>
      <c r="H4" s="622" t="s">
        <v>551</v>
      </c>
      <c r="I4" s="622" t="s">
        <v>551</v>
      </c>
      <c r="J4" s="622" t="s">
        <v>551</v>
      </c>
      <c r="K4" s="233" t="s">
        <v>551</v>
      </c>
      <c r="L4" s="233" t="s">
        <v>551</v>
      </c>
      <c r="M4" s="233" t="s">
        <v>551</v>
      </c>
      <c r="N4" s="233" t="s">
        <v>551</v>
      </c>
      <c r="O4" s="233" t="s">
        <v>551</v>
      </c>
      <c r="P4" s="233" t="s">
        <v>552</v>
      </c>
      <c r="Q4" s="233" t="s">
        <v>552</v>
      </c>
      <c r="R4" s="233" t="s">
        <v>551</v>
      </c>
      <c r="S4" s="233" t="s">
        <v>553</v>
      </c>
      <c r="T4" s="151" t="s">
        <v>553</v>
      </c>
      <c r="U4" s="151" t="s">
        <v>553</v>
      </c>
      <c r="V4" s="151" t="s">
        <v>558</v>
      </c>
      <c r="W4" s="151" t="s">
        <v>552</v>
      </c>
      <c r="X4" s="151" t="str">
        <f>+W4</f>
        <v>Nhóm 3</v>
      </c>
      <c r="Y4" s="151" t="str">
        <f>+U4</f>
        <v>Nhóm 4</v>
      </c>
      <c r="Z4" s="151" t="str">
        <f>+U4</f>
        <v>Nhóm 4</v>
      </c>
      <c r="AA4" s="234" t="s">
        <v>550</v>
      </c>
      <c r="AB4" s="151" t="s">
        <v>550</v>
      </c>
      <c r="AC4" s="151" t="s">
        <v>553</v>
      </c>
      <c r="AD4" s="151" t="s">
        <v>554</v>
      </c>
      <c r="AE4" s="230" t="s">
        <v>554</v>
      </c>
      <c r="AF4" s="151" t="s">
        <v>554</v>
      </c>
      <c r="AG4" s="151" t="s">
        <v>554</v>
      </c>
      <c r="AH4" s="235" t="s">
        <v>554</v>
      </c>
      <c r="AI4" s="235" t="s">
        <v>554</v>
      </c>
      <c r="AJ4" s="235" t="s">
        <v>558</v>
      </c>
      <c r="AK4" s="235" t="s">
        <v>555</v>
      </c>
      <c r="AL4" s="235" t="s">
        <v>555</v>
      </c>
      <c r="AM4" s="235" t="s">
        <v>555</v>
      </c>
      <c r="AN4" s="235" t="s">
        <v>555</v>
      </c>
      <c r="AO4" s="235" t="s">
        <v>555</v>
      </c>
      <c r="AP4" s="235" t="s">
        <v>555</v>
      </c>
      <c r="AQ4" s="151" t="s">
        <v>556</v>
      </c>
      <c r="AR4" s="151" t="s">
        <v>556</v>
      </c>
      <c r="AS4" s="151" t="s">
        <v>555</v>
      </c>
      <c r="AT4" s="151" t="s">
        <v>556</v>
      </c>
      <c r="AU4" s="151" t="str">
        <f>+AT4</f>
        <v>Nhóm 7</v>
      </c>
      <c r="AV4" s="151" t="str">
        <f>+AU4</f>
        <v>Nhóm 7</v>
      </c>
      <c r="AW4" s="151" t="str">
        <f>+AV4</f>
        <v>Nhóm 7</v>
      </c>
      <c r="AX4" s="151" t="s">
        <v>558</v>
      </c>
      <c r="AY4" s="151" t="str">
        <f>+AX4</f>
        <v>Nhóm 9</v>
      </c>
      <c r="AZ4" s="151" t="str">
        <f>+AS4</f>
        <v>Nhóm 6</v>
      </c>
      <c r="BA4" s="151" t="s">
        <v>558</v>
      </c>
      <c r="BB4" s="151" t="s">
        <v>550</v>
      </c>
      <c r="BC4" s="151" t="s">
        <v>557</v>
      </c>
      <c r="BD4" s="151" t="s">
        <v>558</v>
      </c>
      <c r="BE4" s="151" t="str">
        <f>+BC4</f>
        <v>Nhóm 8</v>
      </c>
      <c r="BF4" s="151" t="str">
        <f>+BE4</f>
        <v>Nhóm 8</v>
      </c>
      <c r="BG4" s="151" t="str">
        <f t="shared" ref="BG4:BL4" si="0">+BE4</f>
        <v>Nhóm 8</v>
      </c>
      <c r="BH4" s="151" t="str">
        <f t="shared" si="0"/>
        <v>Nhóm 8</v>
      </c>
      <c r="BI4" s="151" t="str">
        <f t="shared" si="0"/>
        <v>Nhóm 8</v>
      </c>
      <c r="BJ4" s="151" t="str">
        <f t="shared" si="0"/>
        <v>Nhóm 8</v>
      </c>
      <c r="BK4" s="151" t="str">
        <f t="shared" si="0"/>
        <v>Nhóm 8</v>
      </c>
      <c r="BL4" s="151" t="str">
        <f t="shared" si="0"/>
        <v>Nhóm 8</v>
      </c>
      <c r="BM4" s="151" t="str">
        <f>+BK4</f>
        <v>Nhóm 8</v>
      </c>
      <c r="BN4" s="151" t="str">
        <f>+BL4</f>
        <v>Nhóm 8</v>
      </c>
      <c r="BO4" s="151" t="str">
        <f>+BM4</f>
        <v>Nhóm 8</v>
      </c>
    </row>
    <row r="5" spans="1:67">
      <c r="A5" s="223" t="s">
        <v>0</v>
      </c>
      <c r="B5" s="230" t="s">
        <v>137</v>
      </c>
      <c r="C5" s="223">
        <v>3</v>
      </c>
      <c r="D5" s="622"/>
      <c r="E5" s="622"/>
      <c r="F5" s="622"/>
      <c r="G5" s="622"/>
      <c r="H5" s="622"/>
      <c r="I5" s="622"/>
      <c r="J5" s="622"/>
      <c r="K5" s="233"/>
      <c r="L5" s="233"/>
      <c r="M5" s="233"/>
      <c r="N5" s="233"/>
      <c r="O5" s="233"/>
      <c r="P5" s="233"/>
      <c r="Q5" s="233"/>
      <c r="R5" s="233"/>
      <c r="S5" s="233"/>
      <c r="T5" s="151"/>
      <c r="U5" s="151"/>
      <c r="V5" s="151"/>
      <c r="W5" s="151"/>
      <c r="X5" s="151"/>
      <c r="Y5" s="151"/>
      <c r="Z5" s="151"/>
      <c r="AA5" s="224"/>
      <c r="AB5" s="151"/>
      <c r="AC5" s="151"/>
      <c r="AD5" s="151"/>
      <c r="AE5" s="226"/>
      <c r="AF5" s="224"/>
      <c r="AG5" s="224"/>
      <c r="AH5" s="235"/>
      <c r="AI5" s="235"/>
      <c r="AJ5" s="235"/>
      <c r="AK5" s="235"/>
      <c r="AL5" s="235"/>
      <c r="AM5" s="235"/>
      <c r="AN5" s="235"/>
      <c r="AO5" s="235"/>
      <c r="AP5" s="235"/>
      <c r="AQ5" s="151"/>
      <c r="AR5" s="151"/>
      <c r="AS5" s="151"/>
      <c r="AT5" s="151"/>
      <c r="AU5" s="151"/>
      <c r="AV5" s="151"/>
      <c r="AW5" s="226"/>
      <c r="AX5" s="226"/>
      <c r="AY5" s="226"/>
      <c r="AZ5" s="226"/>
      <c r="BA5" s="226"/>
      <c r="BB5" s="226"/>
      <c r="BC5" s="224"/>
      <c r="BD5" s="224"/>
      <c r="BE5" s="224"/>
      <c r="BF5" s="224"/>
      <c r="BG5" s="224"/>
      <c r="BH5" s="224"/>
      <c r="BI5" s="224"/>
      <c r="BJ5" s="224"/>
      <c r="BK5" s="224"/>
      <c r="BL5" s="224"/>
      <c r="BM5" s="224"/>
      <c r="BN5" s="224"/>
      <c r="BO5" s="224"/>
    </row>
    <row r="6" spans="1:67">
      <c r="A6" s="223" t="s">
        <v>28</v>
      </c>
      <c r="B6" s="230" t="s">
        <v>148</v>
      </c>
      <c r="C6" s="223">
        <v>4</v>
      </c>
      <c r="D6" s="234"/>
      <c r="E6" s="234"/>
      <c r="F6" s="234"/>
      <c r="G6" s="234"/>
      <c r="H6" s="234"/>
      <c r="I6" s="234"/>
      <c r="J6" s="234"/>
      <c r="K6" s="235"/>
      <c r="L6" s="235"/>
      <c r="M6" s="235"/>
      <c r="N6" s="235"/>
      <c r="O6" s="235"/>
      <c r="P6" s="235"/>
      <c r="Q6" s="235"/>
      <c r="R6" s="235"/>
      <c r="S6" s="235"/>
      <c r="T6" s="224"/>
      <c r="U6" s="224"/>
      <c r="V6" s="224"/>
      <c r="W6" s="224"/>
      <c r="X6" s="151"/>
      <c r="Y6" s="151"/>
      <c r="Z6" s="151"/>
      <c r="AA6" s="224"/>
      <c r="AB6" s="151"/>
      <c r="AC6" s="224"/>
      <c r="AD6" s="224"/>
      <c r="AE6" s="226"/>
      <c r="AF6" s="224"/>
      <c r="AG6" s="224"/>
      <c r="AH6" s="235"/>
      <c r="AI6" s="235"/>
      <c r="AJ6" s="235"/>
      <c r="AK6" s="235"/>
      <c r="AL6" s="235"/>
      <c r="AM6" s="235"/>
      <c r="AN6" s="235"/>
      <c r="AO6" s="235"/>
      <c r="AP6" s="235"/>
      <c r="AQ6" s="151"/>
      <c r="AR6" s="151"/>
      <c r="AS6" s="151"/>
      <c r="AT6" s="151"/>
      <c r="AU6" s="151"/>
      <c r="AV6" s="151"/>
      <c r="AW6" s="226"/>
      <c r="AX6" s="226"/>
      <c r="AY6" s="226"/>
      <c r="AZ6" s="226"/>
      <c r="BA6" s="226"/>
      <c r="BB6" s="226"/>
      <c r="BC6" s="224"/>
      <c r="BD6" s="224"/>
      <c r="BE6" s="224"/>
      <c r="BF6" s="224"/>
      <c r="BG6" s="224"/>
      <c r="BH6" s="224"/>
      <c r="BI6" s="224"/>
      <c r="BJ6" s="224"/>
      <c r="BK6" s="224"/>
      <c r="BL6" s="224"/>
      <c r="BM6" s="224"/>
      <c r="BN6" s="224"/>
      <c r="BO6" s="224"/>
    </row>
    <row r="7" spans="1:67">
      <c r="A7" s="223">
        <v>1</v>
      </c>
      <c r="B7" s="151" t="s">
        <v>8</v>
      </c>
      <c r="C7" s="223">
        <v>5</v>
      </c>
      <c r="D7" s="234">
        <v>74757621</v>
      </c>
      <c r="E7" s="234">
        <v>74757621</v>
      </c>
      <c r="F7" s="234">
        <v>74757621</v>
      </c>
      <c r="G7" s="234">
        <v>74757621</v>
      </c>
      <c r="H7" s="234">
        <v>74757621</v>
      </c>
      <c r="I7" s="234">
        <v>74757621</v>
      </c>
      <c r="J7" s="234">
        <v>74757621</v>
      </c>
      <c r="K7" s="234">
        <v>74757621</v>
      </c>
      <c r="L7" s="234">
        <v>74757621</v>
      </c>
      <c r="M7" s="234">
        <v>74757621</v>
      </c>
      <c r="N7" s="234">
        <v>74757621</v>
      </c>
      <c r="O7" s="234">
        <v>74757621</v>
      </c>
      <c r="P7" s="234">
        <v>74757621</v>
      </c>
      <c r="Q7" s="234">
        <v>74757621</v>
      </c>
      <c r="R7" s="234">
        <v>74757621</v>
      </c>
      <c r="S7" s="234">
        <v>74757621</v>
      </c>
      <c r="T7" s="234">
        <v>74757621</v>
      </c>
      <c r="U7" s="234">
        <v>74757621</v>
      </c>
      <c r="V7" s="234">
        <v>74757621</v>
      </c>
      <c r="W7" s="234">
        <v>74757621</v>
      </c>
      <c r="X7" s="234">
        <v>74757621</v>
      </c>
      <c r="Y7" s="234">
        <v>74757621</v>
      </c>
      <c r="Z7" s="234">
        <v>74757621</v>
      </c>
      <c r="AA7" s="234">
        <v>74757621</v>
      </c>
      <c r="AB7" s="234">
        <v>74757621</v>
      </c>
      <c r="AC7" s="234">
        <v>74757621</v>
      </c>
      <c r="AD7" s="234">
        <v>74757621</v>
      </c>
      <c r="AE7" s="234">
        <v>74757621</v>
      </c>
      <c r="AF7" s="234">
        <v>74757621</v>
      </c>
      <c r="AG7" s="234">
        <v>74757621</v>
      </c>
      <c r="AH7" s="234">
        <v>74757621</v>
      </c>
      <c r="AI7" s="234">
        <v>74757621</v>
      </c>
      <c r="AJ7" s="234">
        <v>74757621</v>
      </c>
      <c r="AK7" s="234">
        <v>74757621</v>
      </c>
      <c r="AL7" s="234">
        <v>74757621</v>
      </c>
      <c r="AM7" s="234">
        <v>74757621</v>
      </c>
      <c r="AN7" s="234">
        <v>74757621</v>
      </c>
      <c r="AO7" s="234">
        <v>74757621</v>
      </c>
      <c r="AP7" s="234">
        <v>74757621</v>
      </c>
      <c r="AQ7" s="234">
        <v>74757621</v>
      </c>
      <c r="AR7" s="234">
        <v>74757621</v>
      </c>
      <c r="AS7" s="234">
        <v>74757621</v>
      </c>
      <c r="AT7" s="234">
        <v>74757621</v>
      </c>
      <c r="AU7" s="234">
        <v>74757621</v>
      </c>
      <c r="AV7" s="234">
        <v>74757621</v>
      </c>
      <c r="AW7" s="234">
        <v>74757621</v>
      </c>
      <c r="AX7" s="234">
        <v>74757621</v>
      </c>
      <c r="AY7" s="234">
        <v>74757621</v>
      </c>
      <c r="AZ7" s="234">
        <v>74757621</v>
      </c>
      <c r="BA7" s="234">
        <v>74757621</v>
      </c>
      <c r="BB7" s="234">
        <v>74757621</v>
      </c>
      <c r="BC7" s="234">
        <v>74757621</v>
      </c>
      <c r="BD7" s="234">
        <v>74757621</v>
      </c>
      <c r="BE7" s="234">
        <v>74757621</v>
      </c>
      <c r="BF7" s="234">
        <v>74757621</v>
      </c>
      <c r="BG7" s="234">
        <v>74757621</v>
      </c>
      <c r="BH7" s="234">
        <v>74757621</v>
      </c>
      <c r="BI7" s="234">
        <v>74757621</v>
      </c>
      <c r="BJ7" s="234">
        <v>74757621</v>
      </c>
      <c r="BK7" s="234">
        <v>74757621</v>
      </c>
      <c r="BL7" s="234">
        <v>74757621</v>
      </c>
      <c r="BM7" s="234">
        <v>74757621</v>
      </c>
      <c r="BN7" s="234">
        <v>74757621</v>
      </c>
      <c r="BO7" s="234">
        <v>74757621</v>
      </c>
    </row>
    <row r="8" spans="1:67">
      <c r="A8" s="223">
        <f>A7+1</f>
        <v>2</v>
      </c>
      <c r="B8" s="151" t="s">
        <v>9</v>
      </c>
      <c r="C8" s="223">
        <v>6</v>
      </c>
      <c r="D8" s="224">
        <v>74757621</v>
      </c>
      <c r="E8" s="224">
        <v>74757621</v>
      </c>
      <c r="F8" s="224">
        <v>74757621</v>
      </c>
      <c r="G8" s="224">
        <v>74757621</v>
      </c>
      <c r="H8" s="224">
        <v>74757621</v>
      </c>
      <c r="I8" s="224">
        <v>74757621</v>
      </c>
      <c r="J8" s="224">
        <v>74757621</v>
      </c>
      <c r="K8" s="224">
        <v>74757621</v>
      </c>
      <c r="L8" s="224">
        <v>74757621</v>
      </c>
      <c r="M8" s="224">
        <v>74757621</v>
      </c>
      <c r="N8" s="224">
        <v>74757621</v>
      </c>
      <c r="O8" s="224">
        <v>74757621</v>
      </c>
      <c r="P8" s="224">
        <v>74757621</v>
      </c>
      <c r="Q8" s="224">
        <v>74757621</v>
      </c>
      <c r="R8" s="224">
        <v>74757621</v>
      </c>
      <c r="S8" s="224">
        <v>74757621</v>
      </c>
      <c r="T8" s="224">
        <v>74757621</v>
      </c>
      <c r="U8" s="224">
        <v>74757621</v>
      </c>
      <c r="V8" s="224">
        <v>74757621</v>
      </c>
      <c r="W8" s="224">
        <v>74757621</v>
      </c>
      <c r="X8" s="224">
        <v>74757621</v>
      </c>
      <c r="Y8" s="224">
        <v>74757621</v>
      </c>
      <c r="Z8" s="224">
        <v>74757621</v>
      </c>
      <c r="AA8" s="224">
        <v>74757621</v>
      </c>
      <c r="AB8" s="224">
        <v>74757621</v>
      </c>
      <c r="AC8" s="224">
        <v>74757621</v>
      </c>
      <c r="AD8" s="224">
        <v>74757621</v>
      </c>
      <c r="AE8" s="224">
        <v>74757621</v>
      </c>
      <c r="AF8" s="224">
        <v>74757621</v>
      </c>
      <c r="AG8" s="224">
        <v>74757621</v>
      </c>
      <c r="AH8" s="224">
        <v>74757621</v>
      </c>
      <c r="AI8" s="224">
        <v>74757621</v>
      </c>
      <c r="AJ8" s="224">
        <v>74757621</v>
      </c>
      <c r="AK8" s="224">
        <v>74757621</v>
      </c>
      <c r="AL8" s="224">
        <v>74757621</v>
      </c>
      <c r="AM8" s="224">
        <v>74757621</v>
      </c>
      <c r="AN8" s="224">
        <v>74757621</v>
      </c>
      <c r="AO8" s="224">
        <v>74757621</v>
      </c>
      <c r="AP8" s="224">
        <v>74757621</v>
      </c>
      <c r="AQ8" s="224">
        <v>74757621</v>
      </c>
      <c r="AR8" s="224">
        <v>74757621</v>
      </c>
      <c r="AS8" s="224">
        <v>74757621</v>
      </c>
      <c r="AT8" s="224">
        <v>74757621</v>
      </c>
      <c r="AU8" s="224">
        <v>74757621</v>
      </c>
      <c r="AV8" s="224">
        <v>74757621</v>
      </c>
      <c r="AW8" s="224">
        <v>74757621</v>
      </c>
      <c r="AX8" s="224">
        <v>74757621</v>
      </c>
      <c r="AY8" s="224">
        <v>74757621</v>
      </c>
      <c r="AZ8" s="224">
        <v>74757621</v>
      </c>
      <c r="BA8" s="224">
        <v>74757621</v>
      </c>
      <c r="BB8" s="224">
        <v>74757621</v>
      </c>
      <c r="BC8" s="224">
        <v>74757621</v>
      </c>
      <c r="BD8" s="224">
        <v>74757621</v>
      </c>
      <c r="BE8" s="224">
        <v>74757621</v>
      </c>
      <c r="BF8" s="224">
        <v>74757621</v>
      </c>
      <c r="BG8" s="224">
        <v>74757621</v>
      </c>
      <c r="BH8" s="224">
        <v>74757621</v>
      </c>
      <c r="BI8" s="224">
        <v>74757621</v>
      </c>
      <c r="BJ8" s="224">
        <v>74757621</v>
      </c>
      <c r="BK8" s="224">
        <v>74757621</v>
      </c>
      <c r="BL8" s="224">
        <v>74757621</v>
      </c>
      <c r="BM8" s="224">
        <v>74757621</v>
      </c>
      <c r="BN8" s="224">
        <v>74757621</v>
      </c>
      <c r="BO8" s="224">
        <v>74757621</v>
      </c>
    </row>
    <row r="9" spans="1:67">
      <c r="A9" s="223">
        <f t="shared" ref="A9:A18" si="1">A8+1</f>
        <v>3</v>
      </c>
      <c r="B9" s="151" t="s">
        <v>10</v>
      </c>
      <c r="C9" s="223">
        <v>7</v>
      </c>
      <c r="D9" s="234">
        <v>64217539</v>
      </c>
      <c r="E9" s="234">
        <v>64217539</v>
      </c>
      <c r="F9" s="234">
        <v>64217539</v>
      </c>
      <c r="G9" s="234">
        <v>64217539</v>
      </c>
      <c r="H9" s="234">
        <v>64217539</v>
      </c>
      <c r="I9" s="234">
        <v>64217539</v>
      </c>
      <c r="J9" s="234">
        <v>64217539</v>
      </c>
      <c r="K9" s="234">
        <v>64217539</v>
      </c>
      <c r="L9" s="234">
        <v>64217539</v>
      </c>
      <c r="M9" s="234">
        <v>64217539</v>
      </c>
      <c r="N9" s="234">
        <v>64217539</v>
      </c>
      <c r="O9" s="234">
        <v>64217539</v>
      </c>
      <c r="P9" s="234">
        <v>64217539</v>
      </c>
      <c r="Q9" s="234">
        <v>64217539</v>
      </c>
      <c r="R9" s="234">
        <v>64217539</v>
      </c>
      <c r="S9" s="234">
        <v>64217539</v>
      </c>
      <c r="T9" s="234">
        <v>64217539</v>
      </c>
      <c r="U9" s="234">
        <v>64217539</v>
      </c>
      <c r="V9" s="234">
        <v>64217539</v>
      </c>
      <c r="W9" s="234">
        <v>64217539</v>
      </c>
      <c r="X9" s="234">
        <v>64217539</v>
      </c>
      <c r="Y9" s="234">
        <v>64217539</v>
      </c>
      <c r="Z9" s="234">
        <v>64217539</v>
      </c>
      <c r="AA9" s="234">
        <v>64217539</v>
      </c>
      <c r="AB9" s="234">
        <v>64217539</v>
      </c>
      <c r="AC9" s="234">
        <v>64217539</v>
      </c>
      <c r="AD9" s="234">
        <v>64217539</v>
      </c>
      <c r="AE9" s="234">
        <v>64217539</v>
      </c>
      <c r="AF9" s="234">
        <v>64217539</v>
      </c>
      <c r="AG9" s="234">
        <v>64217539</v>
      </c>
      <c r="AH9" s="234">
        <v>64217539</v>
      </c>
      <c r="AI9" s="234">
        <v>64217539</v>
      </c>
      <c r="AJ9" s="234">
        <v>64217539</v>
      </c>
      <c r="AK9" s="234">
        <v>64217539</v>
      </c>
      <c r="AL9" s="234">
        <v>64217539</v>
      </c>
      <c r="AM9" s="234">
        <v>64217539</v>
      </c>
      <c r="AN9" s="234">
        <v>64217539</v>
      </c>
      <c r="AO9" s="234">
        <v>64217539</v>
      </c>
      <c r="AP9" s="234">
        <v>64217539</v>
      </c>
      <c r="AQ9" s="234">
        <v>64217539</v>
      </c>
      <c r="AR9" s="234">
        <v>64217539</v>
      </c>
      <c r="AS9" s="234">
        <v>64217539</v>
      </c>
      <c r="AT9" s="234">
        <v>64217539</v>
      </c>
      <c r="AU9" s="234">
        <v>64217539</v>
      </c>
      <c r="AV9" s="234">
        <v>64217539</v>
      </c>
      <c r="AW9" s="234">
        <v>64217539</v>
      </c>
      <c r="AX9" s="234">
        <v>64217539</v>
      </c>
      <c r="AY9" s="234">
        <v>64217539</v>
      </c>
      <c r="AZ9" s="234">
        <v>64217539</v>
      </c>
      <c r="BA9" s="234">
        <v>64217539</v>
      </c>
      <c r="BB9" s="234">
        <v>64217539</v>
      </c>
      <c r="BC9" s="234">
        <v>64217539</v>
      </c>
      <c r="BD9" s="234">
        <v>64217539</v>
      </c>
      <c r="BE9" s="234">
        <v>64217539</v>
      </c>
      <c r="BF9" s="234">
        <v>64217539</v>
      </c>
      <c r="BG9" s="234">
        <v>64217539</v>
      </c>
      <c r="BH9" s="234">
        <v>64217539</v>
      </c>
      <c r="BI9" s="234">
        <v>64217539</v>
      </c>
      <c r="BJ9" s="234">
        <v>64217539</v>
      </c>
      <c r="BK9" s="234">
        <v>64217539</v>
      </c>
      <c r="BL9" s="234">
        <v>64217539</v>
      </c>
      <c r="BM9" s="234">
        <v>64217539</v>
      </c>
      <c r="BN9" s="234">
        <v>64217539</v>
      </c>
      <c r="BO9" s="234">
        <v>64217539</v>
      </c>
    </row>
    <row r="10" spans="1:67">
      <c r="A10" s="223">
        <f t="shared" si="1"/>
        <v>4</v>
      </c>
      <c r="B10" s="151" t="s">
        <v>11</v>
      </c>
      <c r="C10" s="223">
        <v>8</v>
      </c>
      <c r="D10" s="224">
        <v>64217539</v>
      </c>
      <c r="E10" s="224">
        <v>64217539</v>
      </c>
      <c r="F10" s="224">
        <v>64217539</v>
      </c>
      <c r="G10" s="224">
        <v>64217539</v>
      </c>
      <c r="H10" s="224">
        <v>64217539</v>
      </c>
      <c r="I10" s="224">
        <v>64217539</v>
      </c>
      <c r="J10" s="224">
        <v>64217539</v>
      </c>
      <c r="K10" s="224">
        <v>64217539</v>
      </c>
      <c r="L10" s="224">
        <v>64217539</v>
      </c>
      <c r="M10" s="224">
        <v>64217539</v>
      </c>
      <c r="N10" s="224">
        <v>64217539</v>
      </c>
      <c r="O10" s="224">
        <v>64217539</v>
      </c>
      <c r="P10" s="224">
        <v>64217539</v>
      </c>
      <c r="Q10" s="224">
        <v>64217539</v>
      </c>
      <c r="R10" s="224">
        <v>64217539</v>
      </c>
      <c r="S10" s="224">
        <v>64217539</v>
      </c>
      <c r="T10" s="224">
        <v>64217539</v>
      </c>
      <c r="U10" s="224">
        <v>64217539</v>
      </c>
      <c r="V10" s="224">
        <v>64217539</v>
      </c>
      <c r="W10" s="224">
        <v>64217539</v>
      </c>
      <c r="X10" s="224">
        <v>64217539</v>
      </c>
      <c r="Y10" s="224">
        <v>64217539</v>
      </c>
      <c r="Z10" s="224">
        <v>64217539</v>
      </c>
      <c r="AA10" s="224">
        <v>64217539</v>
      </c>
      <c r="AB10" s="224">
        <v>64217539</v>
      </c>
      <c r="AC10" s="224">
        <v>64217539</v>
      </c>
      <c r="AD10" s="224">
        <v>64217539</v>
      </c>
      <c r="AE10" s="224">
        <v>64217539</v>
      </c>
      <c r="AF10" s="224">
        <v>64217539</v>
      </c>
      <c r="AG10" s="224">
        <v>64217539</v>
      </c>
      <c r="AH10" s="224">
        <v>64217539</v>
      </c>
      <c r="AI10" s="224">
        <v>64217539</v>
      </c>
      <c r="AJ10" s="224">
        <v>64217539</v>
      </c>
      <c r="AK10" s="224">
        <v>64217539</v>
      </c>
      <c r="AL10" s="224">
        <v>64217539</v>
      </c>
      <c r="AM10" s="224">
        <v>64217539</v>
      </c>
      <c r="AN10" s="224">
        <v>64217539</v>
      </c>
      <c r="AO10" s="224">
        <v>64217539</v>
      </c>
      <c r="AP10" s="224">
        <v>64217539</v>
      </c>
      <c r="AQ10" s="224">
        <v>64217539</v>
      </c>
      <c r="AR10" s="224">
        <v>64217539</v>
      </c>
      <c r="AS10" s="224">
        <v>64217539</v>
      </c>
      <c r="AT10" s="224">
        <v>64217539</v>
      </c>
      <c r="AU10" s="224">
        <v>64217539</v>
      </c>
      <c r="AV10" s="224">
        <v>64217539</v>
      </c>
      <c r="AW10" s="224">
        <v>64217539</v>
      </c>
      <c r="AX10" s="224">
        <v>64217539</v>
      </c>
      <c r="AY10" s="224">
        <v>64217539</v>
      </c>
      <c r="AZ10" s="224">
        <v>64217539</v>
      </c>
      <c r="BA10" s="224">
        <v>64217539</v>
      </c>
      <c r="BB10" s="224">
        <v>64217539</v>
      </c>
      <c r="BC10" s="224">
        <v>64217539</v>
      </c>
      <c r="BD10" s="224">
        <v>64217539</v>
      </c>
      <c r="BE10" s="224">
        <v>64217539</v>
      </c>
      <c r="BF10" s="224">
        <v>64217539</v>
      </c>
      <c r="BG10" s="224">
        <v>64217539</v>
      </c>
      <c r="BH10" s="224">
        <v>64217539</v>
      </c>
      <c r="BI10" s="224">
        <v>64217539</v>
      </c>
      <c r="BJ10" s="224">
        <v>64217539</v>
      </c>
      <c r="BK10" s="224">
        <v>64217539</v>
      </c>
      <c r="BL10" s="224">
        <v>64217539</v>
      </c>
      <c r="BM10" s="224">
        <v>64217539</v>
      </c>
      <c r="BN10" s="224">
        <v>64217539</v>
      </c>
      <c r="BO10" s="224">
        <v>64217539</v>
      </c>
    </row>
    <row r="11" spans="1:67">
      <c r="A11" s="223">
        <f t="shared" si="1"/>
        <v>5</v>
      </c>
      <c r="B11" s="151" t="s">
        <v>12</v>
      </c>
      <c r="C11" s="223">
        <v>9</v>
      </c>
      <c r="D11" s="234">
        <f>+D7</f>
        <v>74757621</v>
      </c>
      <c r="E11" s="234">
        <f t="shared" ref="E11:BO11" si="2">+E7</f>
        <v>74757621</v>
      </c>
      <c r="F11" s="234">
        <f t="shared" si="2"/>
        <v>74757621</v>
      </c>
      <c r="G11" s="234">
        <f t="shared" si="2"/>
        <v>74757621</v>
      </c>
      <c r="H11" s="234">
        <f t="shared" si="2"/>
        <v>74757621</v>
      </c>
      <c r="I11" s="234">
        <f t="shared" si="2"/>
        <v>74757621</v>
      </c>
      <c r="J11" s="234">
        <f t="shared" si="2"/>
        <v>74757621</v>
      </c>
      <c r="K11" s="234">
        <f t="shared" si="2"/>
        <v>74757621</v>
      </c>
      <c r="L11" s="234">
        <f t="shared" si="2"/>
        <v>74757621</v>
      </c>
      <c r="M11" s="234">
        <f t="shared" si="2"/>
        <v>74757621</v>
      </c>
      <c r="N11" s="234">
        <f t="shared" si="2"/>
        <v>74757621</v>
      </c>
      <c r="O11" s="234">
        <f t="shared" si="2"/>
        <v>74757621</v>
      </c>
      <c r="P11" s="234">
        <f t="shared" si="2"/>
        <v>74757621</v>
      </c>
      <c r="Q11" s="234">
        <f t="shared" si="2"/>
        <v>74757621</v>
      </c>
      <c r="R11" s="234">
        <f t="shared" si="2"/>
        <v>74757621</v>
      </c>
      <c r="S11" s="234">
        <f t="shared" si="2"/>
        <v>74757621</v>
      </c>
      <c r="T11" s="234">
        <f t="shared" si="2"/>
        <v>74757621</v>
      </c>
      <c r="U11" s="234">
        <f t="shared" si="2"/>
        <v>74757621</v>
      </c>
      <c r="V11" s="234">
        <f t="shared" si="2"/>
        <v>74757621</v>
      </c>
      <c r="W11" s="234">
        <f t="shared" si="2"/>
        <v>74757621</v>
      </c>
      <c r="X11" s="234">
        <f t="shared" si="2"/>
        <v>74757621</v>
      </c>
      <c r="Y11" s="234">
        <f t="shared" si="2"/>
        <v>74757621</v>
      </c>
      <c r="Z11" s="234">
        <f t="shared" si="2"/>
        <v>74757621</v>
      </c>
      <c r="AA11" s="234">
        <f t="shared" si="2"/>
        <v>74757621</v>
      </c>
      <c r="AB11" s="234">
        <f t="shared" si="2"/>
        <v>74757621</v>
      </c>
      <c r="AC11" s="234">
        <f t="shared" si="2"/>
        <v>74757621</v>
      </c>
      <c r="AD11" s="234">
        <f t="shared" si="2"/>
        <v>74757621</v>
      </c>
      <c r="AE11" s="234">
        <f t="shared" si="2"/>
        <v>74757621</v>
      </c>
      <c r="AF11" s="234">
        <f t="shared" si="2"/>
        <v>74757621</v>
      </c>
      <c r="AG11" s="234">
        <f t="shared" si="2"/>
        <v>74757621</v>
      </c>
      <c r="AH11" s="234">
        <f t="shared" si="2"/>
        <v>74757621</v>
      </c>
      <c r="AI11" s="234">
        <f t="shared" si="2"/>
        <v>74757621</v>
      </c>
      <c r="AJ11" s="234">
        <f t="shared" si="2"/>
        <v>74757621</v>
      </c>
      <c r="AK11" s="234">
        <f t="shared" si="2"/>
        <v>74757621</v>
      </c>
      <c r="AL11" s="234">
        <f t="shared" si="2"/>
        <v>74757621</v>
      </c>
      <c r="AM11" s="234">
        <f t="shared" si="2"/>
        <v>74757621</v>
      </c>
      <c r="AN11" s="234">
        <f t="shared" si="2"/>
        <v>74757621</v>
      </c>
      <c r="AO11" s="234">
        <f t="shared" si="2"/>
        <v>74757621</v>
      </c>
      <c r="AP11" s="234">
        <f t="shared" si="2"/>
        <v>74757621</v>
      </c>
      <c r="AQ11" s="234">
        <f t="shared" si="2"/>
        <v>74757621</v>
      </c>
      <c r="AR11" s="234">
        <f t="shared" si="2"/>
        <v>74757621</v>
      </c>
      <c r="AS11" s="234">
        <f t="shared" si="2"/>
        <v>74757621</v>
      </c>
      <c r="AT11" s="234">
        <f t="shared" si="2"/>
        <v>74757621</v>
      </c>
      <c r="AU11" s="234">
        <f t="shared" si="2"/>
        <v>74757621</v>
      </c>
      <c r="AV11" s="234">
        <f t="shared" si="2"/>
        <v>74757621</v>
      </c>
      <c r="AW11" s="234">
        <f t="shared" si="2"/>
        <v>74757621</v>
      </c>
      <c r="AX11" s="234">
        <f t="shared" si="2"/>
        <v>74757621</v>
      </c>
      <c r="AY11" s="234">
        <f t="shared" si="2"/>
        <v>74757621</v>
      </c>
      <c r="AZ11" s="234">
        <f t="shared" si="2"/>
        <v>74757621</v>
      </c>
      <c r="BA11" s="234">
        <f t="shared" si="2"/>
        <v>74757621</v>
      </c>
      <c r="BB11" s="234">
        <f t="shared" si="2"/>
        <v>74757621</v>
      </c>
      <c r="BC11" s="234">
        <f t="shared" si="2"/>
        <v>74757621</v>
      </c>
      <c r="BD11" s="234">
        <f t="shared" si="2"/>
        <v>74757621</v>
      </c>
      <c r="BE11" s="234">
        <f t="shared" si="2"/>
        <v>74757621</v>
      </c>
      <c r="BF11" s="234">
        <f t="shared" si="2"/>
        <v>74757621</v>
      </c>
      <c r="BG11" s="234">
        <f t="shared" si="2"/>
        <v>74757621</v>
      </c>
      <c r="BH11" s="234">
        <f t="shared" si="2"/>
        <v>74757621</v>
      </c>
      <c r="BI11" s="234">
        <f t="shared" si="2"/>
        <v>74757621</v>
      </c>
      <c r="BJ11" s="234">
        <f t="shared" si="2"/>
        <v>74757621</v>
      </c>
      <c r="BK11" s="234">
        <f t="shared" si="2"/>
        <v>74757621</v>
      </c>
      <c r="BL11" s="234">
        <f t="shared" si="2"/>
        <v>74757621</v>
      </c>
      <c r="BM11" s="234">
        <f t="shared" si="2"/>
        <v>74757621</v>
      </c>
      <c r="BN11" s="234">
        <f t="shared" si="2"/>
        <v>74757621</v>
      </c>
      <c r="BO11" s="234">
        <f t="shared" si="2"/>
        <v>74757621</v>
      </c>
    </row>
    <row r="12" spans="1:67">
      <c r="A12" s="223">
        <f t="shared" si="1"/>
        <v>6</v>
      </c>
      <c r="B12" s="151" t="s">
        <v>1554</v>
      </c>
      <c r="C12" s="223">
        <v>10</v>
      </c>
      <c r="D12" s="234">
        <v>73183921</v>
      </c>
      <c r="E12" s="234">
        <v>73183921</v>
      </c>
      <c r="F12" s="234">
        <v>73183921</v>
      </c>
      <c r="G12" s="234">
        <v>73183921</v>
      </c>
      <c r="H12" s="234">
        <v>73183921</v>
      </c>
      <c r="I12" s="234">
        <v>73183921</v>
      </c>
      <c r="J12" s="234">
        <v>73183921</v>
      </c>
      <c r="K12" s="234">
        <v>73183921</v>
      </c>
      <c r="L12" s="234">
        <v>73183921</v>
      </c>
      <c r="M12" s="234">
        <v>73183921</v>
      </c>
      <c r="N12" s="234">
        <v>73183921</v>
      </c>
      <c r="O12" s="234">
        <v>73183921</v>
      </c>
      <c r="P12" s="234">
        <v>73183921</v>
      </c>
      <c r="Q12" s="234">
        <v>73183921</v>
      </c>
      <c r="R12" s="234">
        <v>73183921</v>
      </c>
      <c r="S12" s="234">
        <v>73183921</v>
      </c>
      <c r="T12" s="234">
        <v>73183921</v>
      </c>
      <c r="U12" s="234">
        <v>73183921</v>
      </c>
      <c r="V12" s="234">
        <v>73183921</v>
      </c>
      <c r="W12" s="234">
        <v>73183921</v>
      </c>
      <c r="X12" s="234">
        <v>73183921</v>
      </c>
      <c r="Y12" s="234">
        <v>73183921</v>
      </c>
      <c r="Z12" s="234">
        <v>73183921</v>
      </c>
      <c r="AA12" s="234">
        <v>73183921</v>
      </c>
      <c r="AB12" s="234">
        <v>73183921</v>
      </c>
      <c r="AC12" s="234">
        <v>73183921</v>
      </c>
      <c r="AD12" s="234">
        <v>73183921</v>
      </c>
      <c r="AE12" s="234">
        <v>73183921</v>
      </c>
      <c r="AF12" s="234">
        <v>73183921</v>
      </c>
      <c r="AG12" s="234">
        <v>73183921</v>
      </c>
      <c r="AH12" s="234">
        <v>73183921</v>
      </c>
      <c r="AI12" s="234">
        <v>73183921</v>
      </c>
      <c r="AJ12" s="234">
        <v>73183921</v>
      </c>
      <c r="AK12" s="234">
        <v>73183921</v>
      </c>
      <c r="AL12" s="234">
        <v>73183921</v>
      </c>
      <c r="AM12" s="234">
        <v>73183921</v>
      </c>
      <c r="AN12" s="234">
        <v>73183921</v>
      </c>
      <c r="AO12" s="234">
        <v>73183921</v>
      </c>
      <c r="AP12" s="234">
        <v>73183921</v>
      </c>
      <c r="AQ12" s="234">
        <v>73183921</v>
      </c>
      <c r="AR12" s="234">
        <v>73183921</v>
      </c>
      <c r="AS12" s="234">
        <v>73183921</v>
      </c>
      <c r="AT12" s="234">
        <v>73183921</v>
      </c>
      <c r="AU12" s="234">
        <v>73183921</v>
      </c>
      <c r="AV12" s="234">
        <v>73183921</v>
      </c>
      <c r="AW12" s="234">
        <v>73183921</v>
      </c>
      <c r="AX12" s="234">
        <v>73183921</v>
      </c>
      <c r="AY12" s="234">
        <v>73183921</v>
      </c>
      <c r="AZ12" s="234">
        <v>73183921</v>
      </c>
      <c r="BA12" s="234">
        <v>73183921</v>
      </c>
      <c r="BB12" s="234">
        <v>73183921</v>
      </c>
      <c r="BC12" s="234">
        <v>73183921</v>
      </c>
      <c r="BD12" s="234">
        <v>73183921</v>
      </c>
      <c r="BE12" s="234">
        <v>73183921</v>
      </c>
      <c r="BF12" s="234">
        <v>73183921</v>
      </c>
      <c r="BG12" s="234">
        <v>73183921</v>
      </c>
      <c r="BH12" s="234">
        <v>73183921</v>
      </c>
      <c r="BI12" s="234">
        <v>73183921</v>
      </c>
      <c r="BJ12" s="234">
        <v>73183921</v>
      </c>
      <c r="BK12" s="234">
        <v>73183921</v>
      </c>
      <c r="BL12" s="234">
        <v>73183921</v>
      </c>
      <c r="BM12" s="234">
        <v>73183921</v>
      </c>
      <c r="BN12" s="234">
        <v>73183921</v>
      </c>
      <c r="BO12" s="234">
        <v>73183921</v>
      </c>
    </row>
    <row r="13" spans="1:67">
      <c r="A13" s="223">
        <f t="shared" si="1"/>
        <v>7</v>
      </c>
      <c r="B13" s="151" t="s">
        <v>1555</v>
      </c>
      <c r="C13" s="223">
        <v>11</v>
      </c>
      <c r="D13" s="234">
        <v>81985268</v>
      </c>
      <c r="E13" s="234">
        <v>81985268</v>
      </c>
      <c r="F13" s="234">
        <v>81985268</v>
      </c>
      <c r="G13" s="234">
        <v>81985268</v>
      </c>
      <c r="H13" s="234">
        <v>81985268</v>
      </c>
      <c r="I13" s="234">
        <v>81985268</v>
      </c>
      <c r="J13" s="234">
        <v>81985268</v>
      </c>
      <c r="K13" s="234">
        <v>81985268</v>
      </c>
      <c r="L13" s="234">
        <v>81985268</v>
      </c>
      <c r="M13" s="234">
        <v>81985268</v>
      </c>
      <c r="N13" s="234">
        <v>81985268</v>
      </c>
      <c r="O13" s="234">
        <v>81985268</v>
      </c>
      <c r="P13" s="234">
        <v>81985268</v>
      </c>
      <c r="Q13" s="234">
        <v>81985268</v>
      </c>
      <c r="R13" s="234">
        <v>81985268</v>
      </c>
      <c r="S13" s="234">
        <v>81985268</v>
      </c>
      <c r="T13" s="234">
        <v>81985268</v>
      </c>
      <c r="U13" s="234">
        <v>81985268</v>
      </c>
      <c r="V13" s="234">
        <v>81985268</v>
      </c>
      <c r="W13" s="234">
        <v>81985268</v>
      </c>
      <c r="X13" s="234">
        <v>81985268</v>
      </c>
      <c r="Y13" s="234">
        <v>81985268</v>
      </c>
      <c r="Z13" s="234">
        <v>81985268</v>
      </c>
      <c r="AA13" s="234">
        <v>81985268</v>
      </c>
      <c r="AB13" s="234">
        <v>81985268</v>
      </c>
      <c r="AC13" s="234">
        <v>81985268</v>
      </c>
      <c r="AD13" s="234">
        <v>81985268</v>
      </c>
      <c r="AE13" s="234">
        <v>81985268</v>
      </c>
      <c r="AF13" s="234">
        <v>81985268</v>
      </c>
      <c r="AG13" s="234">
        <v>81985268</v>
      </c>
      <c r="AH13" s="234">
        <v>81985268</v>
      </c>
      <c r="AI13" s="234">
        <v>81985268</v>
      </c>
      <c r="AJ13" s="234">
        <v>81985268</v>
      </c>
      <c r="AK13" s="234">
        <v>81985268</v>
      </c>
      <c r="AL13" s="234">
        <v>81985268</v>
      </c>
      <c r="AM13" s="234">
        <v>81985268</v>
      </c>
      <c r="AN13" s="234">
        <v>81985268</v>
      </c>
      <c r="AO13" s="234">
        <v>81985268</v>
      </c>
      <c r="AP13" s="234">
        <v>81985268</v>
      </c>
      <c r="AQ13" s="234">
        <v>81985268</v>
      </c>
      <c r="AR13" s="234">
        <v>81985268</v>
      </c>
      <c r="AS13" s="234">
        <v>81985268</v>
      </c>
      <c r="AT13" s="234">
        <v>81985268</v>
      </c>
      <c r="AU13" s="234">
        <v>81985268</v>
      </c>
      <c r="AV13" s="234">
        <v>81985268</v>
      </c>
      <c r="AW13" s="234">
        <v>81985268</v>
      </c>
      <c r="AX13" s="234">
        <v>81985268</v>
      </c>
      <c r="AY13" s="234">
        <v>81985268</v>
      </c>
      <c r="AZ13" s="234">
        <v>81985268</v>
      </c>
      <c r="BA13" s="234">
        <v>81985268</v>
      </c>
      <c r="BB13" s="234">
        <v>81985268</v>
      </c>
      <c r="BC13" s="234">
        <v>81985268</v>
      </c>
      <c r="BD13" s="234">
        <v>81985268</v>
      </c>
      <c r="BE13" s="234">
        <v>81985268</v>
      </c>
      <c r="BF13" s="234">
        <v>81985268</v>
      </c>
      <c r="BG13" s="234">
        <v>81985268</v>
      </c>
      <c r="BH13" s="234">
        <v>81985268</v>
      </c>
      <c r="BI13" s="234">
        <v>81985268</v>
      </c>
      <c r="BJ13" s="234">
        <v>81985268</v>
      </c>
      <c r="BK13" s="234">
        <v>81985268</v>
      </c>
      <c r="BL13" s="234">
        <v>81985268</v>
      </c>
      <c r="BM13" s="234">
        <v>81985268</v>
      </c>
      <c r="BN13" s="234">
        <v>81985268</v>
      </c>
      <c r="BO13" s="234">
        <v>81985268</v>
      </c>
    </row>
    <row r="14" spans="1:67">
      <c r="A14" s="223">
        <f t="shared" si="1"/>
        <v>8</v>
      </c>
      <c r="B14" s="151" t="s">
        <v>1556</v>
      </c>
      <c r="C14" s="223">
        <v>12</v>
      </c>
      <c r="D14" s="234">
        <v>98304707</v>
      </c>
      <c r="E14" s="234">
        <v>98304707</v>
      </c>
      <c r="F14" s="234">
        <v>98304707</v>
      </c>
      <c r="G14" s="234">
        <v>98304707</v>
      </c>
      <c r="H14" s="234">
        <v>98304707</v>
      </c>
      <c r="I14" s="234">
        <v>98304707</v>
      </c>
      <c r="J14" s="234">
        <v>98304707</v>
      </c>
      <c r="K14" s="234">
        <v>98304707</v>
      </c>
      <c r="L14" s="234">
        <v>98304707</v>
      </c>
      <c r="M14" s="234">
        <v>98304707</v>
      </c>
      <c r="N14" s="234">
        <v>98304707</v>
      </c>
      <c r="O14" s="234">
        <v>98304707</v>
      </c>
      <c r="P14" s="234">
        <v>98304707</v>
      </c>
      <c r="Q14" s="234">
        <v>98304707</v>
      </c>
      <c r="R14" s="234">
        <v>98304707</v>
      </c>
      <c r="S14" s="234">
        <v>98304707</v>
      </c>
      <c r="T14" s="234">
        <v>98304707</v>
      </c>
      <c r="U14" s="234">
        <v>98304707</v>
      </c>
      <c r="V14" s="234">
        <v>98304707</v>
      </c>
      <c r="W14" s="234">
        <v>98304707</v>
      </c>
      <c r="X14" s="234">
        <v>98304707</v>
      </c>
      <c r="Y14" s="234">
        <v>98304707</v>
      </c>
      <c r="Z14" s="234">
        <v>98304707</v>
      </c>
      <c r="AA14" s="234">
        <v>98304707</v>
      </c>
      <c r="AB14" s="234">
        <v>98304707</v>
      </c>
      <c r="AC14" s="234">
        <v>98304707</v>
      </c>
      <c r="AD14" s="234">
        <v>98304707</v>
      </c>
      <c r="AE14" s="234">
        <v>98304707</v>
      </c>
      <c r="AF14" s="234">
        <v>98304707</v>
      </c>
      <c r="AG14" s="234">
        <v>98304707</v>
      </c>
      <c r="AH14" s="234">
        <v>98304707</v>
      </c>
      <c r="AI14" s="234">
        <v>98304707</v>
      </c>
      <c r="AJ14" s="234">
        <v>98304707</v>
      </c>
      <c r="AK14" s="234">
        <v>98304707</v>
      </c>
      <c r="AL14" s="234">
        <v>98304707</v>
      </c>
      <c r="AM14" s="234">
        <v>98304707</v>
      </c>
      <c r="AN14" s="234">
        <v>98304707</v>
      </c>
      <c r="AO14" s="234">
        <v>98304707</v>
      </c>
      <c r="AP14" s="234">
        <v>98304707</v>
      </c>
      <c r="AQ14" s="234">
        <v>98304707</v>
      </c>
      <c r="AR14" s="234">
        <v>98304707</v>
      </c>
      <c r="AS14" s="234">
        <v>98304707</v>
      </c>
      <c r="AT14" s="234">
        <v>98304707</v>
      </c>
      <c r="AU14" s="234">
        <v>98304707</v>
      </c>
      <c r="AV14" s="234">
        <v>98304707</v>
      </c>
      <c r="AW14" s="234">
        <v>98304707</v>
      </c>
      <c r="AX14" s="234">
        <v>98304707</v>
      </c>
      <c r="AY14" s="234">
        <v>98304707</v>
      </c>
      <c r="AZ14" s="234">
        <v>98304707</v>
      </c>
      <c r="BA14" s="234">
        <v>98304707</v>
      </c>
      <c r="BB14" s="234">
        <v>98304707</v>
      </c>
      <c r="BC14" s="234">
        <v>98304707</v>
      </c>
      <c r="BD14" s="234">
        <v>98304707</v>
      </c>
      <c r="BE14" s="234">
        <v>98304707</v>
      </c>
      <c r="BF14" s="234">
        <v>98304707</v>
      </c>
      <c r="BG14" s="234">
        <v>98304707</v>
      </c>
      <c r="BH14" s="234">
        <v>98304707</v>
      </c>
      <c r="BI14" s="234">
        <v>98304707</v>
      </c>
      <c r="BJ14" s="234">
        <v>98304707</v>
      </c>
      <c r="BK14" s="234">
        <v>98304707</v>
      </c>
      <c r="BL14" s="234">
        <v>98304707</v>
      </c>
      <c r="BM14" s="234">
        <v>98304707</v>
      </c>
      <c r="BN14" s="234">
        <v>98304707</v>
      </c>
      <c r="BO14" s="234">
        <v>98304707</v>
      </c>
    </row>
    <row r="15" spans="1:67">
      <c r="A15" s="223">
        <f>A13+1</f>
        <v>8</v>
      </c>
      <c r="B15" s="151" t="s">
        <v>1553</v>
      </c>
      <c r="C15" s="223">
        <v>13</v>
      </c>
      <c r="D15" s="234">
        <v>73183921</v>
      </c>
      <c r="E15" s="234">
        <v>73183921</v>
      </c>
      <c r="F15" s="234">
        <v>73183921</v>
      </c>
      <c r="G15" s="234">
        <v>73183921</v>
      </c>
      <c r="H15" s="234">
        <v>73183921</v>
      </c>
      <c r="I15" s="234">
        <v>73183921</v>
      </c>
      <c r="J15" s="234">
        <v>73183921</v>
      </c>
      <c r="K15" s="234">
        <v>73183921</v>
      </c>
      <c r="L15" s="234">
        <v>73183921</v>
      </c>
      <c r="M15" s="234">
        <v>73183921</v>
      </c>
      <c r="N15" s="234">
        <v>73183921</v>
      </c>
      <c r="O15" s="234">
        <v>73183921</v>
      </c>
      <c r="P15" s="234">
        <v>73183921</v>
      </c>
      <c r="Q15" s="234">
        <v>73183921</v>
      </c>
      <c r="R15" s="234">
        <v>73183921</v>
      </c>
      <c r="S15" s="234">
        <v>73183921</v>
      </c>
      <c r="T15" s="234">
        <v>73183921</v>
      </c>
      <c r="U15" s="234">
        <v>73183921</v>
      </c>
      <c r="V15" s="234">
        <v>73183921</v>
      </c>
      <c r="W15" s="234">
        <v>73183921</v>
      </c>
      <c r="X15" s="234">
        <v>73183921</v>
      </c>
      <c r="Y15" s="234">
        <v>73183921</v>
      </c>
      <c r="Z15" s="234">
        <v>73183921</v>
      </c>
      <c r="AA15" s="234">
        <v>73183921</v>
      </c>
      <c r="AB15" s="234">
        <v>73183921</v>
      </c>
      <c r="AC15" s="234">
        <v>73183921</v>
      </c>
      <c r="AD15" s="234">
        <v>73183921</v>
      </c>
      <c r="AE15" s="234">
        <v>73183921</v>
      </c>
      <c r="AF15" s="234">
        <v>73183921</v>
      </c>
      <c r="AG15" s="234">
        <v>73183921</v>
      </c>
      <c r="AH15" s="234">
        <v>73183921</v>
      </c>
      <c r="AI15" s="234">
        <v>73183921</v>
      </c>
      <c r="AJ15" s="234">
        <v>73183921</v>
      </c>
      <c r="AK15" s="234">
        <v>73183921</v>
      </c>
      <c r="AL15" s="234">
        <v>73183921</v>
      </c>
      <c r="AM15" s="234">
        <v>73183921</v>
      </c>
      <c r="AN15" s="234">
        <v>73183921</v>
      </c>
      <c r="AO15" s="234">
        <v>73183921</v>
      </c>
      <c r="AP15" s="234">
        <v>73183921</v>
      </c>
      <c r="AQ15" s="234">
        <v>73183921</v>
      </c>
      <c r="AR15" s="234">
        <v>73183921</v>
      </c>
      <c r="AS15" s="234">
        <v>73183921</v>
      </c>
      <c r="AT15" s="234">
        <v>73183921</v>
      </c>
      <c r="AU15" s="234">
        <v>73183921</v>
      </c>
      <c r="AV15" s="234">
        <v>73183921</v>
      </c>
      <c r="AW15" s="234">
        <v>73183921</v>
      </c>
      <c r="AX15" s="234">
        <v>73183921</v>
      </c>
      <c r="AY15" s="234">
        <v>73183921</v>
      </c>
      <c r="AZ15" s="234">
        <v>73183921</v>
      </c>
      <c r="BA15" s="234">
        <v>73183921</v>
      </c>
      <c r="BB15" s="234">
        <v>73183921</v>
      </c>
      <c r="BC15" s="234">
        <v>73183921</v>
      </c>
      <c r="BD15" s="234">
        <v>73183921</v>
      </c>
      <c r="BE15" s="234">
        <v>73183921</v>
      </c>
      <c r="BF15" s="234">
        <v>73183921</v>
      </c>
      <c r="BG15" s="234">
        <v>73183921</v>
      </c>
      <c r="BH15" s="234">
        <v>73183921</v>
      </c>
      <c r="BI15" s="234">
        <v>73183921</v>
      </c>
      <c r="BJ15" s="234">
        <v>73183921</v>
      </c>
      <c r="BK15" s="234">
        <v>73183921</v>
      </c>
      <c r="BL15" s="234">
        <v>73183921</v>
      </c>
      <c r="BM15" s="234">
        <v>73183921</v>
      </c>
      <c r="BN15" s="234">
        <v>73183921</v>
      </c>
      <c r="BO15" s="234">
        <v>73183921</v>
      </c>
    </row>
    <row r="16" spans="1:67">
      <c r="A16" s="223">
        <f>A11+1</f>
        <v>6</v>
      </c>
      <c r="B16" s="151" t="s">
        <v>13</v>
      </c>
      <c r="C16" s="223">
        <v>14</v>
      </c>
      <c r="D16" s="224">
        <f>+D7</f>
        <v>74757621</v>
      </c>
      <c r="E16" s="224">
        <f t="shared" ref="E16:BO16" si="3">+E7</f>
        <v>74757621</v>
      </c>
      <c r="F16" s="224">
        <f t="shared" si="3"/>
        <v>74757621</v>
      </c>
      <c r="G16" s="224">
        <f t="shared" si="3"/>
        <v>74757621</v>
      </c>
      <c r="H16" s="224">
        <f t="shared" si="3"/>
        <v>74757621</v>
      </c>
      <c r="I16" s="224">
        <f t="shared" si="3"/>
        <v>74757621</v>
      </c>
      <c r="J16" s="224">
        <f t="shared" si="3"/>
        <v>74757621</v>
      </c>
      <c r="K16" s="224">
        <f t="shared" si="3"/>
        <v>74757621</v>
      </c>
      <c r="L16" s="224">
        <f t="shared" si="3"/>
        <v>74757621</v>
      </c>
      <c r="M16" s="224">
        <f t="shared" si="3"/>
        <v>74757621</v>
      </c>
      <c r="N16" s="224">
        <f t="shared" si="3"/>
        <v>74757621</v>
      </c>
      <c r="O16" s="224">
        <f t="shared" si="3"/>
        <v>74757621</v>
      </c>
      <c r="P16" s="224">
        <f t="shared" si="3"/>
        <v>74757621</v>
      </c>
      <c r="Q16" s="224">
        <f t="shared" si="3"/>
        <v>74757621</v>
      </c>
      <c r="R16" s="224">
        <f t="shared" si="3"/>
        <v>74757621</v>
      </c>
      <c r="S16" s="224">
        <f t="shared" si="3"/>
        <v>74757621</v>
      </c>
      <c r="T16" s="224">
        <f t="shared" si="3"/>
        <v>74757621</v>
      </c>
      <c r="U16" s="224">
        <f t="shared" si="3"/>
        <v>74757621</v>
      </c>
      <c r="V16" s="224">
        <f t="shared" si="3"/>
        <v>74757621</v>
      </c>
      <c r="W16" s="224">
        <f t="shared" si="3"/>
        <v>74757621</v>
      </c>
      <c r="X16" s="224">
        <f t="shared" si="3"/>
        <v>74757621</v>
      </c>
      <c r="Y16" s="224">
        <f t="shared" si="3"/>
        <v>74757621</v>
      </c>
      <c r="Z16" s="224">
        <f t="shared" si="3"/>
        <v>74757621</v>
      </c>
      <c r="AA16" s="224">
        <f t="shared" si="3"/>
        <v>74757621</v>
      </c>
      <c r="AB16" s="224">
        <f t="shared" si="3"/>
        <v>74757621</v>
      </c>
      <c r="AC16" s="224">
        <f t="shared" si="3"/>
        <v>74757621</v>
      </c>
      <c r="AD16" s="224">
        <f t="shared" si="3"/>
        <v>74757621</v>
      </c>
      <c r="AE16" s="224">
        <f t="shared" si="3"/>
        <v>74757621</v>
      </c>
      <c r="AF16" s="224">
        <f t="shared" si="3"/>
        <v>74757621</v>
      </c>
      <c r="AG16" s="224">
        <f t="shared" si="3"/>
        <v>74757621</v>
      </c>
      <c r="AH16" s="224">
        <f t="shared" si="3"/>
        <v>74757621</v>
      </c>
      <c r="AI16" s="224">
        <f t="shared" si="3"/>
        <v>74757621</v>
      </c>
      <c r="AJ16" s="224">
        <f t="shared" si="3"/>
        <v>74757621</v>
      </c>
      <c r="AK16" s="224">
        <f t="shared" si="3"/>
        <v>74757621</v>
      </c>
      <c r="AL16" s="224">
        <f t="shared" si="3"/>
        <v>74757621</v>
      </c>
      <c r="AM16" s="224">
        <f t="shared" si="3"/>
        <v>74757621</v>
      </c>
      <c r="AN16" s="224">
        <f t="shared" si="3"/>
        <v>74757621</v>
      </c>
      <c r="AO16" s="224">
        <f t="shared" si="3"/>
        <v>74757621</v>
      </c>
      <c r="AP16" s="224">
        <f t="shared" si="3"/>
        <v>74757621</v>
      </c>
      <c r="AQ16" s="224">
        <f t="shared" si="3"/>
        <v>74757621</v>
      </c>
      <c r="AR16" s="224">
        <f t="shared" si="3"/>
        <v>74757621</v>
      </c>
      <c r="AS16" s="224">
        <f t="shared" si="3"/>
        <v>74757621</v>
      </c>
      <c r="AT16" s="224">
        <f t="shared" si="3"/>
        <v>74757621</v>
      </c>
      <c r="AU16" s="224">
        <f t="shared" si="3"/>
        <v>74757621</v>
      </c>
      <c r="AV16" s="224">
        <f t="shared" si="3"/>
        <v>74757621</v>
      </c>
      <c r="AW16" s="224">
        <f t="shared" si="3"/>
        <v>74757621</v>
      </c>
      <c r="AX16" s="224">
        <f t="shared" si="3"/>
        <v>74757621</v>
      </c>
      <c r="AY16" s="224">
        <f t="shared" si="3"/>
        <v>74757621</v>
      </c>
      <c r="AZ16" s="224">
        <f t="shared" si="3"/>
        <v>74757621</v>
      </c>
      <c r="BA16" s="224">
        <f t="shared" si="3"/>
        <v>74757621</v>
      </c>
      <c r="BB16" s="224">
        <f t="shared" si="3"/>
        <v>74757621</v>
      </c>
      <c r="BC16" s="224">
        <f t="shared" si="3"/>
        <v>74757621</v>
      </c>
      <c r="BD16" s="224">
        <f t="shared" si="3"/>
        <v>74757621</v>
      </c>
      <c r="BE16" s="224">
        <f t="shared" si="3"/>
        <v>74757621</v>
      </c>
      <c r="BF16" s="224">
        <f t="shared" si="3"/>
        <v>74757621</v>
      </c>
      <c r="BG16" s="224">
        <f t="shared" si="3"/>
        <v>74757621</v>
      </c>
      <c r="BH16" s="224">
        <f t="shared" si="3"/>
        <v>74757621</v>
      </c>
      <c r="BI16" s="224">
        <f t="shared" si="3"/>
        <v>74757621</v>
      </c>
      <c r="BJ16" s="224">
        <f t="shared" si="3"/>
        <v>74757621</v>
      </c>
      <c r="BK16" s="224">
        <f t="shared" si="3"/>
        <v>74757621</v>
      </c>
      <c r="BL16" s="224">
        <f t="shared" si="3"/>
        <v>74757621</v>
      </c>
      <c r="BM16" s="224">
        <f t="shared" si="3"/>
        <v>74757621</v>
      </c>
      <c r="BN16" s="224">
        <f t="shared" si="3"/>
        <v>74757621</v>
      </c>
      <c r="BO16" s="224">
        <f t="shared" si="3"/>
        <v>74757621</v>
      </c>
    </row>
    <row r="17" spans="1:67">
      <c r="A17" s="223">
        <f t="shared" si="1"/>
        <v>7</v>
      </c>
      <c r="B17" s="151" t="s">
        <v>14</v>
      </c>
      <c r="C17" s="223">
        <v>15</v>
      </c>
      <c r="D17" s="224">
        <f>+D10</f>
        <v>64217539</v>
      </c>
      <c r="E17" s="224">
        <f t="shared" ref="E17:BO17" si="4">+E10</f>
        <v>64217539</v>
      </c>
      <c r="F17" s="224">
        <f t="shared" si="4"/>
        <v>64217539</v>
      </c>
      <c r="G17" s="224">
        <f t="shared" si="4"/>
        <v>64217539</v>
      </c>
      <c r="H17" s="224">
        <f t="shared" si="4"/>
        <v>64217539</v>
      </c>
      <c r="I17" s="224">
        <f t="shared" si="4"/>
        <v>64217539</v>
      </c>
      <c r="J17" s="224">
        <f t="shared" si="4"/>
        <v>64217539</v>
      </c>
      <c r="K17" s="224">
        <f t="shared" si="4"/>
        <v>64217539</v>
      </c>
      <c r="L17" s="224">
        <f t="shared" si="4"/>
        <v>64217539</v>
      </c>
      <c r="M17" s="224">
        <f t="shared" si="4"/>
        <v>64217539</v>
      </c>
      <c r="N17" s="224">
        <f t="shared" si="4"/>
        <v>64217539</v>
      </c>
      <c r="O17" s="224">
        <f t="shared" si="4"/>
        <v>64217539</v>
      </c>
      <c r="P17" s="224">
        <f t="shared" si="4"/>
        <v>64217539</v>
      </c>
      <c r="Q17" s="224">
        <f t="shared" si="4"/>
        <v>64217539</v>
      </c>
      <c r="R17" s="224">
        <f t="shared" si="4"/>
        <v>64217539</v>
      </c>
      <c r="S17" s="224">
        <f t="shared" si="4"/>
        <v>64217539</v>
      </c>
      <c r="T17" s="224">
        <f t="shared" si="4"/>
        <v>64217539</v>
      </c>
      <c r="U17" s="224">
        <f t="shared" si="4"/>
        <v>64217539</v>
      </c>
      <c r="V17" s="224">
        <f t="shared" si="4"/>
        <v>64217539</v>
      </c>
      <c r="W17" s="224">
        <f t="shared" si="4"/>
        <v>64217539</v>
      </c>
      <c r="X17" s="224">
        <f t="shared" si="4"/>
        <v>64217539</v>
      </c>
      <c r="Y17" s="224">
        <f t="shared" si="4"/>
        <v>64217539</v>
      </c>
      <c r="Z17" s="224">
        <f t="shared" si="4"/>
        <v>64217539</v>
      </c>
      <c r="AA17" s="224">
        <f t="shared" si="4"/>
        <v>64217539</v>
      </c>
      <c r="AB17" s="224">
        <f t="shared" si="4"/>
        <v>64217539</v>
      </c>
      <c r="AC17" s="224">
        <f t="shared" si="4"/>
        <v>64217539</v>
      </c>
      <c r="AD17" s="224">
        <f t="shared" si="4"/>
        <v>64217539</v>
      </c>
      <c r="AE17" s="224">
        <f t="shared" si="4"/>
        <v>64217539</v>
      </c>
      <c r="AF17" s="224">
        <f t="shared" si="4"/>
        <v>64217539</v>
      </c>
      <c r="AG17" s="224">
        <f t="shared" si="4"/>
        <v>64217539</v>
      </c>
      <c r="AH17" s="224">
        <f t="shared" si="4"/>
        <v>64217539</v>
      </c>
      <c r="AI17" s="224">
        <f t="shared" si="4"/>
        <v>64217539</v>
      </c>
      <c r="AJ17" s="224">
        <f t="shared" si="4"/>
        <v>64217539</v>
      </c>
      <c r="AK17" s="224">
        <f t="shared" si="4"/>
        <v>64217539</v>
      </c>
      <c r="AL17" s="224">
        <f t="shared" si="4"/>
        <v>64217539</v>
      </c>
      <c r="AM17" s="224">
        <f t="shared" si="4"/>
        <v>64217539</v>
      </c>
      <c r="AN17" s="224">
        <f t="shared" si="4"/>
        <v>64217539</v>
      </c>
      <c r="AO17" s="224">
        <f t="shared" si="4"/>
        <v>64217539</v>
      </c>
      <c r="AP17" s="224">
        <f t="shared" si="4"/>
        <v>64217539</v>
      </c>
      <c r="AQ17" s="224">
        <f t="shared" si="4"/>
        <v>64217539</v>
      </c>
      <c r="AR17" s="224">
        <f t="shared" si="4"/>
        <v>64217539</v>
      </c>
      <c r="AS17" s="224">
        <f t="shared" si="4"/>
        <v>64217539</v>
      </c>
      <c r="AT17" s="224">
        <f t="shared" si="4"/>
        <v>64217539</v>
      </c>
      <c r="AU17" s="224">
        <f t="shared" si="4"/>
        <v>64217539</v>
      </c>
      <c r="AV17" s="224">
        <f t="shared" si="4"/>
        <v>64217539</v>
      </c>
      <c r="AW17" s="224">
        <f t="shared" si="4"/>
        <v>64217539</v>
      </c>
      <c r="AX17" s="224">
        <f t="shared" si="4"/>
        <v>64217539</v>
      </c>
      <c r="AY17" s="224">
        <f t="shared" si="4"/>
        <v>64217539</v>
      </c>
      <c r="AZ17" s="224">
        <f t="shared" si="4"/>
        <v>64217539</v>
      </c>
      <c r="BA17" s="224">
        <f t="shared" si="4"/>
        <v>64217539</v>
      </c>
      <c r="BB17" s="224">
        <f t="shared" si="4"/>
        <v>64217539</v>
      </c>
      <c r="BC17" s="224">
        <f t="shared" si="4"/>
        <v>64217539</v>
      </c>
      <c r="BD17" s="224">
        <f t="shared" si="4"/>
        <v>64217539</v>
      </c>
      <c r="BE17" s="224">
        <f t="shared" si="4"/>
        <v>64217539</v>
      </c>
      <c r="BF17" s="224">
        <f t="shared" si="4"/>
        <v>64217539</v>
      </c>
      <c r="BG17" s="224">
        <f t="shared" si="4"/>
        <v>64217539</v>
      </c>
      <c r="BH17" s="224">
        <f t="shared" si="4"/>
        <v>64217539</v>
      </c>
      <c r="BI17" s="224">
        <f t="shared" si="4"/>
        <v>64217539</v>
      </c>
      <c r="BJ17" s="224">
        <f t="shared" si="4"/>
        <v>64217539</v>
      </c>
      <c r="BK17" s="224">
        <f t="shared" si="4"/>
        <v>64217539</v>
      </c>
      <c r="BL17" s="224">
        <f t="shared" si="4"/>
        <v>64217539</v>
      </c>
      <c r="BM17" s="224">
        <f t="shared" si="4"/>
        <v>64217539</v>
      </c>
      <c r="BN17" s="224">
        <f t="shared" si="4"/>
        <v>64217539</v>
      </c>
      <c r="BO17" s="224">
        <f t="shared" si="4"/>
        <v>64217539</v>
      </c>
    </row>
    <row r="18" spans="1:67">
      <c r="A18" s="223">
        <f t="shared" si="1"/>
        <v>8</v>
      </c>
      <c r="B18" s="151" t="s">
        <v>15</v>
      </c>
      <c r="C18" s="223">
        <v>16</v>
      </c>
      <c r="D18" s="224">
        <f>+D17</f>
        <v>64217539</v>
      </c>
      <c r="E18" s="224">
        <f t="shared" ref="E18:BO18" si="5">+E17</f>
        <v>64217539</v>
      </c>
      <c r="F18" s="224">
        <f t="shared" si="5"/>
        <v>64217539</v>
      </c>
      <c r="G18" s="224">
        <f t="shared" si="5"/>
        <v>64217539</v>
      </c>
      <c r="H18" s="224">
        <f t="shared" si="5"/>
        <v>64217539</v>
      </c>
      <c r="I18" s="224">
        <f t="shared" si="5"/>
        <v>64217539</v>
      </c>
      <c r="J18" s="224">
        <f t="shared" si="5"/>
        <v>64217539</v>
      </c>
      <c r="K18" s="224">
        <f t="shared" si="5"/>
        <v>64217539</v>
      </c>
      <c r="L18" s="224">
        <f t="shared" si="5"/>
        <v>64217539</v>
      </c>
      <c r="M18" s="224">
        <f t="shared" si="5"/>
        <v>64217539</v>
      </c>
      <c r="N18" s="224">
        <f t="shared" si="5"/>
        <v>64217539</v>
      </c>
      <c r="O18" s="224">
        <f t="shared" si="5"/>
        <v>64217539</v>
      </c>
      <c r="P18" s="224">
        <f t="shared" si="5"/>
        <v>64217539</v>
      </c>
      <c r="Q18" s="224">
        <f t="shared" si="5"/>
        <v>64217539</v>
      </c>
      <c r="R18" s="224">
        <f t="shared" si="5"/>
        <v>64217539</v>
      </c>
      <c r="S18" s="224">
        <f t="shared" si="5"/>
        <v>64217539</v>
      </c>
      <c r="T18" s="224">
        <f t="shared" si="5"/>
        <v>64217539</v>
      </c>
      <c r="U18" s="224">
        <f t="shared" si="5"/>
        <v>64217539</v>
      </c>
      <c r="V18" s="224">
        <f t="shared" si="5"/>
        <v>64217539</v>
      </c>
      <c r="W18" s="224">
        <f t="shared" si="5"/>
        <v>64217539</v>
      </c>
      <c r="X18" s="224">
        <f t="shared" si="5"/>
        <v>64217539</v>
      </c>
      <c r="Y18" s="224">
        <f t="shared" si="5"/>
        <v>64217539</v>
      </c>
      <c r="Z18" s="224">
        <f t="shared" si="5"/>
        <v>64217539</v>
      </c>
      <c r="AA18" s="224">
        <f t="shared" si="5"/>
        <v>64217539</v>
      </c>
      <c r="AB18" s="224">
        <f t="shared" si="5"/>
        <v>64217539</v>
      </c>
      <c r="AC18" s="224">
        <f t="shared" si="5"/>
        <v>64217539</v>
      </c>
      <c r="AD18" s="224">
        <f t="shared" si="5"/>
        <v>64217539</v>
      </c>
      <c r="AE18" s="224">
        <f t="shared" si="5"/>
        <v>64217539</v>
      </c>
      <c r="AF18" s="224">
        <f t="shared" si="5"/>
        <v>64217539</v>
      </c>
      <c r="AG18" s="224">
        <f t="shared" si="5"/>
        <v>64217539</v>
      </c>
      <c r="AH18" s="224">
        <f t="shared" si="5"/>
        <v>64217539</v>
      </c>
      <c r="AI18" s="224">
        <f t="shared" si="5"/>
        <v>64217539</v>
      </c>
      <c r="AJ18" s="224">
        <f t="shared" si="5"/>
        <v>64217539</v>
      </c>
      <c r="AK18" s="224">
        <f t="shared" si="5"/>
        <v>64217539</v>
      </c>
      <c r="AL18" s="224">
        <f t="shared" si="5"/>
        <v>64217539</v>
      </c>
      <c r="AM18" s="224">
        <f t="shared" si="5"/>
        <v>64217539</v>
      </c>
      <c r="AN18" s="224">
        <f t="shared" si="5"/>
        <v>64217539</v>
      </c>
      <c r="AO18" s="224">
        <f t="shared" si="5"/>
        <v>64217539</v>
      </c>
      <c r="AP18" s="224">
        <f t="shared" si="5"/>
        <v>64217539</v>
      </c>
      <c r="AQ18" s="224">
        <f t="shared" si="5"/>
        <v>64217539</v>
      </c>
      <c r="AR18" s="224">
        <f t="shared" si="5"/>
        <v>64217539</v>
      </c>
      <c r="AS18" s="224">
        <f t="shared" si="5"/>
        <v>64217539</v>
      </c>
      <c r="AT18" s="224">
        <f t="shared" si="5"/>
        <v>64217539</v>
      </c>
      <c r="AU18" s="224">
        <f t="shared" si="5"/>
        <v>64217539</v>
      </c>
      <c r="AV18" s="224">
        <f t="shared" si="5"/>
        <v>64217539</v>
      </c>
      <c r="AW18" s="224">
        <f t="shared" si="5"/>
        <v>64217539</v>
      </c>
      <c r="AX18" s="224">
        <f t="shared" si="5"/>
        <v>64217539</v>
      </c>
      <c r="AY18" s="224">
        <f t="shared" si="5"/>
        <v>64217539</v>
      </c>
      <c r="AZ18" s="224">
        <f t="shared" si="5"/>
        <v>64217539</v>
      </c>
      <c r="BA18" s="224">
        <f t="shared" si="5"/>
        <v>64217539</v>
      </c>
      <c r="BB18" s="224">
        <f t="shared" si="5"/>
        <v>64217539</v>
      </c>
      <c r="BC18" s="224">
        <f t="shared" si="5"/>
        <v>64217539</v>
      </c>
      <c r="BD18" s="224">
        <f t="shared" si="5"/>
        <v>64217539</v>
      </c>
      <c r="BE18" s="224">
        <f t="shared" si="5"/>
        <v>64217539</v>
      </c>
      <c r="BF18" s="224">
        <f t="shared" si="5"/>
        <v>64217539</v>
      </c>
      <c r="BG18" s="224">
        <f t="shared" si="5"/>
        <v>64217539</v>
      </c>
      <c r="BH18" s="224">
        <f t="shared" si="5"/>
        <v>64217539</v>
      </c>
      <c r="BI18" s="224">
        <f t="shared" si="5"/>
        <v>64217539</v>
      </c>
      <c r="BJ18" s="224">
        <f t="shared" si="5"/>
        <v>64217539</v>
      </c>
      <c r="BK18" s="224">
        <f t="shared" si="5"/>
        <v>64217539</v>
      </c>
      <c r="BL18" s="224">
        <f t="shared" si="5"/>
        <v>64217539</v>
      </c>
      <c r="BM18" s="224">
        <f t="shared" si="5"/>
        <v>64217539</v>
      </c>
      <c r="BN18" s="224">
        <f t="shared" si="5"/>
        <v>64217539</v>
      </c>
      <c r="BO18" s="224">
        <f t="shared" si="5"/>
        <v>64217539</v>
      </c>
    </row>
    <row r="19" spans="1:67">
      <c r="A19" s="223">
        <v>9</v>
      </c>
      <c r="B19" s="151" t="s">
        <v>1454</v>
      </c>
      <c r="C19" s="223">
        <v>17</v>
      </c>
      <c r="D19" s="224">
        <v>19354690</v>
      </c>
      <c r="E19" s="224">
        <v>19354690</v>
      </c>
      <c r="F19" s="224">
        <v>19354690</v>
      </c>
      <c r="G19" s="224">
        <v>19354690</v>
      </c>
      <c r="H19" s="224">
        <v>19354690</v>
      </c>
      <c r="I19" s="224">
        <v>19354690</v>
      </c>
      <c r="J19" s="224">
        <v>19354690</v>
      </c>
      <c r="K19" s="224">
        <v>19354690</v>
      </c>
      <c r="L19" s="224">
        <v>19354690</v>
      </c>
      <c r="M19" s="224">
        <v>19354690</v>
      </c>
      <c r="N19" s="224">
        <v>19354690</v>
      </c>
      <c r="O19" s="224">
        <v>19354690</v>
      </c>
      <c r="P19" s="224">
        <v>19354690</v>
      </c>
      <c r="Q19" s="224">
        <v>19354690</v>
      </c>
      <c r="R19" s="224">
        <v>19354690</v>
      </c>
      <c r="S19" s="224">
        <v>19354690</v>
      </c>
      <c r="T19" s="224">
        <v>19354690</v>
      </c>
      <c r="U19" s="224">
        <v>19354690</v>
      </c>
      <c r="V19" s="224">
        <v>19354690</v>
      </c>
      <c r="W19" s="224">
        <v>19354690</v>
      </c>
      <c r="X19" s="224">
        <v>19354690</v>
      </c>
      <c r="Y19" s="224">
        <v>19354690</v>
      </c>
      <c r="Z19" s="224">
        <v>19354690</v>
      </c>
      <c r="AA19" s="224">
        <v>19354690</v>
      </c>
      <c r="AB19" s="224">
        <v>19354690</v>
      </c>
      <c r="AC19" s="224">
        <v>19354690</v>
      </c>
      <c r="AD19" s="224">
        <v>19354690</v>
      </c>
      <c r="AE19" s="224">
        <v>19354690</v>
      </c>
      <c r="AF19" s="224">
        <v>19354690</v>
      </c>
      <c r="AG19" s="224">
        <v>19354690</v>
      </c>
      <c r="AH19" s="224">
        <v>19354690</v>
      </c>
      <c r="AI19" s="224">
        <v>19354690</v>
      </c>
      <c r="AJ19" s="224">
        <v>19354690</v>
      </c>
      <c r="AK19" s="224">
        <v>19354690</v>
      </c>
      <c r="AL19" s="224">
        <v>19354690</v>
      </c>
      <c r="AM19" s="224">
        <v>19354690</v>
      </c>
      <c r="AN19" s="224">
        <v>19354690</v>
      </c>
      <c r="AO19" s="224">
        <v>19354690</v>
      </c>
      <c r="AP19" s="224">
        <v>19354690</v>
      </c>
      <c r="AQ19" s="224">
        <v>19354690</v>
      </c>
      <c r="AR19" s="224">
        <v>19354690</v>
      </c>
      <c r="AS19" s="224">
        <v>19354690</v>
      </c>
      <c r="AT19" s="224">
        <v>19354690</v>
      </c>
      <c r="AU19" s="224">
        <v>19354690</v>
      </c>
      <c r="AV19" s="224">
        <v>19354690</v>
      </c>
      <c r="AW19" s="224">
        <v>19354690</v>
      </c>
      <c r="AX19" s="224">
        <v>19354690</v>
      </c>
      <c r="AY19" s="224">
        <v>19354690</v>
      </c>
      <c r="AZ19" s="224">
        <v>19354690</v>
      </c>
      <c r="BA19" s="224">
        <v>19354690</v>
      </c>
      <c r="BB19" s="224">
        <v>19354690</v>
      </c>
      <c r="BC19" s="224">
        <v>19354690</v>
      </c>
      <c r="BD19" s="224">
        <v>19354690</v>
      </c>
      <c r="BE19" s="224">
        <v>19354690</v>
      </c>
      <c r="BF19" s="224">
        <v>19354690</v>
      </c>
      <c r="BG19" s="224">
        <v>19354690</v>
      </c>
      <c r="BH19" s="224">
        <v>19354690</v>
      </c>
      <c r="BI19" s="224">
        <v>19354690</v>
      </c>
      <c r="BJ19" s="224">
        <v>19354690</v>
      </c>
      <c r="BK19" s="224">
        <v>19354690</v>
      </c>
      <c r="BL19" s="224">
        <v>19354690</v>
      </c>
      <c r="BM19" s="224">
        <v>19354690</v>
      </c>
      <c r="BN19" s="224">
        <v>19354690</v>
      </c>
      <c r="BO19" s="224">
        <v>19354690</v>
      </c>
    </row>
    <row r="20" spans="1:67">
      <c r="A20" s="223">
        <v>10</v>
      </c>
      <c r="B20" s="255" t="s">
        <v>1451</v>
      </c>
      <c r="C20" s="223">
        <v>18</v>
      </c>
      <c r="D20" s="224">
        <v>44048223</v>
      </c>
      <c r="E20" s="224">
        <v>44048223</v>
      </c>
      <c r="F20" s="224">
        <v>44048223</v>
      </c>
      <c r="G20" s="224">
        <v>44048223</v>
      </c>
      <c r="H20" s="224">
        <v>44048223</v>
      </c>
      <c r="I20" s="224">
        <v>44048223</v>
      </c>
      <c r="J20" s="224">
        <v>44048223</v>
      </c>
      <c r="K20" s="224">
        <v>44048223</v>
      </c>
      <c r="L20" s="224">
        <v>44048223</v>
      </c>
      <c r="M20" s="224">
        <v>44048223</v>
      </c>
      <c r="N20" s="224">
        <v>44048223</v>
      </c>
      <c r="O20" s="224">
        <v>44048223</v>
      </c>
      <c r="P20" s="224">
        <v>44048223</v>
      </c>
      <c r="Q20" s="224">
        <v>44048223</v>
      </c>
      <c r="R20" s="224">
        <v>44048223</v>
      </c>
      <c r="S20" s="224">
        <v>44048223</v>
      </c>
      <c r="T20" s="224">
        <v>44048223</v>
      </c>
      <c r="U20" s="224">
        <v>44048223</v>
      </c>
      <c r="V20" s="224">
        <v>44048223</v>
      </c>
      <c r="W20" s="224">
        <v>44048223</v>
      </c>
      <c r="X20" s="224">
        <v>44048223</v>
      </c>
      <c r="Y20" s="224">
        <v>44048223</v>
      </c>
      <c r="Z20" s="224">
        <v>44048223</v>
      </c>
      <c r="AA20" s="224">
        <v>44048223</v>
      </c>
      <c r="AB20" s="224">
        <v>44048223</v>
      </c>
      <c r="AC20" s="224">
        <v>44048223</v>
      </c>
      <c r="AD20" s="224">
        <v>44048223</v>
      </c>
      <c r="AE20" s="224">
        <v>44048223</v>
      </c>
      <c r="AF20" s="224">
        <v>44048223</v>
      </c>
      <c r="AG20" s="224">
        <v>44048223</v>
      </c>
      <c r="AH20" s="224">
        <v>44048223</v>
      </c>
      <c r="AI20" s="224">
        <v>44048223</v>
      </c>
      <c r="AJ20" s="224">
        <v>44048223</v>
      </c>
      <c r="AK20" s="224">
        <v>44048223</v>
      </c>
      <c r="AL20" s="224">
        <v>44048223</v>
      </c>
      <c r="AM20" s="224">
        <v>44048223</v>
      </c>
      <c r="AN20" s="224">
        <v>44048223</v>
      </c>
      <c r="AO20" s="224">
        <v>44048223</v>
      </c>
      <c r="AP20" s="224">
        <v>44048223</v>
      </c>
      <c r="AQ20" s="224">
        <v>44048223</v>
      </c>
      <c r="AR20" s="224">
        <v>44048223</v>
      </c>
      <c r="AS20" s="224">
        <v>44048223</v>
      </c>
      <c r="AT20" s="224">
        <v>44048223</v>
      </c>
      <c r="AU20" s="224">
        <v>44048223</v>
      </c>
      <c r="AV20" s="224">
        <v>44048223</v>
      </c>
      <c r="AW20" s="224">
        <v>44048223</v>
      </c>
      <c r="AX20" s="224">
        <v>44048223</v>
      </c>
      <c r="AY20" s="224">
        <v>44048223</v>
      </c>
      <c r="AZ20" s="224">
        <v>44048223</v>
      </c>
      <c r="BA20" s="224">
        <v>44048223</v>
      </c>
      <c r="BB20" s="224">
        <v>44048223</v>
      </c>
      <c r="BC20" s="224">
        <v>44048223</v>
      </c>
      <c r="BD20" s="224">
        <v>44048223</v>
      </c>
      <c r="BE20" s="224">
        <v>44048223</v>
      </c>
      <c r="BF20" s="224">
        <v>44048223</v>
      </c>
      <c r="BG20" s="224">
        <v>44048223</v>
      </c>
      <c r="BH20" s="224">
        <v>44048223</v>
      </c>
      <c r="BI20" s="224">
        <v>44048223</v>
      </c>
      <c r="BJ20" s="224">
        <v>44048223</v>
      </c>
      <c r="BK20" s="224">
        <v>44048223</v>
      </c>
      <c r="BL20" s="224">
        <v>44048223</v>
      </c>
      <c r="BM20" s="224">
        <v>44048223</v>
      </c>
      <c r="BN20" s="224">
        <v>44048223</v>
      </c>
      <c r="BO20" s="224">
        <v>44048223</v>
      </c>
    </row>
    <row r="21" spans="1:67">
      <c r="A21" s="223">
        <v>11</v>
      </c>
      <c r="B21" s="151" t="s">
        <v>1455</v>
      </c>
      <c r="C21" s="223">
        <v>19</v>
      </c>
      <c r="D21" s="224">
        <v>19354690</v>
      </c>
      <c r="E21" s="224">
        <v>19354690</v>
      </c>
      <c r="F21" s="224">
        <v>19354690</v>
      </c>
      <c r="G21" s="224">
        <v>19354690</v>
      </c>
      <c r="H21" s="224">
        <v>19354690</v>
      </c>
      <c r="I21" s="224">
        <v>19354690</v>
      </c>
      <c r="J21" s="224">
        <v>19354690</v>
      </c>
      <c r="K21" s="224">
        <v>19354690</v>
      </c>
      <c r="L21" s="224">
        <v>19354690</v>
      </c>
      <c r="M21" s="224">
        <v>19354690</v>
      </c>
      <c r="N21" s="224">
        <v>19354690</v>
      </c>
      <c r="O21" s="224">
        <v>19354690</v>
      </c>
      <c r="P21" s="224">
        <v>19354690</v>
      </c>
      <c r="Q21" s="224">
        <v>19354690</v>
      </c>
      <c r="R21" s="224">
        <v>19354690</v>
      </c>
      <c r="S21" s="224">
        <v>19354690</v>
      </c>
      <c r="T21" s="224">
        <v>19354690</v>
      </c>
      <c r="U21" s="224">
        <v>19354690</v>
      </c>
      <c r="V21" s="224">
        <v>19354690</v>
      </c>
      <c r="W21" s="224">
        <v>19354690</v>
      </c>
      <c r="X21" s="224">
        <v>19354690</v>
      </c>
      <c r="Y21" s="224">
        <v>19354690</v>
      </c>
      <c r="Z21" s="224">
        <v>19354690</v>
      </c>
      <c r="AA21" s="224">
        <v>19354690</v>
      </c>
      <c r="AB21" s="224">
        <v>19354690</v>
      </c>
      <c r="AC21" s="224">
        <v>19354690</v>
      </c>
      <c r="AD21" s="224">
        <v>19354690</v>
      </c>
      <c r="AE21" s="224">
        <v>19354690</v>
      </c>
      <c r="AF21" s="224">
        <v>19354690</v>
      </c>
      <c r="AG21" s="224">
        <v>19354690</v>
      </c>
      <c r="AH21" s="224">
        <v>19354690</v>
      </c>
      <c r="AI21" s="224">
        <v>19354690</v>
      </c>
      <c r="AJ21" s="224">
        <v>19354690</v>
      </c>
      <c r="AK21" s="224">
        <v>19354690</v>
      </c>
      <c r="AL21" s="224">
        <v>19354690</v>
      </c>
      <c r="AM21" s="224">
        <v>19354690</v>
      </c>
      <c r="AN21" s="224">
        <v>19354690</v>
      </c>
      <c r="AO21" s="224">
        <v>19354690</v>
      </c>
      <c r="AP21" s="224">
        <v>19354690</v>
      </c>
      <c r="AQ21" s="224">
        <v>19354690</v>
      </c>
      <c r="AR21" s="224">
        <v>19354690</v>
      </c>
      <c r="AS21" s="224">
        <v>19354690</v>
      </c>
      <c r="AT21" s="224">
        <v>19354690</v>
      </c>
      <c r="AU21" s="224">
        <v>19354690</v>
      </c>
      <c r="AV21" s="224">
        <v>19354690</v>
      </c>
      <c r="AW21" s="224">
        <v>19354690</v>
      </c>
      <c r="AX21" s="224">
        <v>19354690</v>
      </c>
      <c r="AY21" s="224">
        <v>19354690</v>
      </c>
      <c r="AZ21" s="224">
        <v>19354690</v>
      </c>
      <c r="BA21" s="224">
        <v>19354690</v>
      </c>
      <c r="BB21" s="224">
        <v>19354690</v>
      </c>
      <c r="BC21" s="224">
        <v>19354690</v>
      </c>
      <c r="BD21" s="224">
        <v>19354690</v>
      </c>
      <c r="BE21" s="224">
        <v>19354690</v>
      </c>
      <c r="BF21" s="224">
        <v>19354690</v>
      </c>
      <c r="BG21" s="224">
        <v>19354690</v>
      </c>
      <c r="BH21" s="224">
        <v>19354690</v>
      </c>
      <c r="BI21" s="224">
        <v>19354690</v>
      </c>
      <c r="BJ21" s="224">
        <v>19354690</v>
      </c>
      <c r="BK21" s="224">
        <v>19354690</v>
      </c>
      <c r="BL21" s="224">
        <v>19354690</v>
      </c>
      <c r="BM21" s="224">
        <v>19354690</v>
      </c>
      <c r="BN21" s="224">
        <v>19354690</v>
      </c>
      <c r="BO21" s="224">
        <v>19354690</v>
      </c>
    </row>
    <row r="22" spans="1:67">
      <c r="A22" s="256"/>
      <c r="B22" s="257" t="s">
        <v>1783</v>
      </c>
      <c r="C22" s="223">
        <v>20</v>
      </c>
      <c r="D22" s="258">
        <v>51777161</v>
      </c>
      <c r="E22" s="258">
        <v>51777161</v>
      </c>
      <c r="F22" s="258">
        <v>51777161</v>
      </c>
      <c r="G22" s="258">
        <v>51777161</v>
      </c>
      <c r="H22" s="258">
        <v>51777161</v>
      </c>
      <c r="I22" s="258">
        <v>51777161</v>
      </c>
      <c r="J22" s="258">
        <v>51777161</v>
      </c>
      <c r="K22" s="258">
        <v>51777161</v>
      </c>
      <c r="L22" s="258">
        <v>51777161</v>
      </c>
      <c r="M22" s="258">
        <v>51777161</v>
      </c>
      <c r="N22" s="258">
        <v>51777161</v>
      </c>
      <c r="O22" s="258">
        <v>51777161</v>
      </c>
      <c r="P22" s="258">
        <v>51777161</v>
      </c>
      <c r="Q22" s="258">
        <v>51777161</v>
      </c>
      <c r="R22" s="258">
        <v>51777161</v>
      </c>
      <c r="S22" s="258">
        <v>51777161</v>
      </c>
      <c r="T22" s="258">
        <v>51777161</v>
      </c>
      <c r="U22" s="258">
        <v>51777161</v>
      </c>
      <c r="V22" s="258">
        <v>51777161</v>
      </c>
      <c r="W22" s="258">
        <v>51777161</v>
      </c>
      <c r="X22" s="258">
        <v>51777161</v>
      </c>
      <c r="Y22" s="258">
        <v>51777161</v>
      </c>
      <c r="Z22" s="258">
        <v>51777161</v>
      </c>
      <c r="AA22" s="258">
        <v>51777161</v>
      </c>
      <c r="AB22" s="258">
        <v>51777161</v>
      </c>
      <c r="AC22" s="258">
        <v>51777161</v>
      </c>
      <c r="AD22" s="258">
        <v>51777161</v>
      </c>
      <c r="AE22" s="258">
        <v>51777161</v>
      </c>
      <c r="AF22" s="258">
        <v>51777161</v>
      </c>
      <c r="AG22" s="258">
        <v>51777161</v>
      </c>
      <c r="AH22" s="258">
        <v>51777161</v>
      </c>
      <c r="AI22" s="258">
        <v>51777161</v>
      </c>
      <c r="AJ22" s="258">
        <v>51777161</v>
      </c>
      <c r="AK22" s="258">
        <v>51777161</v>
      </c>
      <c r="AL22" s="258">
        <v>51777161</v>
      </c>
      <c r="AM22" s="258">
        <v>51777161</v>
      </c>
      <c r="AN22" s="258">
        <v>51777161</v>
      </c>
      <c r="AO22" s="258">
        <v>51777161</v>
      </c>
      <c r="AP22" s="258">
        <v>51777161</v>
      </c>
      <c r="AQ22" s="258">
        <v>51777161</v>
      </c>
      <c r="AR22" s="258">
        <v>51777161</v>
      </c>
      <c r="AS22" s="258">
        <v>51777161</v>
      </c>
      <c r="AT22" s="258">
        <v>51777161</v>
      </c>
      <c r="AU22" s="258">
        <v>51777161</v>
      </c>
      <c r="AV22" s="258">
        <v>51777161</v>
      </c>
      <c r="AW22" s="258">
        <v>51777161</v>
      </c>
      <c r="AX22" s="258">
        <v>51777161</v>
      </c>
      <c r="AY22" s="258">
        <v>51777161</v>
      </c>
      <c r="AZ22" s="258">
        <v>51777161</v>
      </c>
      <c r="BA22" s="258">
        <v>51777161</v>
      </c>
      <c r="BB22" s="258">
        <v>51777161</v>
      </c>
      <c r="BC22" s="258">
        <v>51777161</v>
      </c>
      <c r="BD22" s="258">
        <v>51777161</v>
      </c>
      <c r="BE22" s="258">
        <v>51777161</v>
      </c>
      <c r="BF22" s="258">
        <v>51777161</v>
      </c>
      <c r="BG22" s="258">
        <v>51777161</v>
      </c>
      <c r="BH22" s="258">
        <v>51777161</v>
      </c>
      <c r="BI22" s="258">
        <v>51777161</v>
      </c>
      <c r="BJ22" s="258">
        <v>51777161</v>
      </c>
      <c r="BK22" s="258">
        <v>51777161</v>
      </c>
      <c r="BL22" s="258">
        <v>51777161</v>
      </c>
      <c r="BM22" s="258">
        <v>51777161</v>
      </c>
      <c r="BN22" s="258">
        <v>51777161</v>
      </c>
      <c r="BO22" s="258">
        <v>51777161</v>
      </c>
    </row>
    <row r="23" spans="1:67">
      <c r="A23" s="229" t="s">
        <v>29</v>
      </c>
      <c r="B23" s="230" t="s">
        <v>149</v>
      </c>
      <c r="C23" s="223">
        <v>21</v>
      </c>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c r="BC23" s="224"/>
      <c r="BD23" s="224"/>
      <c r="BE23" s="224"/>
      <c r="BF23" s="224"/>
      <c r="BG23" s="224"/>
      <c r="BH23" s="224"/>
      <c r="BI23" s="224"/>
      <c r="BJ23" s="224"/>
      <c r="BK23" s="224"/>
      <c r="BL23" s="224"/>
      <c r="BM23" s="224"/>
      <c r="BN23" s="224"/>
      <c r="BO23" s="224"/>
    </row>
    <row r="24" spans="1:67">
      <c r="A24" s="223">
        <v>1</v>
      </c>
      <c r="B24" s="151" t="s">
        <v>17</v>
      </c>
      <c r="C24" s="223">
        <v>22</v>
      </c>
      <c r="D24" s="224">
        <v>22037907</v>
      </c>
      <c r="E24" s="224">
        <v>22037907</v>
      </c>
      <c r="F24" s="224">
        <v>22037907</v>
      </c>
      <c r="G24" s="224">
        <v>22037907</v>
      </c>
      <c r="H24" s="224">
        <v>22037907</v>
      </c>
      <c r="I24" s="224">
        <v>22037907</v>
      </c>
      <c r="J24" s="224">
        <v>22037907</v>
      </c>
      <c r="K24" s="224">
        <v>22037907</v>
      </c>
      <c r="L24" s="224">
        <v>22037907</v>
      </c>
      <c r="M24" s="224">
        <v>22037907</v>
      </c>
      <c r="N24" s="224">
        <v>22037907</v>
      </c>
      <c r="O24" s="224">
        <v>22037907</v>
      </c>
      <c r="P24" s="224">
        <v>22037907</v>
      </c>
      <c r="Q24" s="224">
        <v>22037907</v>
      </c>
      <c r="R24" s="224">
        <v>22037907</v>
      </c>
      <c r="S24" s="224">
        <v>22037907</v>
      </c>
      <c r="T24" s="224">
        <v>22037907</v>
      </c>
      <c r="U24" s="224">
        <v>22037907</v>
      </c>
      <c r="V24" s="224">
        <v>22037907</v>
      </c>
      <c r="W24" s="224">
        <v>22037907</v>
      </c>
      <c r="X24" s="224">
        <v>22037907</v>
      </c>
      <c r="Y24" s="224">
        <v>22037907</v>
      </c>
      <c r="Z24" s="224">
        <v>22037907</v>
      </c>
      <c r="AA24" s="224">
        <v>22037907</v>
      </c>
      <c r="AB24" s="224">
        <v>22037907</v>
      </c>
      <c r="AC24" s="224">
        <v>22037907</v>
      </c>
      <c r="AD24" s="224">
        <v>22037907</v>
      </c>
      <c r="AE24" s="224">
        <v>22037907</v>
      </c>
      <c r="AF24" s="224">
        <v>22037907</v>
      </c>
      <c r="AG24" s="224">
        <v>22037907</v>
      </c>
      <c r="AH24" s="224">
        <v>22037907</v>
      </c>
      <c r="AI24" s="224">
        <v>22037907</v>
      </c>
      <c r="AJ24" s="224">
        <v>22037907</v>
      </c>
      <c r="AK24" s="224">
        <v>22037907</v>
      </c>
      <c r="AL24" s="224">
        <v>22037907</v>
      </c>
      <c r="AM24" s="224">
        <v>22037907</v>
      </c>
      <c r="AN24" s="224">
        <v>22037907</v>
      </c>
      <c r="AO24" s="224">
        <v>22037907</v>
      </c>
      <c r="AP24" s="224">
        <v>22037907</v>
      </c>
      <c r="AQ24" s="224">
        <v>22037907</v>
      </c>
      <c r="AR24" s="224">
        <v>22037907</v>
      </c>
      <c r="AS24" s="224">
        <v>22037907</v>
      </c>
      <c r="AT24" s="224">
        <v>22037907</v>
      </c>
      <c r="AU24" s="224">
        <v>22037907</v>
      </c>
      <c r="AV24" s="224">
        <v>22037907</v>
      </c>
      <c r="AW24" s="224">
        <v>22037907</v>
      </c>
      <c r="AX24" s="224">
        <v>22037907</v>
      </c>
      <c r="AY24" s="224">
        <v>22037907</v>
      </c>
      <c r="AZ24" s="224">
        <v>22037907</v>
      </c>
      <c r="BA24" s="224">
        <v>22037907</v>
      </c>
      <c r="BB24" s="224">
        <v>22037907</v>
      </c>
      <c r="BC24" s="224">
        <v>22037907</v>
      </c>
      <c r="BD24" s="224">
        <v>22037907</v>
      </c>
      <c r="BE24" s="224">
        <v>22037907</v>
      </c>
      <c r="BF24" s="224">
        <v>22037907</v>
      </c>
      <c r="BG24" s="224">
        <v>22037907</v>
      </c>
      <c r="BH24" s="224">
        <v>22037907</v>
      </c>
      <c r="BI24" s="224">
        <v>22037907</v>
      </c>
      <c r="BJ24" s="224">
        <v>22037907</v>
      </c>
      <c r="BK24" s="224">
        <v>22037907</v>
      </c>
      <c r="BL24" s="224">
        <v>22037907</v>
      </c>
      <c r="BM24" s="224">
        <v>22037907</v>
      </c>
      <c r="BN24" s="224">
        <v>22037907</v>
      </c>
      <c r="BO24" s="224">
        <v>22037907</v>
      </c>
    </row>
    <row r="25" spans="1:67">
      <c r="A25" s="223">
        <f t="shared" ref="A25:A31" si="6">A24+1</f>
        <v>2</v>
      </c>
      <c r="B25" s="151" t="s">
        <v>18</v>
      </c>
      <c r="C25" s="223">
        <v>23</v>
      </c>
      <c r="D25" s="224">
        <v>15782927</v>
      </c>
      <c r="E25" s="224">
        <v>15782927</v>
      </c>
      <c r="F25" s="224">
        <v>15782927</v>
      </c>
      <c r="G25" s="224">
        <v>15782927</v>
      </c>
      <c r="H25" s="224">
        <v>15782927</v>
      </c>
      <c r="I25" s="224">
        <v>15782927</v>
      </c>
      <c r="J25" s="224">
        <v>15782927</v>
      </c>
      <c r="K25" s="224">
        <v>15782927</v>
      </c>
      <c r="L25" s="224">
        <v>15782927</v>
      </c>
      <c r="M25" s="224">
        <v>15782927</v>
      </c>
      <c r="N25" s="224">
        <v>15782927</v>
      </c>
      <c r="O25" s="224">
        <v>15782927</v>
      </c>
      <c r="P25" s="224">
        <v>15782927</v>
      </c>
      <c r="Q25" s="224">
        <v>15782927</v>
      </c>
      <c r="R25" s="224">
        <v>15782927</v>
      </c>
      <c r="S25" s="224">
        <v>15782927</v>
      </c>
      <c r="T25" s="224">
        <v>15782927</v>
      </c>
      <c r="U25" s="224">
        <v>15782927</v>
      </c>
      <c r="V25" s="224">
        <v>15782927</v>
      </c>
      <c r="W25" s="224">
        <v>15782927</v>
      </c>
      <c r="X25" s="224">
        <v>15782927</v>
      </c>
      <c r="Y25" s="224">
        <v>15782927</v>
      </c>
      <c r="Z25" s="224">
        <v>15782927</v>
      </c>
      <c r="AA25" s="224">
        <v>15782927</v>
      </c>
      <c r="AB25" s="224">
        <v>15782927</v>
      </c>
      <c r="AC25" s="224">
        <v>15782927</v>
      </c>
      <c r="AD25" s="224">
        <v>15782927</v>
      </c>
      <c r="AE25" s="224">
        <v>15782927</v>
      </c>
      <c r="AF25" s="224">
        <v>15782927</v>
      </c>
      <c r="AG25" s="224">
        <v>15782927</v>
      </c>
      <c r="AH25" s="224">
        <v>15782927</v>
      </c>
      <c r="AI25" s="224">
        <v>15782927</v>
      </c>
      <c r="AJ25" s="224">
        <v>15782927</v>
      </c>
      <c r="AK25" s="224">
        <v>15782927</v>
      </c>
      <c r="AL25" s="224">
        <v>15782927</v>
      </c>
      <c r="AM25" s="224">
        <v>15782927</v>
      </c>
      <c r="AN25" s="224">
        <v>15782927</v>
      </c>
      <c r="AO25" s="224">
        <v>15782927</v>
      </c>
      <c r="AP25" s="224">
        <v>15782927</v>
      </c>
      <c r="AQ25" s="224">
        <v>15782927</v>
      </c>
      <c r="AR25" s="224">
        <v>15782927</v>
      </c>
      <c r="AS25" s="224">
        <v>15782927</v>
      </c>
      <c r="AT25" s="224">
        <v>15782927</v>
      </c>
      <c r="AU25" s="224">
        <v>15782927</v>
      </c>
      <c r="AV25" s="224">
        <v>15782927</v>
      </c>
      <c r="AW25" s="224">
        <v>15782927</v>
      </c>
      <c r="AX25" s="224">
        <v>15782927</v>
      </c>
      <c r="AY25" s="224">
        <v>15782927</v>
      </c>
      <c r="AZ25" s="224">
        <v>15782927</v>
      </c>
      <c r="BA25" s="224">
        <v>15782927</v>
      </c>
      <c r="BB25" s="224">
        <v>15782927</v>
      </c>
      <c r="BC25" s="224">
        <v>15782927</v>
      </c>
      <c r="BD25" s="224">
        <v>15782927</v>
      </c>
      <c r="BE25" s="224">
        <v>15782927</v>
      </c>
      <c r="BF25" s="224">
        <v>15782927</v>
      </c>
      <c r="BG25" s="224">
        <v>15782927</v>
      </c>
      <c r="BH25" s="224">
        <v>15782927</v>
      </c>
      <c r="BI25" s="224">
        <v>15782927</v>
      </c>
      <c r="BJ25" s="224">
        <v>15782927</v>
      </c>
      <c r="BK25" s="224">
        <v>15782927</v>
      </c>
      <c r="BL25" s="224">
        <v>15782927</v>
      </c>
      <c r="BM25" s="224">
        <v>15782927</v>
      </c>
      <c r="BN25" s="224">
        <v>15782927</v>
      </c>
      <c r="BO25" s="224">
        <v>15782927</v>
      </c>
    </row>
    <row r="26" spans="1:67">
      <c r="A26" s="223">
        <f t="shared" si="6"/>
        <v>3</v>
      </c>
      <c r="B26" s="151" t="s">
        <v>19</v>
      </c>
      <c r="C26" s="223">
        <v>24</v>
      </c>
      <c r="D26" s="224">
        <v>1090668</v>
      </c>
      <c r="E26" s="224">
        <v>1090668</v>
      </c>
      <c r="F26" s="224">
        <v>1090668</v>
      </c>
      <c r="G26" s="224">
        <v>1090668</v>
      </c>
      <c r="H26" s="224">
        <v>1090668</v>
      </c>
      <c r="I26" s="224">
        <v>1090668</v>
      </c>
      <c r="J26" s="224">
        <v>1090668</v>
      </c>
      <c r="K26" s="224">
        <v>1090668</v>
      </c>
      <c r="L26" s="224">
        <v>1090668</v>
      </c>
      <c r="M26" s="224">
        <v>1090668</v>
      </c>
      <c r="N26" s="224">
        <v>1090668</v>
      </c>
      <c r="O26" s="224">
        <v>1090668</v>
      </c>
      <c r="P26" s="224">
        <v>1090668</v>
      </c>
      <c r="Q26" s="224">
        <v>1090668</v>
      </c>
      <c r="R26" s="224">
        <v>1090668</v>
      </c>
      <c r="S26" s="224">
        <v>1090668</v>
      </c>
      <c r="T26" s="224">
        <v>1090668</v>
      </c>
      <c r="U26" s="224">
        <v>1090668</v>
      </c>
      <c r="V26" s="224">
        <v>1090668</v>
      </c>
      <c r="W26" s="224">
        <v>1090668</v>
      </c>
      <c r="X26" s="224">
        <v>1090668</v>
      </c>
      <c r="Y26" s="224">
        <v>1090668</v>
      </c>
      <c r="Z26" s="224">
        <v>1090668</v>
      </c>
      <c r="AA26" s="224">
        <v>1090668</v>
      </c>
      <c r="AB26" s="224">
        <v>1090668</v>
      </c>
      <c r="AC26" s="224">
        <v>1090668</v>
      </c>
      <c r="AD26" s="224">
        <v>1090668</v>
      </c>
      <c r="AE26" s="224">
        <v>1090668</v>
      </c>
      <c r="AF26" s="224">
        <v>1090668</v>
      </c>
      <c r="AG26" s="224">
        <v>1090668</v>
      </c>
      <c r="AH26" s="224">
        <v>1090668</v>
      </c>
      <c r="AI26" s="224">
        <v>1090668</v>
      </c>
      <c r="AJ26" s="224">
        <v>1090668</v>
      </c>
      <c r="AK26" s="224">
        <v>1090668</v>
      </c>
      <c r="AL26" s="224">
        <v>1090668</v>
      </c>
      <c r="AM26" s="224">
        <v>1090668</v>
      </c>
      <c r="AN26" s="224">
        <v>1090668</v>
      </c>
      <c r="AO26" s="224">
        <v>1090668</v>
      </c>
      <c r="AP26" s="224">
        <v>1090668</v>
      </c>
      <c r="AQ26" s="224">
        <v>1090668</v>
      </c>
      <c r="AR26" s="224">
        <v>1090668</v>
      </c>
      <c r="AS26" s="224">
        <v>1090668</v>
      </c>
      <c r="AT26" s="224">
        <v>1090668</v>
      </c>
      <c r="AU26" s="224">
        <v>1090668</v>
      </c>
      <c r="AV26" s="224">
        <v>1090668</v>
      </c>
      <c r="AW26" s="224">
        <v>1090668</v>
      </c>
      <c r="AX26" s="224">
        <v>1090668</v>
      </c>
      <c r="AY26" s="224">
        <v>1090668</v>
      </c>
      <c r="AZ26" s="224">
        <v>1090668</v>
      </c>
      <c r="BA26" s="224">
        <v>1090668</v>
      </c>
      <c r="BB26" s="224">
        <v>1090668</v>
      </c>
      <c r="BC26" s="224">
        <v>1090668</v>
      </c>
      <c r="BD26" s="224">
        <v>1090668</v>
      </c>
      <c r="BE26" s="224">
        <v>1090668</v>
      </c>
      <c r="BF26" s="224">
        <v>1090668</v>
      </c>
      <c r="BG26" s="224">
        <v>1090668</v>
      </c>
      <c r="BH26" s="224">
        <v>1090668</v>
      </c>
      <c r="BI26" s="224">
        <v>1090668</v>
      </c>
      <c r="BJ26" s="224">
        <v>1090668</v>
      </c>
      <c r="BK26" s="224">
        <v>1090668</v>
      </c>
      <c r="BL26" s="224">
        <v>1090668</v>
      </c>
      <c r="BM26" s="224">
        <v>1090668</v>
      </c>
      <c r="BN26" s="224">
        <v>1090668</v>
      </c>
      <c r="BO26" s="224">
        <v>1090668</v>
      </c>
    </row>
    <row r="27" spans="1:67">
      <c r="A27" s="223">
        <f t="shared" si="6"/>
        <v>4</v>
      </c>
      <c r="B27" s="151" t="s">
        <v>20</v>
      </c>
      <c r="C27" s="223">
        <v>25</v>
      </c>
      <c r="D27" s="224">
        <v>1090668</v>
      </c>
      <c r="E27" s="224">
        <v>1090668</v>
      </c>
      <c r="F27" s="224">
        <v>1090668</v>
      </c>
      <c r="G27" s="224">
        <v>1090668</v>
      </c>
      <c r="H27" s="224">
        <v>1090668</v>
      </c>
      <c r="I27" s="224">
        <v>1090668</v>
      </c>
      <c r="J27" s="224">
        <v>1090668</v>
      </c>
      <c r="K27" s="224">
        <v>1090668</v>
      </c>
      <c r="L27" s="224">
        <v>1090668</v>
      </c>
      <c r="M27" s="224">
        <v>1090668</v>
      </c>
      <c r="N27" s="224">
        <v>1090668</v>
      </c>
      <c r="O27" s="224">
        <v>1090668</v>
      </c>
      <c r="P27" s="224">
        <v>1090668</v>
      </c>
      <c r="Q27" s="224">
        <v>1090668</v>
      </c>
      <c r="R27" s="224">
        <v>1090668</v>
      </c>
      <c r="S27" s="224">
        <v>1090668</v>
      </c>
      <c r="T27" s="224">
        <v>1090668</v>
      </c>
      <c r="U27" s="224">
        <v>1090668</v>
      </c>
      <c r="V27" s="224">
        <v>1090668</v>
      </c>
      <c r="W27" s="224">
        <v>1090668</v>
      </c>
      <c r="X27" s="224">
        <v>1090668</v>
      </c>
      <c r="Y27" s="224">
        <v>1090668</v>
      </c>
      <c r="Z27" s="224">
        <v>1090668</v>
      </c>
      <c r="AA27" s="224">
        <v>1090668</v>
      </c>
      <c r="AB27" s="224">
        <v>1090668</v>
      </c>
      <c r="AC27" s="224">
        <v>1090668</v>
      </c>
      <c r="AD27" s="224">
        <v>1090668</v>
      </c>
      <c r="AE27" s="224">
        <v>1090668</v>
      </c>
      <c r="AF27" s="224">
        <v>1090668</v>
      </c>
      <c r="AG27" s="224">
        <v>1090668</v>
      </c>
      <c r="AH27" s="224">
        <v>1090668</v>
      </c>
      <c r="AI27" s="224">
        <v>1090668</v>
      </c>
      <c r="AJ27" s="224">
        <v>1090668</v>
      </c>
      <c r="AK27" s="224">
        <v>1090668</v>
      </c>
      <c r="AL27" s="224">
        <v>1090668</v>
      </c>
      <c r="AM27" s="224">
        <v>1090668</v>
      </c>
      <c r="AN27" s="224">
        <v>1090668</v>
      </c>
      <c r="AO27" s="224">
        <v>1090668</v>
      </c>
      <c r="AP27" s="224">
        <v>1090668</v>
      </c>
      <c r="AQ27" s="224">
        <v>1090668</v>
      </c>
      <c r="AR27" s="224">
        <v>1090668</v>
      </c>
      <c r="AS27" s="224">
        <v>1090668</v>
      </c>
      <c r="AT27" s="224">
        <v>1090668</v>
      </c>
      <c r="AU27" s="224">
        <v>1090668</v>
      </c>
      <c r="AV27" s="224">
        <v>1090668</v>
      </c>
      <c r="AW27" s="224">
        <v>1090668</v>
      </c>
      <c r="AX27" s="224">
        <v>1090668</v>
      </c>
      <c r="AY27" s="224">
        <v>1090668</v>
      </c>
      <c r="AZ27" s="224">
        <v>1090668</v>
      </c>
      <c r="BA27" s="224">
        <v>1090668</v>
      </c>
      <c r="BB27" s="224">
        <v>1090668</v>
      </c>
      <c r="BC27" s="224">
        <v>1090668</v>
      </c>
      <c r="BD27" s="224">
        <v>1090668</v>
      </c>
      <c r="BE27" s="224">
        <v>1090668</v>
      </c>
      <c r="BF27" s="224">
        <v>1090668</v>
      </c>
      <c r="BG27" s="224">
        <v>1090668</v>
      </c>
      <c r="BH27" s="224">
        <v>1090668</v>
      </c>
      <c r="BI27" s="224">
        <v>1090668</v>
      </c>
      <c r="BJ27" s="224">
        <v>1090668</v>
      </c>
      <c r="BK27" s="224">
        <v>1090668</v>
      </c>
      <c r="BL27" s="224">
        <v>1090668</v>
      </c>
      <c r="BM27" s="224">
        <v>1090668</v>
      </c>
      <c r="BN27" s="224">
        <v>1090668</v>
      </c>
      <c r="BO27" s="224">
        <v>1090668</v>
      </c>
    </row>
    <row r="28" spans="1:67">
      <c r="A28" s="223">
        <f t="shared" si="6"/>
        <v>5</v>
      </c>
      <c r="B28" s="228" t="s">
        <v>24</v>
      </c>
      <c r="C28" s="223">
        <v>26</v>
      </c>
      <c r="D28" s="224">
        <v>13277516</v>
      </c>
      <c r="E28" s="224">
        <v>13277516</v>
      </c>
      <c r="F28" s="224">
        <v>13277516</v>
      </c>
      <c r="G28" s="224">
        <v>13277516</v>
      </c>
      <c r="H28" s="224">
        <v>13277516</v>
      </c>
      <c r="I28" s="224">
        <v>13277516</v>
      </c>
      <c r="J28" s="224">
        <v>13277516</v>
      </c>
      <c r="K28" s="224">
        <v>13277516</v>
      </c>
      <c r="L28" s="224">
        <v>13277516</v>
      </c>
      <c r="M28" s="224">
        <v>13277516</v>
      </c>
      <c r="N28" s="224">
        <v>13277516</v>
      </c>
      <c r="O28" s="224">
        <v>13277516</v>
      </c>
      <c r="P28" s="224">
        <v>13277516</v>
      </c>
      <c r="Q28" s="224">
        <v>13277516</v>
      </c>
      <c r="R28" s="224">
        <v>13277516</v>
      </c>
      <c r="S28" s="224">
        <v>13277516</v>
      </c>
      <c r="T28" s="224">
        <v>13277516</v>
      </c>
      <c r="U28" s="224">
        <v>13277516</v>
      </c>
      <c r="V28" s="224">
        <v>13277516</v>
      </c>
      <c r="W28" s="224">
        <v>13277516</v>
      </c>
      <c r="X28" s="224">
        <v>13277516</v>
      </c>
      <c r="Y28" s="224">
        <v>13277516</v>
      </c>
      <c r="Z28" s="224">
        <v>13277516</v>
      </c>
      <c r="AA28" s="224">
        <v>13277516</v>
      </c>
      <c r="AB28" s="224">
        <v>13277516</v>
      </c>
      <c r="AC28" s="224">
        <v>13277516</v>
      </c>
      <c r="AD28" s="224">
        <v>13277516</v>
      </c>
      <c r="AE28" s="224">
        <v>13277516</v>
      </c>
      <c r="AF28" s="224">
        <v>13277516</v>
      </c>
      <c r="AG28" s="224">
        <v>13277516</v>
      </c>
      <c r="AH28" s="224">
        <v>13277516</v>
      </c>
      <c r="AI28" s="224">
        <v>13277516</v>
      </c>
      <c r="AJ28" s="224">
        <v>13277516</v>
      </c>
      <c r="AK28" s="224">
        <v>13277516</v>
      </c>
      <c r="AL28" s="224">
        <v>13277516</v>
      </c>
      <c r="AM28" s="224">
        <v>13277516</v>
      </c>
      <c r="AN28" s="224">
        <v>13277516</v>
      </c>
      <c r="AO28" s="224">
        <v>13277516</v>
      </c>
      <c r="AP28" s="224">
        <v>13277516</v>
      </c>
      <c r="AQ28" s="224">
        <v>13277516</v>
      </c>
      <c r="AR28" s="224">
        <v>13277516</v>
      </c>
      <c r="AS28" s="224">
        <v>13277516</v>
      </c>
      <c r="AT28" s="224">
        <v>13277516</v>
      </c>
      <c r="AU28" s="224">
        <v>13277516</v>
      </c>
      <c r="AV28" s="224">
        <v>13277516</v>
      </c>
      <c r="AW28" s="224">
        <v>13277516</v>
      </c>
      <c r="AX28" s="224">
        <v>13277516</v>
      </c>
      <c r="AY28" s="224">
        <v>13277516</v>
      </c>
      <c r="AZ28" s="224">
        <v>13277516</v>
      </c>
      <c r="BA28" s="224">
        <v>13277516</v>
      </c>
      <c r="BB28" s="224">
        <v>13277516</v>
      </c>
      <c r="BC28" s="224">
        <v>13277516</v>
      </c>
      <c r="BD28" s="224">
        <v>13277516</v>
      </c>
      <c r="BE28" s="224">
        <v>13277516</v>
      </c>
      <c r="BF28" s="224">
        <v>13277516</v>
      </c>
      <c r="BG28" s="224">
        <v>13277516</v>
      </c>
      <c r="BH28" s="224">
        <v>13277516</v>
      </c>
      <c r="BI28" s="224">
        <v>13277516</v>
      </c>
      <c r="BJ28" s="224">
        <v>13277516</v>
      </c>
      <c r="BK28" s="224">
        <v>13277516</v>
      </c>
      <c r="BL28" s="224">
        <v>13277516</v>
      </c>
      <c r="BM28" s="224">
        <v>13277516</v>
      </c>
      <c r="BN28" s="224">
        <v>13277516</v>
      </c>
      <c r="BO28" s="224">
        <v>13277516</v>
      </c>
    </row>
    <row r="29" spans="1:67" ht="14.25" customHeight="1">
      <c r="A29" s="223">
        <f t="shared" si="6"/>
        <v>6</v>
      </c>
      <c r="B29" s="228" t="s">
        <v>21</v>
      </c>
      <c r="C29" s="223">
        <v>27</v>
      </c>
      <c r="D29" s="224">
        <v>33722178</v>
      </c>
      <c r="E29" s="224">
        <v>33722178</v>
      </c>
      <c r="F29" s="224">
        <v>33722178</v>
      </c>
      <c r="G29" s="224">
        <v>33722178</v>
      </c>
      <c r="H29" s="224">
        <v>33722178</v>
      </c>
      <c r="I29" s="224">
        <v>33722178</v>
      </c>
      <c r="J29" s="224">
        <v>33722178</v>
      </c>
      <c r="K29" s="224">
        <v>33722178</v>
      </c>
      <c r="L29" s="224">
        <v>33722178</v>
      </c>
      <c r="M29" s="224">
        <v>33722178</v>
      </c>
      <c r="N29" s="224">
        <v>33722178</v>
      </c>
      <c r="O29" s="224">
        <v>33722178</v>
      </c>
      <c r="P29" s="224">
        <v>33722178</v>
      </c>
      <c r="Q29" s="224">
        <v>33722178</v>
      </c>
      <c r="R29" s="224">
        <v>33722178</v>
      </c>
      <c r="S29" s="224">
        <v>33722178</v>
      </c>
      <c r="T29" s="224">
        <v>33722178</v>
      </c>
      <c r="U29" s="224">
        <v>33722178</v>
      </c>
      <c r="V29" s="224">
        <v>33722178</v>
      </c>
      <c r="W29" s="224">
        <v>33722178</v>
      </c>
      <c r="X29" s="224">
        <v>33722178</v>
      </c>
      <c r="Y29" s="224">
        <v>33722178</v>
      </c>
      <c r="Z29" s="224">
        <v>33722178</v>
      </c>
      <c r="AA29" s="224">
        <v>33722178</v>
      </c>
      <c r="AB29" s="224">
        <v>33722178</v>
      </c>
      <c r="AC29" s="224">
        <v>33722178</v>
      </c>
      <c r="AD29" s="224">
        <v>33722178</v>
      </c>
      <c r="AE29" s="224">
        <v>33722178</v>
      </c>
      <c r="AF29" s="224">
        <v>33722178</v>
      </c>
      <c r="AG29" s="224">
        <v>33722178</v>
      </c>
      <c r="AH29" s="224">
        <v>33722178</v>
      </c>
      <c r="AI29" s="224">
        <v>33722178</v>
      </c>
      <c r="AJ29" s="224">
        <v>33722178</v>
      </c>
      <c r="AK29" s="224">
        <v>33722178</v>
      </c>
      <c r="AL29" s="224">
        <v>33722178</v>
      </c>
      <c r="AM29" s="224">
        <v>33722178</v>
      </c>
      <c r="AN29" s="224">
        <v>33722178</v>
      </c>
      <c r="AO29" s="224">
        <v>33722178</v>
      </c>
      <c r="AP29" s="224">
        <v>33722178</v>
      </c>
      <c r="AQ29" s="224">
        <v>33722178</v>
      </c>
      <c r="AR29" s="224">
        <v>33722178</v>
      </c>
      <c r="AS29" s="224">
        <v>33722178</v>
      </c>
      <c r="AT29" s="224">
        <v>33722178</v>
      </c>
      <c r="AU29" s="224">
        <v>33722178</v>
      </c>
      <c r="AV29" s="224">
        <v>33722178</v>
      </c>
      <c r="AW29" s="224">
        <v>33722178</v>
      </c>
      <c r="AX29" s="224">
        <v>33722178</v>
      </c>
      <c r="AY29" s="224">
        <v>33722178</v>
      </c>
      <c r="AZ29" s="224">
        <v>33722178</v>
      </c>
      <c r="BA29" s="224">
        <v>33722178</v>
      </c>
      <c r="BB29" s="224">
        <v>33722178</v>
      </c>
      <c r="BC29" s="224">
        <v>33722178</v>
      </c>
      <c r="BD29" s="224">
        <v>33722178</v>
      </c>
      <c r="BE29" s="224">
        <v>33722178</v>
      </c>
      <c r="BF29" s="224">
        <v>33722178</v>
      </c>
      <c r="BG29" s="224">
        <v>33722178</v>
      </c>
      <c r="BH29" s="224">
        <v>33722178</v>
      </c>
      <c r="BI29" s="224">
        <v>33722178</v>
      </c>
      <c r="BJ29" s="224">
        <v>33722178</v>
      </c>
      <c r="BK29" s="224">
        <v>33722178</v>
      </c>
      <c r="BL29" s="224">
        <v>33722178</v>
      </c>
      <c r="BM29" s="224">
        <v>33722178</v>
      </c>
      <c r="BN29" s="224">
        <v>33722178</v>
      </c>
      <c r="BO29" s="224">
        <v>33722178</v>
      </c>
    </row>
    <row r="30" spans="1:67">
      <c r="A30" s="223">
        <f t="shared" si="6"/>
        <v>7</v>
      </c>
      <c r="B30" s="151" t="s">
        <v>22</v>
      </c>
      <c r="C30" s="223">
        <v>28</v>
      </c>
      <c r="D30" s="224">
        <v>23561995</v>
      </c>
      <c r="E30" s="224">
        <v>23561995</v>
      </c>
      <c r="F30" s="224">
        <v>23561995</v>
      </c>
      <c r="G30" s="224">
        <v>23561995</v>
      </c>
      <c r="H30" s="224">
        <v>23561995</v>
      </c>
      <c r="I30" s="224">
        <v>23561995</v>
      </c>
      <c r="J30" s="224">
        <v>23561995</v>
      </c>
      <c r="K30" s="224">
        <v>23561995</v>
      </c>
      <c r="L30" s="224">
        <v>23561995</v>
      </c>
      <c r="M30" s="224">
        <v>23561995</v>
      </c>
      <c r="N30" s="224">
        <v>23561995</v>
      </c>
      <c r="O30" s="224">
        <v>23561995</v>
      </c>
      <c r="P30" s="224">
        <v>23561995</v>
      </c>
      <c r="Q30" s="224">
        <v>23561995</v>
      </c>
      <c r="R30" s="224">
        <v>23561995</v>
      </c>
      <c r="S30" s="224">
        <v>23561995</v>
      </c>
      <c r="T30" s="224">
        <v>23561995</v>
      </c>
      <c r="U30" s="224">
        <v>23561995</v>
      </c>
      <c r="V30" s="224">
        <v>23561995</v>
      </c>
      <c r="W30" s="224">
        <v>23561995</v>
      </c>
      <c r="X30" s="224">
        <v>23561995</v>
      </c>
      <c r="Y30" s="224">
        <v>23561995</v>
      </c>
      <c r="Z30" s="224">
        <v>23561995</v>
      </c>
      <c r="AA30" s="224">
        <v>23561995</v>
      </c>
      <c r="AB30" s="224">
        <v>23561995</v>
      </c>
      <c r="AC30" s="224">
        <v>23561995</v>
      </c>
      <c r="AD30" s="224">
        <v>23561995</v>
      </c>
      <c r="AE30" s="224">
        <v>23561995</v>
      </c>
      <c r="AF30" s="224">
        <v>23561995</v>
      </c>
      <c r="AG30" s="224">
        <v>23561995</v>
      </c>
      <c r="AH30" s="224">
        <v>23561995</v>
      </c>
      <c r="AI30" s="224">
        <v>23561995</v>
      </c>
      <c r="AJ30" s="224">
        <v>23561995</v>
      </c>
      <c r="AK30" s="224">
        <v>23561995</v>
      </c>
      <c r="AL30" s="224">
        <v>23561995</v>
      </c>
      <c r="AM30" s="224">
        <v>23561995</v>
      </c>
      <c r="AN30" s="224">
        <v>23561995</v>
      </c>
      <c r="AO30" s="224">
        <v>23561995</v>
      </c>
      <c r="AP30" s="224">
        <v>23561995</v>
      </c>
      <c r="AQ30" s="224">
        <v>23561995</v>
      </c>
      <c r="AR30" s="224">
        <v>23561995</v>
      </c>
      <c r="AS30" s="224">
        <v>23561995</v>
      </c>
      <c r="AT30" s="224">
        <v>23561995</v>
      </c>
      <c r="AU30" s="224">
        <v>23561995</v>
      </c>
      <c r="AV30" s="224">
        <v>23561995</v>
      </c>
      <c r="AW30" s="224">
        <v>23561995</v>
      </c>
      <c r="AX30" s="224">
        <v>23561995</v>
      </c>
      <c r="AY30" s="224">
        <v>23561995</v>
      </c>
      <c r="AZ30" s="224">
        <v>23561995</v>
      </c>
      <c r="BA30" s="224">
        <v>23561995</v>
      </c>
      <c r="BB30" s="224">
        <v>23561995</v>
      </c>
      <c r="BC30" s="224">
        <v>23561995</v>
      </c>
      <c r="BD30" s="224">
        <v>23561995</v>
      </c>
      <c r="BE30" s="224">
        <v>23561995</v>
      </c>
      <c r="BF30" s="224">
        <v>23561995</v>
      </c>
      <c r="BG30" s="224">
        <v>23561995</v>
      </c>
      <c r="BH30" s="224">
        <v>23561995</v>
      </c>
      <c r="BI30" s="224">
        <v>23561995</v>
      </c>
      <c r="BJ30" s="224">
        <v>23561995</v>
      </c>
      <c r="BK30" s="224">
        <v>23561995</v>
      </c>
      <c r="BL30" s="224">
        <v>23561995</v>
      </c>
      <c r="BM30" s="224">
        <v>23561995</v>
      </c>
      <c r="BN30" s="224">
        <v>23561995</v>
      </c>
      <c r="BO30" s="224">
        <v>23561995</v>
      </c>
    </row>
    <row r="31" spans="1:67">
      <c r="A31" s="223">
        <f t="shared" si="6"/>
        <v>8</v>
      </c>
      <c r="B31" s="151" t="s">
        <v>23</v>
      </c>
      <c r="C31" s="223">
        <v>29</v>
      </c>
      <c r="D31" s="224">
        <v>33722178</v>
      </c>
      <c r="E31" s="224">
        <v>33722178</v>
      </c>
      <c r="F31" s="224">
        <v>33722178</v>
      </c>
      <c r="G31" s="224">
        <v>33722178</v>
      </c>
      <c r="H31" s="224">
        <v>33722178</v>
      </c>
      <c r="I31" s="224">
        <v>33722178</v>
      </c>
      <c r="J31" s="224">
        <v>33722178</v>
      </c>
      <c r="K31" s="224">
        <v>33722178</v>
      </c>
      <c r="L31" s="224">
        <v>33722178</v>
      </c>
      <c r="M31" s="224">
        <v>33722178</v>
      </c>
      <c r="N31" s="224">
        <v>33722178</v>
      </c>
      <c r="O31" s="224">
        <v>33722178</v>
      </c>
      <c r="P31" s="224">
        <v>33722178</v>
      </c>
      <c r="Q31" s="224">
        <v>33722178</v>
      </c>
      <c r="R31" s="224">
        <v>33722178</v>
      </c>
      <c r="S31" s="224">
        <v>33722178</v>
      </c>
      <c r="T31" s="224">
        <v>33722178</v>
      </c>
      <c r="U31" s="224">
        <v>33722178</v>
      </c>
      <c r="V31" s="224">
        <v>33722178</v>
      </c>
      <c r="W31" s="224">
        <v>33722178</v>
      </c>
      <c r="X31" s="224">
        <v>33722178</v>
      </c>
      <c r="Y31" s="224">
        <v>33722178</v>
      </c>
      <c r="Z31" s="224">
        <v>33722178</v>
      </c>
      <c r="AA31" s="224">
        <v>33722178</v>
      </c>
      <c r="AB31" s="224">
        <v>33722178</v>
      </c>
      <c r="AC31" s="224">
        <v>33722178</v>
      </c>
      <c r="AD31" s="224">
        <v>33722178</v>
      </c>
      <c r="AE31" s="224">
        <v>33722178</v>
      </c>
      <c r="AF31" s="224">
        <v>33722178</v>
      </c>
      <c r="AG31" s="224">
        <v>33722178</v>
      </c>
      <c r="AH31" s="224">
        <v>33722178</v>
      </c>
      <c r="AI31" s="224">
        <v>33722178</v>
      </c>
      <c r="AJ31" s="224">
        <v>33722178</v>
      </c>
      <c r="AK31" s="224">
        <v>33722178</v>
      </c>
      <c r="AL31" s="224">
        <v>33722178</v>
      </c>
      <c r="AM31" s="224">
        <v>33722178</v>
      </c>
      <c r="AN31" s="224">
        <v>33722178</v>
      </c>
      <c r="AO31" s="224">
        <v>33722178</v>
      </c>
      <c r="AP31" s="224">
        <v>33722178</v>
      </c>
      <c r="AQ31" s="224">
        <v>33722178</v>
      </c>
      <c r="AR31" s="224">
        <v>33722178</v>
      </c>
      <c r="AS31" s="224">
        <v>33722178</v>
      </c>
      <c r="AT31" s="224">
        <v>33722178</v>
      </c>
      <c r="AU31" s="224">
        <v>33722178</v>
      </c>
      <c r="AV31" s="224">
        <v>33722178</v>
      </c>
      <c r="AW31" s="224">
        <v>33722178</v>
      </c>
      <c r="AX31" s="224">
        <v>33722178</v>
      </c>
      <c r="AY31" s="224">
        <v>33722178</v>
      </c>
      <c r="AZ31" s="224">
        <v>33722178</v>
      </c>
      <c r="BA31" s="224">
        <v>33722178</v>
      </c>
      <c r="BB31" s="224">
        <v>33722178</v>
      </c>
      <c r="BC31" s="224">
        <v>33722178</v>
      </c>
      <c r="BD31" s="224">
        <v>33722178</v>
      </c>
      <c r="BE31" s="224">
        <v>33722178</v>
      </c>
      <c r="BF31" s="224">
        <v>33722178</v>
      </c>
      <c r="BG31" s="224">
        <v>33722178</v>
      </c>
      <c r="BH31" s="224">
        <v>33722178</v>
      </c>
      <c r="BI31" s="224">
        <v>33722178</v>
      </c>
      <c r="BJ31" s="224">
        <v>33722178</v>
      </c>
      <c r="BK31" s="224">
        <v>33722178</v>
      </c>
      <c r="BL31" s="224">
        <v>33722178</v>
      </c>
      <c r="BM31" s="224">
        <v>33722178</v>
      </c>
      <c r="BN31" s="224">
        <v>33722178</v>
      </c>
      <c r="BO31" s="224">
        <v>33722178</v>
      </c>
    </row>
    <row r="32" spans="1:67">
      <c r="A32" s="229" t="s">
        <v>30</v>
      </c>
      <c r="B32" s="230" t="s">
        <v>150</v>
      </c>
      <c r="C32" s="223">
        <v>30</v>
      </c>
      <c r="D32" s="224"/>
      <c r="E32" s="224"/>
      <c r="F32" s="224"/>
      <c r="G32" s="224"/>
      <c r="H32" s="224"/>
      <c r="I32" s="224"/>
      <c r="J32" s="224"/>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4"/>
      <c r="AI32" s="224"/>
      <c r="AJ32" s="224"/>
      <c r="AK32" s="224"/>
      <c r="AL32" s="224"/>
      <c r="AM32" s="224"/>
      <c r="AN32" s="224"/>
      <c r="AO32" s="224"/>
      <c r="AP32" s="224"/>
      <c r="AQ32" s="224"/>
      <c r="AR32" s="224"/>
      <c r="AS32" s="224"/>
      <c r="AT32" s="224"/>
      <c r="AU32" s="224"/>
      <c r="AV32" s="224"/>
      <c r="AW32" s="224"/>
      <c r="AX32" s="224"/>
      <c r="AY32" s="224"/>
      <c r="AZ32" s="224"/>
      <c r="BA32" s="224"/>
      <c r="BB32" s="224"/>
      <c r="BC32" s="224"/>
      <c r="BD32" s="224"/>
      <c r="BE32" s="224"/>
      <c r="BF32" s="224"/>
      <c r="BG32" s="224"/>
      <c r="BH32" s="224"/>
      <c r="BI32" s="224"/>
      <c r="BJ32" s="224"/>
      <c r="BK32" s="224"/>
      <c r="BL32" s="224"/>
      <c r="BM32" s="224"/>
      <c r="BN32" s="224"/>
      <c r="BO32" s="224"/>
    </row>
    <row r="33" spans="1:67">
      <c r="A33" s="223">
        <v>1</v>
      </c>
      <c r="B33" s="151" t="s">
        <v>172</v>
      </c>
      <c r="C33" s="223">
        <v>31</v>
      </c>
      <c r="D33" s="224">
        <v>18487453</v>
      </c>
      <c r="E33" s="224">
        <v>18487453</v>
      </c>
      <c r="F33" s="224">
        <v>18487453</v>
      </c>
      <c r="G33" s="224">
        <v>18487453</v>
      </c>
      <c r="H33" s="224">
        <v>18487453</v>
      </c>
      <c r="I33" s="224">
        <v>18487453</v>
      </c>
      <c r="J33" s="224">
        <v>18487453</v>
      </c>
      <c r="K33" s="224">
        <v>18487453</v>
      </c>
      <c r="L33" s="224">
        <v>18487453</v>
      </c>
      <c r="M33" s="224">
        <v>18487453</v>
      </c>
      <c r="N33" s="224">
        <v>18487453</v>
      </c>
      <c r="O33" s="224">
        <v>18487453</v>
      </c>
      <c r="P33" s="224">
        <v>18487453</v>
      </c>
      <c r="Q33" s="224">
        <v>18487453</v>
      </c>
      <c r="R33" s="224">
        <v>18487453</v>
      </c>
      <c r="S33" s="224">
        <v>18487453</v>
      </c>
      <c r="T33" s="224">
        <v>18487453</v>
      </c>
      <c r="U33" s="224">
        <v>18487453</v>
      </c>
      <c r="V33" s="224">
        <v>18487453</v>
      </c>
      <c r="W33" s="224">
        <v>18487453</v>
      </c>
      <c r="X33" s="224">
        <v>18487453</v>
      </c>
      <c r="Y33" s="224">
        <v>18487453</v>
      </c>
      <c r="Z33" s="224">
        <v>18487453</v>
      </c>
      <c r="AA33" s="224">
        <v>18487453</v>
      </c>
      <c r="AB33" s="224">
        <v>18487453</v>
      </c>
      <c r="AC33" s="224">
        <v>18487453</v>
      </c>
      <c r="AD33" s="224">
        <v>18487453</v>
      </c>
      <c r="AE33" s="224">
        <v>18487453</v>
      </c>
      <c r="AF33" s="224">
        <v>18487453</v>
      </c>
      <c r="AG33" s="224">
        <v>18487453</v>
      </c>
      <c r="AH33" s="224">
        <v>18487453</v>
      </c>
      <c r="AI33" s="224">
        <v>18487453</v>
      </c>
      <c r="AJ33" s="224">
        <v>18487453</v>
      </c>
      <c r="AK33" s="224">
        <v>18487453</v>
      </c>
      <c r="AL33" s="224">
        <v>18487453</v>
      </c>
      <c r="AM33" s="224">
        <v>18487453</v>
      </c>
      <c r="AN33" s="224">
        <v>18487453</v>
      </c>
      <c r="AO33" s="224">
        <v>18487453</v>
      </c>
      <c r="AP33" s="224">
        <v>18487453</v>
      </c>
      <c r="AQ33" s="224">
        <v>18487453</v>
      </c>
      <c r="AR33" s="224">
        <v>18487453</v>
      </c>
      <c r="AS33" s="224">
        <v>18487453</v>
      </c>
      <c r="AT33" s="224">
        <v>18487453</v>
      </c>
      <c r="AU33" s="224">
        <v>18487453</v>
      </c>
      <c r="AV33" s="224">
        <v>18487453</v>
      </c>
      <c r="AW33" s="224">
        <v>18487453</v>
      </c>
      <c r="AX33" s="224">
        <v>18487453</v>
      </c>
      <c r="AY33" s="224">
        <v>18487453</v>
      </c>
      <c r="AZ33" s="224">
        <v>18487453</v>
      </c>
      <c r="BA33" s="224">
        <v>18487453</v>
      </c>
      <c r="BB33" s="224">
        <v>18487453</v>
      </c>
      <c r="BC33" s="224">
        <v>18487453</v>
      </c>
      <c r="BD33" s="224">
        <v>18487453</v>
      </c>
      <c r="BE33" s="224">
        <v>18487453</v>
      </c>
      <c r="BF33" s="224">
        <v>18487453</v>
      </c>
      <c r="BG33" s="224">
        <v>18487453</v>
      </c>
      <c r="BH33" s="224">
        <v>18487453</v>
      </c>
      <c r="BI33" s="224">
        <v>18487453</v>
      </c>
      <c r="BJ33" s="224">
        <v>18487453</v>
      </c>
      <c r="BK33" s="224">
        <v>18487453</v>
      </c>
      <c r="BL33" s="224">
        <v>18487453</v>
      </c>
      <c r="BM33" s="224">
        <v>18487453</v>
      </c>
      <c r="BN33" s="224">
        <v>18487453</v>
      </c>
      <c r="BO33" s="224">
        <v>18487453</v>
      </c>
    </row>
    <row r="34" spans="1:67" ht="15.75">
      <c r="A34" s="256"/>
      <c r="B34" s="151" t="s">
        <v>1749</v>
      </c>
      <c r="C34" s="223">
        <v>32</v>
      </c>
      <c r="D34" s="666">
        <v>77523396</v>
      </c>
      <c r="E34" s="666">
        <v>77523396</v>
      </c>
      <c r="F34" s="666">
        <v>77523396</v>
      </c>
      <c r="G34" s="666">
        <v>77523396</v>
      </c>
      <c r="H34" s="666">
        <v>77523396</v>
      </c>
      <c r="I34" s="666">
        <v>77523396</v>
      </c>
      <c r="J34" s="666">
        <v>77523396</v>
      </c>
      <c r="K34" s="666">
        <v>77523396</v>
      </c>
      <c r="L34" s="666">
        <v>77523396</v>
      </c>
      <c r="M34" s="666">
        <v>77523396</v>
      </c>
      <c r="N34" s="666">
        <v>77523396</v>
      </c>
      <c r="O34" s="666">
        <v>77523396</v>
      </c>
      <c r="P34" s="666">
        <v>77523396</v>
      </c>
      <c r="Q34" s="666">
        <v>77523396</v>
      </c>
      <c r="R34" s="666">
        <v>77523396</v>
      </c>
      <c r="S34" s="666">
        <v>77523396</v>
      </c>
      <c r="T34" s="666">
        <v>77523396</v>
      </c>
      <c r="U34" s="666">
        <v>77523396</v>
      </c>
      <c r="V34" s="666">
        <v>77523396</v>
      </c>
      <c r="W34" s="666">
        <v>77523396</v>
      </c>
      <c r="X34" s="666">
        <v>77523396</v>
      </c>
      <c r="Y34" s="666">
        <v>77523396</v>
      </c>
      <c r="Z34" s="666">
        <v>77523396</v>
      </c>
      <c r="AA34" s="666">
        <v>77523396</v>
      </c>
      <c r="AB34" s="666">
        <v>77523396</v>
      </c>
      <c r="AC34" s="666">
        <v>77523396</v>
      </c>
      <c r="AD34" s="666">
        <v>77523396</v>
      </c>
      <c r="AE34" s="666">
        <v>77523396</v>
      </c>
      <c r="AF34" s="666">
        <v>77523396</v>
      </c>
      <c r="AG34" s="666">
        <v>77523396</v>
      </c>
      <c r="AH34" s="666">
        <v>77523396</v>
      </c>
      <c r="AI34" s="666">
        <v>77523396</v>
      </c>
      <c r="AJ34" s="666">
        <v>77523396</v>
      </c>
      <c r="AK34" s="666">
        <v>77523396</v>
      </c>
      <c r="AL34" s="666">
        <v>77523396</v>
      </c>
      <c r="AM34" s="666">
        <v>77523396</v>
      </c>
      <c r="AN34" s="666">
        <v>77523396</v>
      </c>
      <c r="AO34" s="666">
        <v>77523396</v>
      </c>
      <c r="AP34" s="666">
        <v>77523396</v>
      </c>
      <c r="AQ34" s="666">
        <v>77523396</v>
      </c>
      <c r="AR34" s="666">
        <v>77523396</v>
      </c>
      <c r="AS34" s="666">
        <v>77523396</v>
      </c>
      <c r="AT34" s="666">
        <v>77523396</v>
      </c>
      <c r="AU34" s="666">
        <v>77523396</v>
      </c>
      <c r="AV34" s="666">
        <v>77523396</v>
      </c>
      <c r="AW34" s="666">
        <v>77523396</v>
      </c>
      <c r="AX34" s="666">
        <v>77523396</v>
      </c>
      <c r="AY34" s="666">
        <v>77523396</v>
      </c>
      <c r="AZ34" s="666">
        <v>77523396</v>
      </c>
      <c r="BA34" s="666">
        <v>77523396</v>
      </c>
      <c r="BB34" s="666">
        <v>77523396</v>
      </c>
      <c r="BC34" s="666">
        <v>77523396</v>
      </c>
      <c r="BD34" s="666">
        <v>77523396</v>
      </c>
      <c r="BE34" s="666">
        <v>77523396</v>
      </c>
      <c r="BF34" s="666">
        <v>77523396</v>
      </c>
      <c r="BG34" s="666">
        <v>77523396</v>
      </c>
      <c r="BH34" s="666">
        <v>77523396</v>
      </c>
      <c r="BI34" s="666">
        <v>77523396</v>
      </c>
      <c r="BJ34" s="666">
        <v>77523396</v>
      </c>
      <c r="BK34" s="666">
        <v>77523396</v>
      </c>
      <c r="BL34" s="666">
        <v>77523396</v>
      </c>
      <c r="BM34" s="666">
        <v>77523396</v>
      </c>
      <c r="BN34" s="666">
        <v>77523396</v>
      </c>
      <c r="BO34" s="666">
        <v>77523396</v>
      </c>
    </row>
    <row r="35" spans="1:67">
      <c r="A35" s="223">
        <f>A33+1</f>
        <v>2</v>
      </c>
      <c r="B35" s="151" t="s">
        <v>173</v>
      </c>
      <c r="C35" s="223">
        <v>33</v>
      </c>
      <c r="D35" s="224">
        <v>66401944</v>
      </c>
      <c r="E35" s="224">
        <v>66401944</v>
      </c>
      <c r="F35" s="224">
        <v>66401944</v>
      </c>
      <c r="G35" s="224">
        <v>66401944</v>
      </c>
      <c r="H35" s="224">
        <v>66401944</v>
      </c>
      <c r="I35" s="224">
        <v>66401944</v>
      </c>
      <c r="J35" s="224">
        <v>66401944</v>
      </c>
      <c r="K35" s="224">
        <v>66401944</v>
      </c>
      <c r="L35" s="224">
        <v>66401944</v>
      </c>
      <c r="M35" s="224">
        <v>66401944</v>
      </c>
      <c r="N35" s="224">
        <v>66401944</v>
      </c>
      <c r="O35" s="224">
        <v>66401944</v>
      </c>
      <c r="P35" s="224">
        <v>66401944</v>
      </c>
      <c r="Q35" s="224">
        <v>66401944</v>
      </c>
      <c r="R35" s="224">
        <v>66401944</v>
      </c>
      <c r="S35" s="224">
        <v>66401944</v>
      </c>
      <c r="T35" s="224">
        <v>66401944</v>
      </c>
      <c r="U35" s="224">
        <v>66401944</v>
      </c>
      <c r="V35" s="224">
        <v>66401944</v>
      </c>
      <c r="W35" s="224">
        <v>66401944</v>
      </c>
      <c r="X35" s="224">
        <v>66401944</v>
      </c>
      <c r="Y35" s="224">
        <v>66401944</v>
      </c>
      <c r="Z35" s="224">
        <v>66401944</v>
      </c>
      <c r="AA35" s="224">
        <v>66401944</v>
      </c>
      <c r="AB35" s="224">
        <v>66401944</v>
      </c>
      <c r="AC35" s="224">
        <v>66401944</v>
      </c>
      <c r="AD35" s="224">
        <v>66401944</v>
      </c>
      <c r="AE35" s="224">
        <v>66401944</v>
      </c>
      <c r="AF35" s="224">
        <v>66401944</v>
      </c>
      <c r="AG35" s="224">
        <v>66401944</v>
      </c>
      <c r="AH35" s="224">
        <v>66401944</v>
      </c>
      <c r="AI35" s="224">
        <v>66401944</v>
      </c>
      <c r="AJ35" s="224">
        <v>66401944</v>
      </c>
      <c r="AK35" s="224">
        <v>66401944</v>
      </c>
      <c r="AL35" s="224">
        <v>66401944</v>
      </c>
      <c r="AM35" s="224">
        <v>66401944</v>
      </c>
      <c r="AN35" s="224">
        <v>66401944</v>
      </c>
      <c r="AO35" s="224">
        <v>66401944</v>
      </c>
      <c r="AP35" s="224">
        <v>66401944</v>
      </c>
      <c r="AQ35" s="224">
        <v>66401944</v>
      </c>
      <c r="AR35" s="224">
        <v>66401944</v>
      </c>
      <c r="AS35" s="224">
        <v>66401944</v>
      </c>
      <c r="AT35" s="224">
        <v>66401944</v>
      </c>
      <c r="AU35" s="224">
        <v>66401944</v>
      </c>
      <c r="AV35" s="224">
        <v>66401944</v>
      </c>
      <c r="AW35" s="224">
        <v>66401944</v>
      </c>
      <c r="AX35" s="224">
        <v>66401944</v>
      </c>
      <c r="AY35" s="224">
        <v>66401944</v>
      </c>
      <c r="AZ35" s="224">
        <v>66401944</v>
      </c>
      <c r="BA35" s="224">
        <v>66401944</v>
      </c>
      <c r="BB35" s="224">
        <v>66401944</v>
      </c>
      <c r="BC35" s="224">
        <v>66401944</v>
      </c>
      <c r="BD35" s="224">
        <v>66401944</v>
      </c>
      <c r="BE35" s="224">
        <v>66401944</v>
      </c>
      <c r="BF35" s="224">
        <v>66401944</v>
      </c>
      <c r="BG35" s="224">
        <v>66401944</v>
      </c>
      <c r="BH35" s="224">
        <v>66401944</v>
      </c>
      <c r="BI35" s="224">
        <v>66401944</v>
      </c>
      <c r="BJ35" s="224">
        <v>66401944</v>
      </c>
      <c r="BK35" s="224">
        <v>66401944</v>
      </c>
      <c r="BL35" s="224">
        <v>66401944</v>
      </c>
      <c r="BM35" s="224">
        <v>66401944</v>
      </c>
      <c r="BN35" s="224">
        <v>66401944</v>
      </c>
      <c r="BO35" s="224">
        <v>66401944</v>
      </c>
    </row>
    <row r="36" spans="1:67">
      <c r="A36" s="223">
        <f t="shared" ref="A36:A43" si="7">A35+1</f>
        <v>3</v>
      </c>
      <c r="B36" s="151" t="s">
        <v>174</v>
      </c>
      <c r="C36" s="223">
        <v>34</v>
      </c>
      <c r="D36" s="224">
        <f>+D38*0.8</f>
        <v>50688424.800000004</v>
      </c>
      <c r="E36" s="224">
        <f t="shared" ref="E36:BO36" si="8">+E38*0.8</f>
        <v>50688424.800000004</v>
      </c>
      <c r="F36" s="224">
        <f t="shared" si="8"/>
        <v>50688424.800000004</v>
      </c>
      <c r="G36" s="224">
        <f t="shared" si="8"/>
        <v>50688424.800000004</v>
      </c>
      <c r="H36" s="224">
        <f t="shared" si="8"/>
        <v>50688424.800000004</v>
      </c>
      <c r="I36" s="224">
        <f t="shared" si="8"/>
        <v>50688424.800000004</v>
      </c>
      <c r="J36" s="224">
        <f t="shared" si="8"/>
        <v>50688424.800000004</v>
      </c>
      <c r="K36" s="224">
        <f t="shared" si="8"/>
        <v>50688424.800000004</v>
      </c>
      <c r="L36" s="224">
        <f t="shared" si="8"/>
        <v>50688424.800000004</v>
      </c>
      <c r="M36" s="224">
        <f t="shared" si="8"/>
        <v>50688424.800000004</v>
      </c>
      <c r="N36" s="224">
        <f t="shared" si="8"/>
        <v>50688424.800000004</v>
      </c>
      <c r="O36" s="224">
        <f t="shared" si="8"/>
        <v>50688424.800000004</v>
      </c>
      <c r="P36" s="224">
        <f t="shared" si="8"/>
        <v>50688424.800000004</v>
      </c>
      <c r="Q36" s="224">
        <f t="shared" si="8"/>
        <v>50688424.800000004</v>
      </c>
      <c r="R36" s="224">
        <f t="shared" si="8"/>
        <v>50688424.800000004</v>
      </c>
      <c r="S36" s="224">
        <f t="shared" si="8"/>
        <v>50688424.800000004</v>
      </c>
      <c r="T36" s="224">
        <f t="shared" si="8"/>
        <v>50688424.800000004</v>
      </c>
      <c r="U36" s="224">
        <f t="shared" si="8"/>
        <v>50688424.800000004</v>
      </c>
      <c r="V36" s="224">
        <f t="shared" si="8"/>
        <v>50688424.800000004</v>
      </c>
      <c r="W36" s="224">
        <f t="shared" si="8"/>
        <v>50688424.800000004</v>
      </c>
      <c r="X36" s="224">
        <f t="shared" si="8"/>
        <v>50688424.800000004</v>
      </c>
      <c r="Y36" s="224">
        <f t="shared" si="8"/>
        <v>50688424.800000004</v>
      </c>
      <c r="Z36" s="224">
        <f t="shared" si="8"/>
        <v>50688424.800000004</v>
      </c>
      <c r="AA36" s="224">
        <f t="shared" si="8"/>
        <v>50688424.800000004</v>
      </c>
      <c r="AB36" s="224">
        <f t="shared" si="8"/>
        <v>50688424.800000004</v>
      </c>
      <c r="AC36" s="224">
        <f t="shared" si="8"/>
        <v>50688424.800000004</v>
      </c>
      <c r="AD36" s="224">
        <f t="shared" si="8"/>
        <v>50688424.800000004</v>
      </c>
      <c r="AE36" s="224">
        <f t="shared" si="8"/>
        <v>50688424.800000004</v>
      </c>
      <c r="AF36" s="224">
        <f t="shared" si="8"/>
        <v>50688424.800000004</v>
      </c>
      <c r="AG36" s="224">
        <f t="shared" si="8"/>
        <v>50688424.800000004</v>
      </c>
      <c r="AH36" s="224">
        <f t="shared" si="8"/>
        <v>50688424.800000004</v>
      </c>
      <c r="AI36" s="224">
        <f t="shared" si="8"/>
        <v>50688424.800000004</v>
      </c>
      <c r="AJ36" s="224">
        <f t="shared" si="8"/>
        <v>50688424.800000004</v>
      </c>
      <c r="AK36" s="224">
        <f t="shared" si="8"/>
        <v>50688424.800000004</v>
      </c>
      <c r="AL36" s="224">
        <f t="shared" si="8"/>
        <v>50688424.800000004</v>
      </c>
      <c r="AM36" s="224">
        <f t="shared" si="8"/>
        <v>50688424.800000004</v>
      </c>
      <c r="AN36" s="224">
        <f t="shared" si="8"/>
        <v>50688424.800000004</v>
      </c>
      <c r="AO36" s="224">
        <f t="shared" si="8"/>
        <v>50688424.800000004</v>
      </c>
      <c r="AP36" s="224">
        <f t="shared" si="8"/>
        <v>50688424.800000004</v>
      </c>
      <c r="AQ36" s="224">
        <f t="shared" si="8"/>
        <v>50688424.800000004</v>
      </c>
      <c r="AR36" s="224">
        <f t="shared" si="8"/>
        <v>50688424.800000004</v>
      </c>
      <c r="AS36" s="224">
        <f t="shared" si="8"/>
        <v>50688424.800000004</v>
      </c>
      <c r="AT36" s="224">
        <f t="shared" si="8"/>
        <v>50688424.800000004</v>
      </c>
      <c r="AU36" s="224">
        <f t="shared" si="8"/>
        <v>50688424.800000004</v>
      </c>
      <c r="AV36" s="224">
        <f t="shared" si="8"/>
        <v>50688424.800000004</v>
      </c>
      <c r="AW36" s="224">
        <f t="shared" si="8"/>
        <v>50688424.800000004</v>
      </c>
      <c r="AX36" s="224">
        <f t="shared" si="8"/>
        <v>50688424.800000004</v>
      </c>
      <c r="AY36" s="224">
        <f t="shared" si="8"/>
        <v>50688424.800000004</v>
      </c>
      <c r="AZ36" s="224">
        <f t="shared" si="8"/>
        <v>50688424.800000004</v>
      </c>
      <c r="BA36" s="224">
        <f t="shared" si="8"/>
        <v>50688424.800000004</v>
      </c>
      <c r="BB36" s="224">
        <f t="shared" si="8"/>
        <v>50688424.800000004</v>
      </c>
      <c r="BC36" s="224">
        <f t="shared" si="8"/>
        <v>50688424.800000004</v>
      </c>
      <c r="BD36" s="224">
        <f t="shared" si="8"/>
        <v>50688424.800000004</v>
      </c>
      <c r="BE36" s="224">
        <f t="shared" si="8"/>
        <v>50688424.800000004</v>
      </c>
      <c r="BF36" s="224">
        <f t="shared" si="8"/>
        <v>50688424.800000004</v>
      </c>
      <c r="BG36" s="224">
        <f t="shared" si="8"/>
        <v>50688424.800000004</v>
      </c>
      <c r="BH36" s="224">
        <f t="shared" si="8"/>
        <v>50688424.800000004</v>
      </c>
      <c r="BI36" s="224">
        <f t="shared" si="8"/>
        <v>50688424.800000004</v>
      </c>
      <c r="BJ36" s="224">
        <f t="shared" si="8"/>
        <v>50688424.800000004</v>
      </c>
      <c r="BK36" s="224">
        <f t="shared" si="8"/>
        <v>50688424.800000004</v>
      </c>
      <c r="BL36" s="224">
        <f t="shared" si="8"/>
        <v>50688424.800000004</v>
      </c>
      <c r="BM36" s="224">
        <f t="shared" si="8"/>
        <v>50688424.800000004</v>
      </c>
      <c r="BN36" s="224">
        <f t="shared" si="8"/>
        <v>50688424.800000004</v>
      </c>
      <c r="BO36" s="224">
        <f t="shared" si="8"/>
        <v>50688424.800000004</v>
      </c>
    </row>
    <row r="37" spans="1:67">
      <c r="A37" s="223">
        <f t="shared" si="7"/>
        <v>4</v>
      </c>
      <c r="B37" s="151" t="s">
        <v>175</v>
      </c>
      <c r="C37" s="223">
        <v>35</v>
      </c>
      <c r="D37" s="224">
        <f>+D38*0.9</f>
        <v>57024477.899999999</v>
      </c>
      <c r="E37" s="224">
        <f t="shared" ref="E37:BO37" si="9">+E38*0.9</f>
        <v>57024477.899999999</v>
      </c>
      <c r="F37" s="224">
        <f t="shared" si="9"/>
        <v>57024477.899999999</v>
      </c>
      <c r="G37" s="224">
        <f t="shared" si="9"/>
        <v>57024477.899999999</v>
      </c>
      <c r="H37" s="224">
        <f t="shared" si="9"/>
        <v>57024477.899999999</v>
      </c>
      <c r="I37" s="224">
        <f t="shared" si="9"/>
        <v>57024477.899999999</v>
      </c>
      <c r="J37" s="224">
        <f t="shared" si="9"/>
        <v>57024477.899999999</v>
      </c>
      <c r="K37" s="224">
        <f t="shared" si="9"/>
        <v>57024477.899999999</v>
      </c>
      <c r="L37" s="224">
        <f t="shared" si="9"/>
        <v>57024477.899999999</v>
      </c>
      <c r="M37" s="224">
        <f t="shared" si="9"/>
        <v>57024477.899999999</v>
      </c>
      <c r="N37" s="224">
        <f t="shared" si="9"/>
        <v>57024477.899999999</v>
      </c>
      <c r="O37" s="224">
        <f t="shared" si="9"/>
        <v>57024477.899999999</v>
      </c>
      <c r="P37" s="224">
        <f t="shared" si="9"/>
        <v>57024477.899999999</v>
      </c>
      <c r="Q37" s="224">
        <f t="shared" si="9"/>
        <v>57024477.899999999</v>
      </c>
      <c r="R37" s="224">
        <f t="shared" si="9"/>
        <v>57024477.899999999</v>
      </c>
      <c r="S37" s="224">
        <f t="shared" si="9"/>
        <v>57024477.899999999</v>
      </c>
      <c r="T37" s="224">
        <f t="shared" si="9"/>
        <v>57024477.899999999</v>
      </c>
      <c r="U37" s="224">
        <f t="shared" si="9"/>
        <v>57024477.899999999</v>
      </c>
      <c r="V37" s="224">
        <f t="shared" si="9"/>
        <v>57024477.899999999</v>
      </c>
      <c r="W37" s="224">
        <f t="shared" si="9"/>
        <v>57024477.899999999</v>
      </c>
      <c r="X37" s="224">
        <f t="shared" si="9"/>
        <v>57024477.899999999</v>
      </c>
      <c r="Y37" s="224">
        <f t="shared" si="9"/>
        <v>57024477.899999999</v>
      </c>
      <c r="Z37" s="224">
        <f t="shared" si="9"/>
        <v>57024477.899999999</v>
      </c>
      <c r="AA37" s="224">
        <f t="shared" si="9"/>
        <v>57024477.899999999</v>
      </c>
      <c r="AB37" s="224">
        <f t="shared" si="9"/>
        <v>57024477.899999999</v>
      </c>
      <c r="AC37" s="224">
        <f t="shared" si="9"/>
        <v>57024477.899999999</v>
      </c>
      <c r="AD37" s="224">
        <f t="shared" si="9"/>
        <v>57024477.899999999</v>
      </c>
      <c r="AE37" s="224">
        <f t="shared" si="9"/>
        <v>57024477.899999999</v>
      </c>
      <c r="AF37" s="224">
        <f t="shared" si="9"/>
        <v>57024477.899999999</v>
      </c>
      <c r="AG37" s="224">
        <f t="shared" si="9"/>
        <v>57024477.899999999</v>
      </c>
      <c r="AH37" s="224">
        <f t="shared" si="9"/>
        <v>57024477.899999999</v>
      </c>
      <c r="AI37" s="224">
        <f t="shared" si="9"/>
        <v>57024477.899999999</v>
      </c>
      <c r="AJ37" s="224">
        <f t="shared" si="9"/>
        <v>57024477.899999999</v>
      </c>
      <c r="AK37" s="224">
        <f t="shared" si="9"/>
        <v>57024477.899999999</v>
      </c>
      <c r="AL37" s="224">
        <f t="shared" si="9"/>
        <v>57024477.899999999</v>
      </c>
      <c r="AM37" s="224">
        <f t="shared" si="9"/>
        <v>57024477.899999999</v>
      </c>
      <c r="AN37" s="224">
        <f t="shared" si="9"/>
        <v>57024477.899999999</v>
      </c>
      <c r="AO37" s="224">
        <f t="shared" si="9"/>
        <v>57024477.899999999</v>
      </c>
      <c r="AP37" s="224">
        <f t="shared" si="9"/>
        <v>57024477.899999999</v>
      </c>
      <c r="AQ37" s="224">
        <f t="shared" si="9"/>
        <v>57024477.899999999</v>
      </c>
      <c r="AR37" s="224">
        <f t="shared" si="9"/>
        <v>57024477.899999999</v>
      </c>
      <c r="AS37" s="224">
        <f t="shared" si="9"/>
        <v>57024477.899999999</v>
      </c>
      <c r="AT37" s="224">
        <f t="shared" si="9"/>
        <v>57024477.899999999</v>
      </c>
      <c r="AU37" s="224">
        <f t="shared" si="9"/>
        <v>57024477.899999999</v>
      </c>
      <c r="AV37" s="224">
        <f t="shared" si="9"/>
        <v>57024477.899999999</v>
      </c>
      <c r="AW37" s="224">
        <f t="shared" si="9"/>
        <v>57024477.899999999</v>
      </c>
      <c r="AX37" s="224">
        <f t="shared" si="9"/>
        <v>57024477.899999999</v>
      </c>
      <c r="AY37" s="224">
        <f t="shared" si="9"/>
        <v>57024477.899999999</v>
      </c>
      <c r="AZ37" s="224">
        <f t="shared" si="9"/>
        <v>57024477.899999999</v>
      </c>
      <c r="BA37" s="224">
        <f t="shared" si="9"/>
        <v>57024477.899999999</v>
      </c>
      <c r="BB37" s="224">
        <f t="shared" si="9"/>
        <v>57024477.899999999</v>
      </c>
      <c r="BC37" s="224">
        <f t="shared" si="9"/>
        <v>57024477.899999999</v>
      </c>
      <c r="BD37" s="224">
        <f t="shared" si="9"/>
        <v>57024477.899999999</v>
      </c>
      <c r="BE37" s="224">
        <f t="shared" si="9"/>
        <v>57024477.899999999</v>
      </c>
      <c r="BF37" s="224">
        <f t="shared" si="9"/>
        <v>57024477.899999999</v>
      </c>
      <c r="BG37" s="224">
        <f t="shared" si="9"/>
        <v>57024477.899999999</v>
      </c>
      <c r="BH37" s="224">
        <f t="shared" si="9"/>
        <v>57024477.899999999</v>
      </c>
      <c r="BI37" s="224">
        <f t="shared" si="9"/>
        <v>57024477.899999999</v>
      </c>
      <c r="BJ37" s="224">
        <f t="shared" si="9"/>
        <v>57024477.899999999</v>
      </c>
      <c r="BK37" s="224">
        <f t="shared" si="9"/>
        <v>57024477.899999999</v>
      </c>
      <c r="BL37" s="224">
        <f t="shared" si="9"/>
        <v>57024477.899999999</v>
      </c>
      <c r="BM37" s="224">
        <f t="shared" si="9"/>
        <v>57024477.899999999</v>
      </c>
      <c r="BN37" s="224">
        <f t="shared" si="9"/>
        <v>57024477.899999999</v>
      </c>
      <c r="BO37" s="224">
        <f t="shared" si="9"/>
        <v>57024477.899999999</v>
      </c>
    </row>
    <row r="38" spans="1:67">
      <c r="A38" s="223">
        <f t="shared" si="7"/>
        <v>5</v>
      </c>
      <c r="B38" s="151" t="s">
        <v>176</v>
      </c>
      <c r="C38" s="223">
        <v>36</v>
      </c>
      <c r="D38" s="224">
        <v>63360531</v>
      </c>
      <c r="E38" s="224">
        <v>63360531</v>
      </c>
      <c r="F38" s="224">
        <v>63360531</v>
      </c>
      <c r="G38" s="224">
        <v>63360531</v>
      </c>
      <c r="H38" s="224">
        <v>63360531</v>
      </c>
      <c r="I38" s="224">
        <v>63360531</v>
      </c>
      <c r="J38" s="224">
        <v>63360531</v>
      </c>
      <c r="K38" s="224">
        <v>63360531</v>
      </c>
      <c r="L38" s="224">
        <v>63360531</v>
      </c>
      <c r="M38" s="224">
        <v>63360531</v>
      </c>
      <c r="N38" s="224">
        <v>63360531</v>
      </c>
      <c r="O38" s="224">
        <v>63360531</v>
      </c>
      <c r="P38" s="224">
        <v>63360531</v>
      </c>
      <c r="Q38" s="224">
        <v>63360531</v>
      </c>
      <c r="R38" s="224">
        <v>63360531</v>
      </c>
      <c r="S38" s="224">
        <v>63360531</v>
      </c>
      <c r="T38" s="224">
        <v>63360531</v>
      </c>
      <c r="U38" s="224">
        <v>63360531</v>
      </c>
      <c r="V38" s="224">
        <v>63360531</v>
      </c>
      <c r="W38" s="224">
        <v>63360531</v>
      </c>
      <c r="X38" s="224">
        <v>63360531</v>
      </c>
      <c r="Y38" s="224">
        <v>63360531</v>
      </c>
      <c r="Z38" s="224">
        <v>63360531</v>
      </c>
      <c r="AA38" s="224">
        <v>63360531</v>
      </c>
      <c r="AB38" s="224">
        <v>63360531</v>
      </c>
      <c r="AC38" s="224">
        <v>63360531</v>
      </c>
      <c r="AD38" s="224">
        <v>63360531</v>
      </c>
      <c r="AE38" s="224">
        <v>63360531</v>
      </c>
      <c r="AF38" s="224">
        <v>63360531</v>
      </c>
      <c r="AG38" s="224">
        <v>63360531</v>
      </c>
      <c r="AH38" s="224">
        <v>63360531</v>
      </c>
      <c r="AI38" s="224">
        <v>63360531</v>
      </c>
      <c r="AJ38" s="224">
        <v>63360531</v>
      </c>
      <c r="AK38" s="224">
        <v>63360531</v>
      </c>
      <c r="AL38" s="224">
        <v>63360531</v>
      </c>
      <c r="AM38" s="224">
        <v>63360531</v>
      </c>
      <c r="AN38" s="224">
        <v>63360531</v>
      </c>
      <c r="AO38" s="224">
        <v>63360531</v>
      </c>
      <c r="AP38" s="224">
        <v>63360531</v>
      </c>
      <c r="AQ38" s="224">
        <v>63360531</v>
      </c>
      <c r="AR38" s="224">
        <v>63360531</v>
      </c>
      <c r="AS38" s="224">
        <v>63360531</v>
      </c>
      <c r="AT38" s="224">
        <v>63360531</v>
      </c>
      <c r="AU38" s="224">
        <v>63360531</v>
      </c>
      <c r="AV38" s="224">
        <v>63360531</v>
      </c>
      <c r="AW38" s="224">
        <v>63360531</v>
      </c>
      <c r="AX38" s="224">
        <v>63360531</v>
      </c>
      <c r="AY38" s="224">
        <v>63360531</v>
      </c>
      <c r="AZ38" s="224">
        <v>63360531</v>
      </c>
      <c r="BA38" s="224">
        <v>63360531</v>
      </c>
      <c r="BB38" s="224">
        <v>63360531</v>
      </c>
      <c r="BC38" s="224">
        <v>63360531</v>
      </c>
      <c r="BD38" s="224">
        <v>63360531</v>
      </c>
      <c r="BE38" s="224">
        <v>63360531</v>
      </c>
      <c r="BF38" s="224">
        <v>63360531</v>
      </c>
      <c r="BG38" s="224">
        <v>63360531</v>
      </c>
      <c r="BH38" s="224">
        <v>63360531</v>
      </c>
      <c r="BI38" s="224">
        <v>63360531</v>
      </c>
      <c r="BJ38" s="224">
        <v>63360531</v>
      </c>
      <c r="BK38" s="224">
        <v>63360531</v>
      </c>
      <c r="BL38" s="224">
        <v>63360531</v>
      </c>
      <c r="BM38" s="224">
        <v>63360531</v>
      </c>
      <c r="BN38" s="224">
        <v>63360531</v>
      </c>
      <c r="BO38" s="224">
        <v>63360531</v>
      </c>
    </row>
    <row r="39" spans="1:67">
      <c r="A39" s="223">
        <f t="shared" si="7"/>
        <v>6</v>
      </c>
      <c r="B39" s="151" t="s">
        <v>177</v>
      </c>
      <c r="C39" s="223">
        <v>37</v>
      </c>
      <c r="D39" s="224">
        <v>63360531</v>
      </c>
      <c r="E39" s="224">
        <v>63360531</v>
      </c>
      <c r="F39" s="224">
        <v>63360531</v>
      </c>
      <c r="G39" s="224">
        <v>63360531</v>
      </c>
      <c r="H39" s="224">
        <v>63360531</v>
      </c>
      <c r="I39" s="224">
        <v>63360531</v>
      </c>
      <c r="J39" s="224">
        <v>63360531</v>
      </c>
      <c r="K39" s="224">
        <v>63360531</v>
      </c>
      <c r="L39" s="224">
        <v>63360531</v>
      </c>
      <c r="M39" s="224">
        <v>63360531</v>
      </c>
      <c r="N39" s="224">
        <v>63360531</v>
      </c>
      <c r="O39" s="224">
        <v>63360531</v>
      </c>
      <c r="P39" s="224">
        <v>63360531</v>
      </c>
      <c r="Q39" s="224">
        <v>63360531</v>
      </c>
      <c r="R39" s="224">
        <v>63360531</v>
      </c>
      <c r="S39" s="224">
        <v>63360531</v>
      </c>
      <c r="T39" s="224">
        <v>63360531</v>
      </c>
      <c r="U39" s="224">
        <v>63360531</v>
      </c>
      <c r="V39" s="224">
        <v>63360531</v>
      </c>
      <c r="W39" s="224">
        <v>63360531</v>
      </c>
      <c r="X39" s="224">
        <v>63360531</v>
      </c>
      <c r="Y39" s="224">
        <v>63360531</v>
      </c>
      <c r="Z39" s="224">
        <v>63360531</v>
      </c>
      <c r="AA39" s="224">
        <v>63360531</v>
      </c>
      <c r="AB39" s="224">
        <v>63360531</v>
      </c>
      <c r="AC39" s="224">
        <v>63360531</v>
      </c>
      <c r="AD39" s="224">
        <v>63360531</v>
      </c>
      <c r="AE39" s="224">
        <v>63360531</v>
      </c>
      <c r="AF39" s="224">
        <v>63360531</v>
      </c>
      <c r="AG39" s="224">
        <v>63360531</v>
      </c>
      <c r="AH39" s="224">
        <v>63360531</v>
      </c>
      <c r="AI39" s="224">
        <v>63360531</v>
      </c>
      <c r="AJ39" s="224">
        <v>63360531</v>
      </c>
      <c r="AK39" s="224">
        <v>63360531</v>
      </c>
      <c r="AL39" s="224">
        <v>63360531</v>
      </c>
      <c r="AM39" s="224">
        <v>63360531</v>
      </c>
      <c r="AN39" s="224">
        <v>63360531</v>
      </c>
      <c r="AO39" s="224">
        <v>63360531</v>
      </c>
      <c r="AP39" s="224">
        <v>63360531</v>
      </c>
      <c r="AQ39" s="224">
        <v>63360531</v>
      </c>
      <c r="AR39" s="224">
        <v>63360531</v>
      </c>
      <c r="AS39" s="224">
        <v>63360531</v>
      </c>
      <c r="AT39" s="224">
        <v>63360531</v>
      </c>
      <c r="AU39" s="224">
        <v>63360531</v>
      </c>
      <c r="AV39" s="224">
        <v>63360531</v>
      </c>
      <c r="AW39" s="224">
        <v>63360531</v>
      </c>
      <c r="AX39" s="224">
        <v>63360531</v>
      </c>
      <c r="AY39" s="224">
        <v>63360531</v>
      </c>
      <c r="AZ39" s="224">
        <v>63360531</v>
      </c>
      <c r="BA39" s="224">
        <v>63360531</v>
      </c>
      <c r="BB39" s="224">
        <v>63360531</v>
      </c>
      <c r="BC39" s="224">
        <v>63360531</v>
      </c>
      <c r="BD39" s="224">
        <v>63360531</v>
      </c>
      <c r="BE39" s="224">
        <v>63360531</v>
      </c>
      <c r="BF39" s="224">
        <v>63360531</v>
      </c>
      <c r="BG39" s="224">
        <v>63360531</v>
      </c>
      <c r="BH39" s="224">
        <v>63360531</v>
      </c>
      <c r="BI39" s="224">
        <v>63360531</v>
      </c>
      <c r="BJ39" s="224">
        <v>63360531</v>
      </c>
      <c r="BK39" s="224">
        <v>63360531</v>
      </c>
      <c r="BL39" s="224">
        <v>63360531</v>
      </c>
      <c r="BM39" s="224">
        <v>63360531</v>
      </c>
      <c r="BN39" s="224">
        <v>63360531</v>
      </c>
      <c r="BO39" s="224">
        <v>63360531</v>
      </c>
    </row>
    <row r="40" spans="1:67">
      <c r="A40" s="223">
        <f t="shared" si="7"/>
        <v>7</v>
      </c>
      <c r="B40" s="151" t="s">
        <v>178</v>
      </c>
      <c r="C40" s="223">
        <v>38</v>
      </c>
      <c r="D40" s="224">
        <v>50688424.800000004</v>
      </c>
      <c r="E40" s="224">
        <v>50688424.800000004</v>
      </c>
      <c r="F40" s="224">
        <v>50688424.800000004</v>
      </c>
      <c r="G40" s="224">
        <v>50688424.800000004</v>
      </c>
      <c r="H40" s="224">
        <v>50688424.800000004</v>
      </c>
      <c r="I40" s="224">
        <v>50688424.800000004</v>
      </c>
      <c r="J40" s="224">
        <v>50688424.800000004</v>
      </c>
      <c r="K40" s="224">
        <v>50688424.800000004</v>
      </c>
      <c r="L40" s="224">
        <v>50688424.800000004</v>
      </c>
      <c r="M40" s="224">
        <v>50688424.800000004</v>
      </c>
      <c r="N40" s="224">
        <v>50688424.800000004</v>
      </c>
      <c r="O40" s="224">
        <v>50688424.800000004</v>
      </c>
      <c r="P40" s="224">
        <v>50688424.800000004</v>
      </c>
      <c r="Q40" s="224">
        <v>50688424.800000004</v>
      </c>
      <c r="R40" s="224">
        <v>50688424.800000004</v>
      </c>
      <c r="S40" s="224">
        <v>50688424.800000004</v>
      </c>
      <c r="T40" s="224">
        <v>50688424.800000004</v>
      </c>
      <c r="U40" s="224">
        <v>50688424.800000004</v>
      </c>
      <c r="V40" s="224">
        <v>50688424.800000004</v>
      </c>
      <c r="W40" s="224">
        <v>50688424.800000004</v>
      </c>
      <c r="X40" s="224">
        <v>50688424.800000004</v>
      </c>
      <c r="Y40" s="224">
        <v>50688424.800000004</v>
      </c>
      <c r="Z40" s="224">
        <v>50688424.800000004</v>
      </c>
      <c r="AA40" s="224">
        <v>50688424.800000004</v>
      </c>
      <c r="AB40" s="224">
        <v>50688424.800000004</v>
      </c>
      <c r="AC40" s="224">
        <v>50688424.800000004</v>
      </c>
      <c r="AD40" s="224">
        <v>50688424.800000004</v>
      </c>
      <c r="AE40" s="224">
        <v>50688424.800000004</v>
      </c>
      <c r="AF40" s="224">
        <v>50688424.800000004</v>
      </c>
      <c r="AG40" s="224">
        <v>50688424.800000004</v>
      </c>
      <c r="AH40" s="224">
        <v>50688424.800000004</v>
      </c>
      <c r="AI40" s="224">
        <v>50688424.800000004</v>
      </c>
      <c r="AJ40" s="224">
        <v>50688424.800000004</v>
      </c>
      <c r="AK40" s="224">
        <v>50688424.800000004</v>
      </c>
      <c r="AL40" s="224">
        <v>50688424.800000004</v>
      </c>
      <c r="AM40" s="224">
        <v>50688424.800000004</v>
      </c>
      <c r="AN40" s="224">
        <v>50688424.800000004</v>
      </c>
      <c r="AO40" s="224">
        <v>50688424.800000004</v>
      </c>
      <c r="AP40" s="224">
        <v>50688424.800000004</v>
      </c>
      <c r="AQ40" s="224">
        <v>50688424.800000004</v>
      </c>
      <c r="AR40" s="224">
        <v>50688424.800000004</v>
      </c>
      <c r="AS40" s="224">
        <v>50688424.800000004</v>
      </c>
      <c r="AT40" s="224">
        <v>50688424.800000004</v>
      </c>
      <c r="AU40" s="224">
        <v>50688424.800000004</v>
      </c>
      <c r="AV40" s="224">
        <v>50688424.800000004</v>
      </c>
      <c r="AW40" s="224">
        <v>50688424.800000004</v>
      </c>
      <c r="AX40" s="224">
        <v>50688424.800000004</v>
      </c>
      <c r="AY40" s="224">
        <v>50688424.800000004</v>
      </c>
      <c r="AZ40" s="224">
        <v>50688424.800000004</v>
      </c>
      <c r="BA40" s="224">
        <v>50688424.800000004</v>
      </c>
      <c r="BB40" s="224">
        <v>50688424.800000004</v>
      </c>
      <c r="BC40" s="224">
        <v>50688424.800000004</v>
      </c>
      <c r="BD40" s="224">
        <v>50688424.800000004</v>
      </c>
      <c r="BE40" s="224">
        <v>50688424.800000004</v>
      </c>
      <c r="BF40" s="224">
        <v>50688424.800000004</v>
      </c>
      <c r="BG40" s="224">
        <v>50688424.800000004</v>
      </c>
      <c r="BH40" s="224">
        <v>50688424.800000004</v>
      </c>
      <c r="BI40" s="224">
        <v>50688424.800000004</v>
      </c>
      <c r="BJ40" s="224">
        <v>50688424.800000004</v>
      </c>
      <c r="BK40" s="224">
        <v>50688424.800000004</v>
      </c>
      <c r="BL40" s="224">
        <v>50688424.800000004</v>
      </c>
      <c r="BM40" s="224">
        <v>50688424.800000004</v>
      </c>
      <c r="BN40" s="224">
        <v>50688424.800000004</v>
      </c>
      <c r="BO40" s="224">
        <v>50688424.800000004</v>
      </c>
    </row>
    <row r="41" spans="1:67">
      <c r="A41" s="223">
        <f t="shared" si="7"/>
        <v>8</v>
      </c>
      <c r="B41" s="151" t="s">
        <v>179</v>
      </c>
      <c r="C41" s="223">
        <v>39</v>
      </c>
      <c r="D41" s="224">
        <v>57024477.899999999</v>
      </c>
      <c r="E41" s="224">
        <v>57024477.899999999</v>
      </c>
      <c r="F41" s="224">
        <v>57024477.899999999</v>
      </c>
      <c r="G41" s="224">
        <v>57024477.899999999</v>
      </c>
      <c r="H41" s="224">
        <v>57024477.899999999</v>
      </c>
      <c r="I41" s="224">
        <v>57024477.899999999</v>
      </c>
      <c r="J41" s="224">
        <v>57024477.899999999</v>
      </c>
      <c r="K41" s="224">
        <v>57024477.899999999</v>
      </c>
      <c r="L41" s="224">
        <v>57024477.899999999</v>
      </c>
      <c r="M41" s="224">
        <v>57024477.899999999</v>
      </c>
      <c r="N41" s="224">
        <v>57024477.899999999</v>
      </c>
      <c r="O41" s="224">
        <v>57024477.899999999</v>
      </c>
      <c r="P41" s="224">
        <v>57024477.899999999</v>
      </c>
      <c r="Q41" s="224">
        <v>57024477.899999999</v>
      </c>
      <c r="R41" s="224">
        <v>57024477.899999999</v>
      </c>
      <c r="S41" s="224">
        <v>57024477.899999999</v>
      </c>
      <c r="T41" s="224">
        <v>57024477.899999999</v>
      </c>
      <c r="U41" s="224">
        <v>57024477.899999999</v>
      </c>
      <c r="V41" s="224">
        <v>57024477.899999999</v>
      </c>
      <c r="W41" s="224">
        <v>57024477.899999999</v>
      </c>
      <c r="X41" s="224">
        <v>57024477.899999999</v>
      </c>
      <c r="Y41" s="224">
        <v>57024477.899999999</v>
      </c>
      <c r="Z41" s="224">
        <v>57024477.899999999</v>
      </c>
      <c r="AA41" s="224">
        <v>57024477.899999999</v>
      </c>
      <c r="AB41" s="224">
        <v>57024477.899999999</v>
      </c>
      <c r="AC41" s="224">
        <v>57024477.899999999</v>
      </c>
      <c r="AD41" s="224">
        <v>57024477.899999999</v>
      </c>
      <c r="AE41" s="224">
        <v>57024477.899999999</v>
      </c>
      <c r="AF41" s="224">
        <v>57024477.899999999</v>
      </c>
      <c r="AG41" s="224">
        <v>57024477.899999999</v>
      </c>
      <c r="AH41" s="224">
        <v>57024477.899999999</v>
      </c>
      <c r="AI41" s="224">
        <v>57024477.899999999</v>
      </c>
      <c r="AJ41" s="224">
        <v>57024477.899999999</v>
      </c>
      <c r="AK41" s="224">
        <v>57024477.899999999</v>
      </c>
      <c r="AL41" s="224">
        <v>57024477.899999999</v>
      </c>
      <c r="AM41" s="224">
        <v>57024477.899999999</v>
      </c>
      <c r="AN41" s="224">
        <v>57024477.899999999</v>
      </c>
      <c r="AO41" s="224">
        <v>57024477.899999999</v>
      </c>
      <c r="AP41" s="224">
        <v>57024477.899999999</v>
      </c>
      <c r="AQ41" s="224">
        <v>57024477.899999999</v>
      </c>
      <c r="AR41" s="224">
        <v>57024477.899999999</v>
      </c>
      <c r="AS41" s="224">
        <v>57024477.899999999</v>
      </c>
      <c r="AT41" s="224">
        <v>57024477.899999999</v>
      </c>
      <c r="AU41" s="224">
        <v>57024477.899999999</v>
      </c>
      <c r="AV41" s="224">
        <v>57024477.899999999</v>
      </c>
      <c r="AW41" s="224">
        <v>57024477.899999999</v>
      </c>
      <c r="AX41" s="224">
        <v>57024477.899999999</v>
      </c>
      <c r="AY41" s="224">
        <v>57024477.899999999</v>
      </c>
      <c r="AZ41" s="224">
        <v>57024477.899999999</v>
      </c>
      <c r="BA41" s="224">
        <v>57024477.899999999</v>
      </c>
      <c r="BB41" s="224">
        <v>57024477.899999999</v>
      </c>
      <c r="BC41" s="224">
        <v>57024477.899999999</v>
      </c>
      <c r="BD41" s="224">
        <v>57024477.899999999</v>
      </c>
      <c r="BE41" s="224">
        <v>57024477.899999999</v>
      </c>
      <c r="BF41" s="224">
        <v>57024477.899999999</v>
      </c>
      <c r="BG41" s="224">
        <v>57024477.899999999</v>
      </c>
      <c r="BH41" s="224">
        <v>57024477.899999999</v>
      </c>
      <c r="BI41" s="224">
        <v>57024477.899999999</v>
      </c>
      <c r="BJ41" s="224">
        <v>57024477.899999999</v>
      </c>
      <c r="BK41" s="224">
        <v>57024477.899999999</v>
      </c>
      <c r="BL41" s="224">
        <v>57024477.899999999</v>
      </c>
      <c r="BM41" s="224">
        <v>57024477.899999999</v>
      </c>
      <c r="BN41" s="224">
        <v>57024477.899999999</v>
      </c>
      <c r="BO41" s="224">
        <v>57024477.899999999</v>
      </c>
    </row>
    <row r="42" spans="1:67">
      <c r="A42" s="223">
        <f t="shared" si="7"/>
        <v>9</v>
      </c>
      <c r="B42" s="151" t="s">
        <v>180</v>
      </c>
      <c r="C42" s="223">
        <v>40</v>
      </c>
      <c r="D42" s="224">
        <v>50688424.800000004</v>
      </c>
      <c r="E42" s="224">
        <v>50688424.800000004</v>
      </c>
      <c r="F42" s="224">
        <v>50688424.800000004</v>
      </c>
      <c r="G42" s="224">
        <v>50688424.800000004</v>
      </c>
      <c r="H42" s="224">
        <v>50688424.800000004</v>
      </c>
      <c r="I42" s="224">
        <v>50688424.800000004</v>
      </c>
      <c r="J42" s="224">
        <v>50688424.800000004</v>
      </c>
      <c r="K42" s="224">
        <v>50688424.800000004</v>
      </c>
      <c r="L42" s="224">
        <v>50688424.800000004</v>
      </c>
      <c r="M42" s="224">
        <v>50688424.800000004</v>
      </c>
      <c r="N42" s="224">
        <v>50688424.800000004</v>
      </c>
      <c r="O42" s="224">
        <v>50688424.800000004</v>
      </c>
      <c r="P42" s="224">
        <v>50688424.800000004</v>
      </c>
      <c r="Q42" s="224">
        <v>50688424.800000004</v>
      </c>
      <c r="R42" s="224">
        <v>50688424.800000004</v>
      </c>
      <c r="S42" s="224">
        <v>50688424.800000004</v>
      </c>
      <c r="T42" s="224">
        <v>50688424.800000004</v>
      </c>
      <c r="U42" s="224">
        <v>50688424.800000004</v>
      </c>
      <c r="V42" s="224">
        <v>50688424.800000004</v>
      </c>
      <c r="W42" s="224">
        <v>50688424.800000004</v>
      </c>
      <c r="X42" s="224">
        <v>50688424.800000004</v>
      </c>
      <c r="Y42" s="224">
        <v>50688424.800000004</v>
      </c>
      <c r="Z42" s="224">
        <v>50688424.800000004</v>
      </c>
      <c r="AA42" s="224">
        <v>50688424.800000004</v>
      </c>
      <c r="AB42" s="224">
        <v>50688424.800000004</v>
      </c>
      <c r="AC42" s="224">
        <v>50688424.800000004</v>
      </c>
      <c r="AD42" s="224">
        <v>50688424.800000004</v>
      </c>
      <c r="AE42" s="224">
        <v>50688424.800000004</v>
      </c>
      <c r="AF42" s="224">
        <v>50688424.800000004</v>
      </c>
      <c r="AG42" s="224">
        <v>50688424.800000004</v>
      </c>
      <c r="AH42" s="224">
        <v>50688424.800000004</v>
      </c>
      <c r="AI42" s="224">
        <v>50688424.800000004</v>
      </c>
      <c r="AJ42" s="224">
        <v>50688424.800000004</v>
      </c>
      <c r="AK42" s="224">
        <v>50688424.800000004</v>
      </c>
      <c r="AL42" s="224">
        <v>50688424.800000004</v>
      </c>
      <c r="AM42" s="224">
        <v>50688424.800000004</v>
      </c>
      <c r="AN42" s="224">
        <v>50688424.800000004</v>
      </c>
      <c r="AO42" s="224">
        <v>50688424.800000004</v>
      </c>
      <c r="AP42" s="224">
        <v>50688424.800000004</v>
      </c>
      <c r="AQ42" s="224">
        <v>50688424.800000004</v>
      </c>
      <c r="AR42" s="224">
        <v>50688424.800000004</v>
      </c>
      <c r="AS42" s="224">
        <v>50688424.800000004</v>
      </c>
      <c r="AT42" s="224">
        <v>50688424.800000004</v>
      </c>
      <c r="AU42" s="224">
        <v>50688424.800000004</v>
      </c>
      <c r="AV42" s="224">
        <v>50688424.800000004</v>
      </c>
      <c r="AW42" s="224">
        <v>50688424.800000004</v>
      </c>
      <c r="AX42" s="224">
        <v>50688424.800000004</v>
      </c>
      <c r="AY42" s="224">
        <v>50688424.800000004</v>
      </c>
      <c r="AZ42" s="224">
        <v>50688424.800000004</v>
      </c>
      <c r="BA42" s="224">
        <v>50688424.800000004</v>
      </c>
      <c r="BB42" s="224">
        <v>50688424.800000004</v>
      </c>
      <c r="BC42" s="224">
        <v>50688424.800000004</v>
      </c>
      <c r="BD42" s="224">
        <v>50688424.800000004</v>
      </c>
      <c r="BE42" s="224">
        <v>50688424.800000004</v>
      </c>
      <c r="BF42" s="224">
        <v>50688424.800000004</v>
      </c>
      <c r="BG42" s="224">
        <v>50688424.800000004</v>
      </c>
      <c r="BH42" s="224">
        <v>50688424.800000004</v>
      </c>
      <c r="BI42" s="224">
        <v>50688424.800000004</v>
      </c>
      <c r="BJ42" s="224">
        <v>50688424.800000004</v>
      </c>
      <c r="BK42" s="224">
        <v>50688424.800000004</v>
      </c>
      <c r="BL42" s="224">
        <v>50688424.800000004</v>
      </c>
      <c r="BM42" s="224">
        <v>50688424.800000004</v>
      </c>
      <c r="BN42" s="224">
        <v>50688424.800000004</v>
      </c>
      <c r="BO42" s="224">
        <v>50688424.800000004</v>
      </c>
    </row>
    <row r="43" spans="1:67">
      <c r="A43" s="223">
        <f t="shared" si="7"/>
        <v>10</v>
      </c>
      <c r="B43" s="151" t="s">
        <v>181</v>
      </c>
      <c r="C43" s="223">
        <v>41</v>
      </c>
      <c r="D43" s="224">
        <v>57024477.899999999</v>
      </c>
      <c r="E43" s="224">
        <v>57024477.899999999</v>
      </c>
      <c r="F43" s="224">
        <v>57024477.899999999</v>
      </c>
      <c r="G43" s="224">
        <v>57024477.899999999</v>
      </c>
      <c r="H43" s="224">
        <v>57024477.899999999</v>
      </c>
      <c r="I43" s="224">
        <v>57024477.899999999</v>
      </c>
      <c r="J43" s="224">
        <v>57024477.899999999</v>
      </c>
      <c r="K43" s="224">
        <v>57024477.899999999</v>
      </c>
      <c r="L43" s="224">
        <v>57024477.899999999</v>
      </c>
      <c r="M43" s="224">
        <v>57024477.899999999</v>
      </c>
      <c r="N43" s="224">
        <v>57024477.899999999</v>
      </c>
      <c r="O43" s="224">
        <v>57024477.899999999</v>
      </c>
      <c r="P43" s="224">
        <v>57024477.899999999</v>
      </c>
      <c r="Q43" s="224">
        <v>57024477.899999999</v>
      </c>
      <c r="R43" s="224">
        <v>57024477.899999999</v>
      </c>
      <c r="S43" s="224">
        <v>57024477.899999999</v>
      </c>
      <c r="T43" s="224">
        <v>57024477.899999999</v>
      </c>
      <c r="U43" s="224">
        <v>57024477.899999999</v>
      </c>
      <c r="V43" s="224">
        <v>57024477.899999999</v>
      </c>
      <c r="W43" s="224">
        <v>57024477.899999999</v>
      </c>
      <c r="X43" s="224">
        <v>57024477.899999999</v>
      </c>
      <c r="Y43" s="224">
        <v>57024477.899999999</v>
      </c>
      <c r="Z43" s="224">
        <v>57024477.899999999</v>
      </c>
      <c r="AA43" s="224">
        <v>57024477.899999999</v>
      </c>
      <c r="AB43" s="224">
        <v>57024477.899999999</v>
      </c>
      <c r="AC43" s="224">
        <v>57024477.899999999</v>
      </c>
      <c r="AD43" s="224">
        <v>57024477.899999999</v>
      </c>
      <c r="AE43" s="224">
        <v>57024477.899999999</v>
      </c>
      <c r="AF43" s="224">
        <v>57024477.899999999</v>
      </c>
      <c r="AG43" s="224">
        <v>57024477.899999999</v>
      </c>
      <c r="AH43" s="224">
        <v>57024477.899999999</v>
      </c>
      <c r="AI43" s="224">
        <v>57024477.899999999</v>
      </c>
      <c r="AJ43" s="224">
        <v>57024477.899999999</v>
      </c>
      <c r="AK43" s="224">
        <v>57024477.899999999</v>
      </c>
      <c r="AL43" s="224">
        <v>57024477.899999999</v>
      </c>
      <c r="AM43" s="224">
        <v>57024477.899999999</v>
      </c>
      <c r="AN43" s="224">
        <v>57024477.899999999</v>
      </c>
      <c r="AO43" s="224">
        <v>57024477.899999999</v>
      </c>
      <c r="AP43" s="224">
        <v>57024477.899999999</v>
      </c>
      <c r="AQ43" s="224">
        <v>57024477.899999999</v>
      </c>
      <c r="AR43" s="224">
        <v>57024477.899999999</v>
      </c>
      <c r="AS43" s="224">
        <v>57024477.899999999</v>
      </c>
      <c r="AT43" s="224">
        <v>57024477.899999999</v>
      </c>
      <c r="AU43" s="224">
        <v>57024477.899999999</v>
      </c>
      <c r="AV43" s="224">
        <v>57024477.899999999</v>
      </c>
      <c r="AW43" s="224">
        <v>57024477.899999999</v>
      </c>
      <c r="AX43" s="224">
        <v>57024477.899999999</v>
      </c>
      <c r="AY43" s="224">
        <v>57024477.899999999</v>
      </c>
      <c r="AZ43" s="224">
        <v>57024477.899999999</v>
      </c>
      <c r="BA43" s="224">
        <v>57024477.899999999</v>
      </c>
      <c r="BB43" s="224">
        <v>57024477.899999999</v>
      </c>
      <c r="BC43" s="224">
        <v>57024477.899999999</v>
      </c>
      <c r="BD43" s="224">
        <v>57024477.899999999</v>
      </c>
      <c r="BE43" s="224">
        <v>57024477.899999999</v>
      </c>
      <c r="BF43" s="224">
        <v>57024477.899999999</v>
      </c>
      <c r="BG43" s="224">
        <v>57024477.899999999</v>
      </c>
      <c r="BH43" s="224">
        <v>57024477.899999999</v>
      </c>
      <c r="BI43" s="224">
        <v>57024477.899999999</v>
      </c>
      <c r="BJ43" s="224">
        <v>57024477.899999999</v>
      </c>
      <c r="BK43" s="224">
        <v>57024477.899999999</v>
      </c>
      <c r="BL43" s="224">
        <v>57024477.899999999</v>
      </c>
      <c r="BM43" s="224">
        <v>57024477.899999999</v>
      </c>
      <c r="BN43" s="224">
        <v>57024477.899999999</v>
      </c>
      <c r="BO43" s="224">
        <v>57024477.899999999</v>
      </c>
    </row>
    <row r="44" spans="1:67">
      <c r="A44" s="223" t="s">
        <v>31</v>
      </c>
      <c r="B44" s="230" t="s">
        <v>194</v>
      </c>
      <c r="C44" s="223">
        <v>42</v>
      </c>
      <c r="D44" s="224"/>
      <c r="E44" s="225">
        <f t="shared" ref="E44:J47" si="10">D44</f>
        <v>0</v>
      </c>
      <c r="F44" s="225">
        <f t="shared" si="10"/>
        <v>0</v>
      </c>
      <c r="G44" s="225">
        <f t="shared" si="10"/>
        <v>0</v>
      </c>
      <c r="H44" s="225">
        <f t="shared" si="10"/>
        <v>0</v>
      </c>
      <c r="I44" s="225">
        <f t="shared" si="10"/>
        <v>0</v>
      </c>
      <c r="J44" s="225">
        <f t="shared" si="10"/>
        <v>0</v>
      </c>
      <c r="K44" s="237"/>
      <c r="L44" s="237">
        <f t="shared" ref="L44:S49" si="11">K44</f>
        <v>0</v>
      </c>
      <c r="M44" s="237">
        <f t="shared" si="11"/>
        <v>0</v>
      </c>
      <c r="N44" s="237">
        <f t="shared" si="11"/>
        <v>0</v>
      </c>
      <c r="O44" s="237">
        <f t="shared" si="11"/>
        <v>0</v>
      </c>
      <c r="P44" s="237">
        <f t="shared" si="11"/>
        <v>0</v>
      </c>
      <c r="Q44" s="237">
        <f t="shared" si="11"/>
        <v>0</v>
      </c>
      <c r="R44" s="237">
        <f t="shared" si="11"/>
        <v>0</v>
      </c>
      <c r="S44" s="237">
        <f t="shared" si="11"/>
        <v>0</v>
      </c>
      <c r="T44" s="224"/>
      <c r="U44" s="224">
        <f t="shared" ref="U44:W50" si="12">T44</f>
        <v>0</v>
      </c>
      <c r="V44" s="224">
        <f t="shared" si="12"/>
        <v>0</v>
      </c>
      <c r="W44" s="224">
        <f t="shared" si="12"/>
        <v>0</v>
      </c>
      <c r="X44" s="226"/>
      <c r="Y44" s="226">
        <f t="shared" ref="Y44:Z49" si="13">X44</f>
        <v>0</v>
      </c>
      <c r="Z44" s="226">
        <f t="shared" si="13"/>
        <v>0</v>
      </c>
      <c r="AA44" s="224"/>
      <c r="AB44" s="224"/>
      <c r="AC44" s="224"/>
      <c r="AD44" s="224">
        <f t="shared" ref="AD44:AD66" si="14">AC44</f>
        <v>0</v>
      </c>
      <c r="AE44" s="226"/>
      <c r="AF44" s="224"/>
      <c r="AG44" s="224">
        <f t="shared" ref="AG44:AG66" si="15">AF44</f>
        <v>0</v>
      </c>
      <c r="AH44" s="226"/>
      <c r="AI44" s="226">
        <f t="shared" ref="AI44:AM49" si="16">AH44</f>
        <v>0</v>
      </c>
      <c r="AJ44" s="226">
        <f t="shared" si="16"/>
        <v>0</v>
      </c>
      <c r="AK44" s="226">
        <f t="shared" si="16"/>
        <v>0</v>
      </c>
      <c r="AL44" s="226">
        <f t="shared" si="16"/>
        <v>0</v>
      </c>
      <c r="AM44" s="226">
        <f t="shared" si="16"/>
        <v>0</v>
      </c>
      <c r="AN44" s="235"/>
      <c r="AO44" s="235">
        <f t="shared" ref="AO44:AV49" si="17">AN44</f>
        <v>0</v>
      </c>
      <c r="AP44" s="235">
        <f t="shared" si="17"/>
        <v>0</v>
      </c>
      <c r="AQ44" s="236">
        <f t="shared" si="17"/>
        <v>0</v>
      </c>
      <c r="AR44" s="236">
        <f t="shared" si="17"/>
        <v>0</v>
      </c>
      <c r="AS44" s="236">
        <f t="shared" si="17"/>
        <v>0</v>
      </c>
      <c r="AT44" s="236">
        <f t="shared" si="17"/>
        <v>0</v>
      </c>
      <c r="AU44" s="236">
        <f t="shared" si="17"/>
        <v>0</v>
      </c>
      <c r="AV44" s="236">
        <f t="shared" si="17"/>
        <v>0</v>
      </c>
      <c r="AW44" s="226"/>
      <c r="AX44" s="226">
        <f t="shared" ref="AX44:BB50" si="18">AW44</f>
        <v>0</v>
      </c>
      <c r="AY44" s="226">
        <f t="shared" si="18"/>
        <v>0</v>
      </c>
      <c r="AZ44" s="226">
        <f t="shared" si="18"/>
        <v>0</v>
      </c>
      <c r="BA44" s="226">
        <f t="shared" si="18"/>
        <v>0</v>
      </c>
      <c r="BB44" s="226">
        <f t="shared" si="18"/>
        <v>0</v>
      </c>
      <c r="BC44" s="224"/>
      <c r="BD44" s="224">
        <f t="shared" ref="BD44:BO50" si="19">BC44</f>
        <v>0</v>
      </c>
      <c r="BE44" s="224">
        <f t="shared" si="19"/>
        <v>0</v>
      </c>
      <c r="BF44" s="224">
        <f t="shared" si="19"/>
        <v>0</v>
      </c>
      <c r="BG44" s="224">
        <f t="shared" si="19"/>
        <v>0</v>
      </c>
      <c r="BH44" s="224">
        <f t="shared" si="19"/>
        <v>0</v>
      </c>
      <c r="BI44" s="224">
        <f t="shared" si="19"/>
        <v>0</v>
      </c>
      <c r="BJ44" s="224">
        <f t="shared" si="19"/>
        <v>0</v>
      </c>
      <c r="BK44" s="224">
        <f t="shared" si="19"/>
        <v>0</v>
      </c>
      <c r="BL44" s="224">
        <f t="shared" si="19"/>
        <v>0</v>
      </c>
      <c r="BM44" s="224">
        <f t="shared" si="19"/>
        <v>0</v>
      </c>
      <c r="BN44" s="224">
        <f t="shared" si="19"/>
        <v>0</v>
      </c>
      <c r="BO44" s="224">
        <f t="shared" si="19"/>
        <v>0</v>
      </c>
    </row>
    <row r="45" spans="1:67">
      <c r="A45" s="223">
        <v>1</v>
      </c>
      <c r="B45" s="151" t="s">
        <v>195</v>
      </c>
      <c r="C45" s="223">
        <v>43</v>
      </c>
      <c r="D45" s="224">
        <v>522837.73241257615</v>
      </c>
      <c r="E45" s="225">
        <f t="shared" si="10"/>
        <v>522837.73241257615</v>
      </c>
      <c r="F45" s="225">
        <f t="shared" si="10"/>
        <v>522837.73241257615</v>
      </c>
      <c r="G45" s="225">
        <f t="shared" si="10"/>
        <v>522837.73241257615</v>
      </c>
      <c r="H45" s="225">
        <f t="shared" si="10"/>
        <v>522837.73241257615</v>
      </c>
      <c r="I45" s="225">
        <f t="shared" si="10"/>
        <v>522837.73241257615</v>
      </c>
      <c r="J45" s="225">
        <f t="shared" si="10"/>
        <v>522837.73241257615</v>
      </c>
      <c r="K45" s="226">
        <v>522837.73241257615</v>
      </c>
      <c r="L45" s="237">
        <f t="shared" si="11"/>
        <v>522837.73241257615</v>
      </c>
      <c r="M45" s="237">
        <f t="shared" si="11"/>
        <v>522837.73241257615</v>
      </c>
      <c r="N45" s="237">
        <f t="shared" si="11"/>
        <v>522837.73241257615</v>
      </c>
      <c r="O45" s="237">
        <f t="shared" si="11"/>
        <v>522837.73241257615</v>
      </c>
      <c r="P45" s="237">
        <f t="shared" si="11"/>
        <v>522837.73241257615</v>
      </c>
      <c r="Q45" s="237">
        <f t="shared" si="11"/>
        <v>522837.73241257615</v>
      </c>
      <c r="R45" s="237">
        <f t="shared" si="11"/>
        <v>522837.73241257615</v>
      </c>
      <c r="S45" s="237">
        <f t="shared" si="11"/>
        <v>522837.73241257615</v>
      </c>
      <c r="T45" s="224">
        <v>522837.73241257615</v>
      </c>
      <c r="U45" s="224">
        <f t="shared" si="12"/>
        <v>522837.73241257615</v>
      </c>
      <c r="V45" s="224">
        <f t="shared" si="12"/>
        <v>522837.73241257615</v>
      </c>
      <c r="W45" s="224">
        <f t="shared" si="12"/>
        <v>522837.73241257615</v>
      </c>
      <c r="X45" s="226">
        <v>522837.73241257615</v>
      </c>
      <c r="Y45" s="226">
        <f t="shared" si="13"/>
        <v>522837.73241257615</v>
      </c>
      <c r="Z45" s="226">
        <f t="shared" si="13"/>
        <v>522837.73241257615</v>
      </c>
      <c r="AA45" s="224">
        <v>522837.73241257615</v>
      </c>
      <c r="AB45" s="224">
        <v>522837.73241257615</v>
      </c>
      <c r="AC45" s="224">
        <v>522837.73241257615</v>
      </c>
      <c r="AD45" s="224">
        <f t="shared" si="14"/>
        <v>522837.73241257615</v>
      </c>
      <c r="AE45" s="224">
        <v>522837.73241257615</v>
      </c>
      <c r="AF45" s="224">
        <v>522837.73241257615</v>
      </c>
      <c r="AG45" s="224">
        <f t="shared" si="15"/>
        <v>522837.73241257615</v>
      </c>
      <c r="AH45" s="226">
        <v>522837.73241257615</v>
      </c>
      <c r="AI45" s="226">
        <f t="shared" si="16"/>
        <v>522837.73241257615</v>
      </c>
      <c r="AJ45" s="226">
        <f t="shared" si="16"/>
        <v>522837.73241257615</v>
      </c>
      <c r="AK45" s="226">
        <f t="shared" si="16"/>
        <v>522837.73241257615</v>
      </c>
      <c r="AL45" s="226">
        <f t="shared" si="16"/>
        <v>522837.73241257615</v>
      </c>
      <c r="AM45" s="226">
        <f t="shared" si="16"/>
        <v>522837.73241257615</v>
      </c>
      <c r="AN45" s="235">
        <v>522837.73241257615</v>
      </c>
      <c r="AO45" s="235">
        <f t="shared" si="17"/>
        <v>522837.73241257615</v>
      </c>
      <c r="AP45" s="235">
        <f t="shared" si="17"/>
        <v>522837.73241257615</v>
      </c>
      <c r="AQ45" s="236">
        <f t="shared" si="17"/>
        <v>522837.73241257615</v>
      </c>
      <c r="AR45" s="236">
        <f t="shared" si="17"/>
        <v>522837.73241257615</v>
      </c>
      <c r="AS45" s="236">
        <f t="shared" si="17"/>
        <v>522837.73241257615</v>
      </c>
      <c r="AT45" s="236">
        <f t="shared" si="17"/>
        <v>522837.73241257615</v>
      </c>
      <c r="AU45" s="236">
        <f t="shared" si="17"/>
        <v>522837.73241257615</v>
      </c>
      <c r="AV45" s="236">
        <f t="shared" si="17"/>
        <v>522837.73241257615</v>
      </c>
      <c r="AW45" s="226">
        <v>522837.73241257615</v>
      </c>
      <c r="AX45" s="226">
        <f t="shared" si="18"/>
        <v>522837.73241257615</v>
      </c>
      <c r="AY45" s="226">
        <f t="shared" si="18"/>
        <v>522837.73241257615</v>
      </c>
      <c r="AZ45" s="226">
        <f t="shared" si="18"/>
        <v>522837.73241257615</v>
      </c>
      <c r="BA45" s="226">
        <f t="shared" si="18"/>
        <v>522837.73241257615</v>
      </c>
      <c r="BB45" s="226">
        <f t="shared" si="18"/>
        <v>522837.73241257615</v>
      </c>
      <c r="BC45" s="224">
        <v>522837.73241257615</v>
      </c>
      <c r="BD45" s="224">
        <f t="shared" si="19"/>
        <v>522837.73241257615</v>
      </c>
      <c r="BE45" s="224">
        <f t="shared" si="19"/>
        <v>522837.73241257615</v>
      </c>
      <c r="BF45" s="224">
        <f t="shared" si="19"/>
        <v>522837.73241257615</v>
      </c>
      <c r="BG45" s="224">
        <f t="shared" si="19"/>
        <v>522837.73241257615</v>
      </c>
      <c r="BH45" s="224">
        <f t="shared" si="19"/>
        <v>522837.73241257615</v>
      </c>
      <c r="BI45" s="224">
        <f t="shared" si="19"/>
        <v>522837.73241257615</v>
      </c>
      <c r="BJ45" s="224">
        <f t="shared" si="19"/>
        <v>522837.73241257615</v>
      </c>
      <c r="BK45" s="224">
        <f t="shared" si="19"/>
        <v>522837.73241257615</v>
      </c>
      <c r="BL45" s="224">
        <f t="shared" si="19"/>
        <v>522837.73241257615</v>
      </c>
      <c r="BM45" s="224">
        <f t="shared" si="19"/>
        <v>522837.73241257615</v>
      </c>
      <c r="BN45" s="224">
        <f t="shared" si="19"/>
        <v>522837.73241257615</v>
      </c>
      <c r="BO45" s="224">
        <f t="shared" si="19"/>
        <v>522837.73241257615</v>
      </c>
    </row>
    <row r="46" spans="1:67">
      <c r="A46" s="223">
        <f>A45+1</f>
        <v>2</v>
      </c>
      <c r="B46" s="151" t="s">
        <v>196</v>
      </c>
      <c r="C46" s="223">
        <v>44</v>
      </c>
      <c r="D46" s="224">
        <v>522837.73241257615</v>
      </c>
      <c r="E46" s="225">
        <f t="shared" si="10"/>
        <v>522837.73241257615</v>
      </c>
      <c r="F46" s="225">
        <f t="shared" si="10"/>
        <v>522837.73241257615</v>
      </c>
      <c r="G46" s="225">
        <f t="shared" si="10"/>
        <v>522837.73241257615</v>
      </c>
      <c r="H46" s="225">
        <f t="shared" si="10"/>
        <v>522837.73241257615</v>
      </c>
      <c r="I46" s="225">
        <f t="shared" si="10"/>
        <v>522837.73241257615</v>
      </c>
      <c r="J46" s="225">
        <f t="shared" si="10"/>
        <v>522837.73241257615</v>
      </c>
      <c r="K46" s="226">
        <v>522837.73241257615</v>
      </c>
      <c r="L46" s="237">
        <f t="shared" si="11"/>
        <v>522837.73241257615</v>
      </c>
      <c r="M46" s="237">
        <f t="shared" si="11"/>
        <v>522837.73241257615</v>
      </c>
      <c r="N46" s="237">
        <f t="shared" si="11"/>
        <v>522837.73241257615</v>
      </c>
      <c r="O46" s="237">
        <f t="shared" si="11"/>
        <v>522837.73241257615</v>
      </c>
      <c r="P46" s="237">
        <f t="shared" si="11"/>
        <v>522837.73241257615</v>
      </c>
      <c r="Q46" s="237">
        <f t="shared" si="11"/>
        <v>522837.73241257615</v>
      </c>
      <c r="R46" s="237">
        <f t="shared" si="11"/>
        <v>522837.73241257615</v>
      </c>
      <c r="S46" s="237">
        <f t="shared" si="11"/>
        <v>522837.73241257615</v>
      </c>
      <c r="T46" s="224">
        <v>522837.73241257615</v>
      </c>
      <c r="U46" s="224">
        <f t="shared" si="12"/>
        <v>522837.73241257615</v>
      </c>
      <c r="V46" s="224">
        <f t="shared" si="12"/>
        <v>522837.73241257615</v>
      </c>
      <c r="W46" s="224">
        <f t="shared" si="12"/>
        <v>522837.73241257615</v>
      </c>
      <c r="X46" s="226">
        <v>522837.73241257615</v>
      </c>
      <c r="Y46" s="226">
        <f t="shared" si="13"/>
        <v>522837.73241257615</v>
      </c>
      <c r="Z46" s="226">
        <f t="shared" si="13"/>
        <v>522837.73241257615</v>
      </c>
      <c r="AA46" s="224">
        <v>522837.73241257615</v>
      </c>
      <c r="AB46" s="224">
        <v>522837.73241257615</v>
      </c>
      <c r="AC46" s="224">
        <v>522837.73241257615</v>
      </c>
      <c r="AD46" s="224">
        <f t="shared" si="14"/>
        <v>522837.73241257615</v>
      </c>
      <c r="AE46" s="224">
        <v>522837.73241257615</v>
      </c>
      <c r="AF46" s="224">
        <v>522837.73241257615</v>
      </c>
      <c r="AG46" s="224">
        <f t="shared" si="15"/>
        <v>522837.73241257615</v>
      </c>
      <c r="AH46" s="226">
        <v>522837.73241257615</v>
      </c>
      <c r="AI46" s="226">
        <f t="shared" si="16"/>
        <v>522837.73241257615</v>
      </c>
      <c r="AJ46" s="226">
        <f t="shared" si="16"/>
        <v>522837.73241257615</v>
      </c>
      <c r="AK46" s="226">
        <f t="shared" si="16"/>
        <v>522837.73241257615</v>
      </c>
      <c r="AL46" s="226">
        <f t="shared" si="16"/>
        <v>522837.73241257615</v>
      </c>
      <c r="AM46" s="226">
        <f t="shared" si="16"/>
        <v>522837.73241257615</v>
      </c>
      <c r="AN46" s="235">
        <v>522837.73241257615</v>
      </c>
      <c r="AO46" s="235">
        <f t="shared" si="17"/>
        <v>522837.73241257615</v>
      </c>
      <c r="AP46" s="235">
        <f t="shared" si="17"/>
        <v>522837.73241257615</v>
      </c>
      <c r="AQ46" s="236">
        <f t="shared" si="17"/>
        <v>522837.73241257615</v>
      </c>
      <c r="AR46" s="236">
        <f t="shared" si="17"/>
        <v>522837.73241257615</v>
      </c>
      <c r="AS46" s="236">
        <f t="shared" si="17"/>
        <v>522837.73241257615</v>
      </c>
      <c r="AT46" s="236">
        <f t="shared" si="17"/>
        <v>522837.73241257615</v>
      </c>
      <c r="AU46" s="236">
        <f t="shared" si="17"/>
        <v>522837.73241257615</v>
      </c>
      <c r="AV46" s="236">
        <f t="shared" si="17"/>
        <v>522837.73241257615</v>
      </c>
      <c r="AW46" s="226">
        <v>522837.73241257615</v>
      </c>
      <c r="AX46" s="226">
        <f t="shared" si="18"/>
        <v>522837.73241257615</v>
      </c>
      <c r="AY46" s="226">
        <f t="shared" si="18"/>
        <v>522837.73241257615</v>
      </c>
      <c r="AZ46" s="226">
        <f t="shared" si="18"/>
        <v>522837.73241257615</v>
      </c>
      <c r="BA46" s="226">
        <f t="shared" si="18"/>
        <v>522837.73241257615</v>
      </c>
      <c r="BB46" s="226">
        <f t="shared" si="18"/>
        <v>522837.73241257615</v>
      </c>
      <c r="BC46" s="224">
        <v>522837.73241257615</v>
      </c>
      <c r="BD46" s="224">
        <f t="shared" si="19"/>
        <v>522837.73241257615</v>
      </c>
      <c r="BE46" s="224">
        <f t="shared" si="19"/>
        <v>522837.73241257615</v>
      </c>
      <c r="BF46" s="224">
        <f t="shared" si="19"/>
        <v>522837.73241257615</v>
      </c>
      <c r="BG46" s="224">
        <f t="shared" si="19"/>
        <v>522837.73241257615</v>
      </c>
      <c r="BH46" s="224">
        <f t="shared" si="19"/>
        <v>522837.73241257615</v>
      </c>
      <c r="BI46" s="224">
        <f t="shared" si="19"/>
        <v>522837.73241257615</v>
      </c>
      <c r="BJ46" s="224">
        <f t="shared" si="19"/>
        <v>522837.73241257615</v>
      </c>
      <c r="BK46" s="224">
        <f t="shared" si="19"/>
        <v>522837.73241257615</v>
      </c>
      <c r="BL46" s="224">
        <f t="shared" si="19"/>
        <v>522837.73241257615</v>
      </c>
      <c r="BM46" s="224">
        <f t="shared" si="19"/>
        <v>522837.73241257615</v>
      </c>
      <c r="BN46" s="224">
        <f t="shared" si="19"/>
        <v>522837.73241257615</v>
      </c>
      <c r="BO46" s="224">
        <f t="shared" si="19"/>
        <v>522837.73241257615</v>
      </c>
    </row>
    <row r="47" spans="1:67">
      <c r="A47" s="223">
        <f t="shared" ref="A47:A52" si="20">A46+1</f>
        <v>3</v>
      </c>
      <c r="B47" s="151" t="s">
        <v>197</v>
      </c>
      <c r="C47" s="223">
        <v>45</v>
      </c>
      <c r="D47" s="224">
        <v>522837.73241257615</v>
      </c>
      <c r="E47" s="225">
        <f t="shared" si="10"/>
        <v>522837.73241257615</v>
      </c>
      <c r="F47" s="225">
        <f t="shared" si="10"/>
        <v>522837.73241257615</v>
      </c>
      <c r="G47" s="225">
        <f t="shared" si="10"/>
        <v>522837.73241257615</v>
      </c>
      <c r="H47" s="225">
        <f t="shared" si="10"/>
        <v>522837.73241257615</v>
      </c>
      <c r="I47" s="225">
        <f t="shared" si="10"/>
        <v>522837.73241257615</v>
      </c>
      <c r="J47" s="225">
        <f t="shared" si="10"/>
        <v>522837.73241257615</v>
      </c>
      <c r="K47" s="226">
        <v>522837.73241257615</v>
      </c>
      <c r="L47" s="237">
        <f t="shared" si="11"/>
        <v>522837.73241257615</v>
      </c>
      <c r="M47" s="237">
        <f t="shared" si="11"/>
        <v>522837.73241257615</v>
      </c>
      <c r="N47" s="237">
        <f t="shared" si="11"/>
        <v>522837.73241257615</v>
      </c>
      <c r="O47" s="237">
        <f t="shared" si="11"/>
        <v>522837.73241257615</v>
      </c>
      <c r="P47" s="237">
        <f t="shared" si="11"/>
        <v>522837.73241257615</v>
      </c>
      <c r="Q47" s="237">
        <f t="shared" si="11"/>
        <v>522837.73241257615</v>
      </c>
      <c r="R47" s="237">
        <f t="shared" si="11"/>
        <v>522837.73241257615</v>
      </c>
      <c r="S47" s="237">
        <f t="shared" si="11"/>
        <v>522837.73241257615</v>
      </c>
      <c r="T47" s="224">
        <v>522837.73241257615</v>
      </c>
      <c r="U47" s="224">
        <f t="shared" si="12"/>
        <v>522837.73241257615</v>
      </c>
      <c r="V47" s="224">
        <f t="shared" si="12"/>
        <v>522837.73241257615</v>
      </c>
      <c r="W47" s="224">
        <f t="shared" si="12"/>
        <v>522837.73241257615</v>
      </c>
      <c r="X47" s="226">
        <v>522837.73241257615</v>
      </c>
      <c r="Y47" s="226">
        <f t="shared" si="13"/>
        <v>522837.73241257615</v>
      </c>
      <c r="Z47" s="226">
        <f t="shared" si="13"/>
        <v>522837.73241257615</v>
      </c>
      <c r="AA47" s="224">
        <v>522837.73241257615</v>
      </c>
      <c r="AB47" s="224">
        <v>522837.73241257615</v>
      </c>
      <c r="AC47" s="224">
        <v>522837.73241257615</v>
      </c>
      <c r="AD47" s="224">
        <f t="shared" si="14"/>
        <v>522837.73241257615</v>
      </c>
      <c r="AE47" s="224">
        <v>522837.73241257615</v>
      </c>
      <c r="AF47" s="224">
        <v>522837.73241257615</v>
      </c>
      <c r="AG47" s="224">
        <f t="shared" si="15"/>
        <v>522837.73241257615</v>
      </c>
      <c r="AH47" s="226">
        <v>522837.73241257615</v>
      </c>
      <c r="AI47" s="226">
        <f t="shared" si="16"/>
        <v>522837.73241257615</v>
      </c>
      <c r="AJ47" s="226">
        <f t="shared" si="16"/>
        <v>522837.73241257615</v>
      </c>
      <c r="AK47" s="226">
        <f t="shared" si="16"/>
        <v>522837.73241257615</v>
      </c>
      <c r="AL47" s="226">
        <f t="shared" si="16"/>
        <v>522837.73241257615</v>
      </c>
      <c r="AM47" s="226">
        <f t="shared" si="16"/>
        <v>522837.73241257615</v>
      </c>
      <c r="AN47" s="235">
        <v>522837.73241257615</v>
      </c>
      <c r="AO47" s="235">
        <f t="shared" si="17"/>
        <v>522837.73241257615</v>
      </c>
      <c r="AP47" s="235">
        <f t="shared" si="17"/>
        <v>522837.73241257615</v>
      </c>
      <c r="AQ47" s="236">
        <f t="shared" si="17"/>
        <v>522837.73241257615</v>
      </c>
      <c r="AR47" s="236">
        <f t="shared" si="17"/>
        <v>522837.73241257615</v>
      </c>
      <c r="AS47" s="236">
        <f t="shared" si="17"/>
        <v>522837.73241257615</v>
      </c>
      <c r="AT47" s="236">
        <f t="shared" si="17"/>
        <v>522837.73241257615</v>
      </c>
      <c r="AU47" s="236">
        <f t="shared" si="17"/>
        <v>522837.73241257615</v>
      </c>
      <c r="AV47" s="236">
        <f t="shared" si="17"/>
        <v>522837.73241257615</v>
      </c>
      <c r="AW47" s="226">
        <v>522837.73241257615</v>
      </c>
      <c r="AX47" s="226">
        <f t="shared" si="18"/>
        <v>522837.73241257615</v>
      </c>
      <c r="AY47" s="226">
        <f t="shared" si="18"/>
        <v>522837.73241257615</v>
      </c>
      <c r="AZ47" s="226">
        <f t="shared" si="18"/>
        <v>522837.73241257615</v>
      </c>
      <c r="BA47" s="226">
        <f t="shared" si="18"/>
        <v>522837.73241257615</v>
      </c>
      <c r="BB47" s="226">
        <f t="shared" si="18"/>
        <v>522837.73241257615</v>
      </c>
      <c r="BC47" s="224">
        <v>522837.73241257615</v>
      </c>
      <c r="BD47" s="224">
        <f t="shared" si="19"/>
        <v>522837.73241257615</v>
      </c>
      <c r="BE47" s="224">
        <f t="shared" si="19"/>
        <v>522837.73241257615</v>
      </c>
      <c r="BF47" s="224">
        <f t="shared" si="19"/>
        <v>522837.73241257615</v>
      </c>
      <c r="BG47" s="224">
        <f t="shared" si="19"/>
        <v>522837.73241257615</v>
      </c>
      <c r="BH47" s="224">
        <f t="shared" si="19"/>
        <v>522837.73241257615</v>
      </c>
      <c r="BI47" s="224">
        <f t="shared" si="19"/>
        <v>522837.73241257615</v>
      </c>
      <c r="BJ47" s="224">
        <f t="shared" si="19"/>
        <v>522837.73241257615</v>
      </c>
      <c r="BK47" s="224">
        <f t="shared" si="19"/>
        <v>522837.73241257615</v>
      </c>
      <c r="BL47" s="224">
        <f t="shared" si="19"/>
        <v>522837.73241257615</v>
      </c>
      <c r="BM47" s="224">
        <f t="shared" si="19"/>
        <v>522837.73241257615</v>
      </c>
      <c r="BN47" s="224">
        <f t="shared" si="19"/>
        <v>522837.73241257615</v>
      </c>
      <c r="BO47" s="224">
        <f t="shared" si="19"/>
        <v>522837.73241257615</v>
      </c>
    </row>
    <row r="48" spans="1:67">
      <c r="A48" s="223">
        <f t="shared" si="20"/>
        <v>4</v>
      </c>
      <c r="B48" s="151" t="s">
        <v>198</v>
      </c>
      <c r="C48" s="223">
        <v>46</v>
      </c>
      <c r="D48" s="224">
        <v>522837.73241257615</v>
      </c>
      <c r="E48" s="225">
        <f t="shared" ref="E48:J66" si="21">D48</f>
        <v>522837.73241257615</v>
      </c>
      <c r="F48" s="225">
        <f t="shared" si="21"/>
        <v>522837.73241257615</v>
      </c>
      <c r="G48" s="225">
        <f t="shared" si="21"/>
        <v>522837.73241257615</v>
      </c>
      <c r="H48" s="225">
        <f t="shared" si="21"/>
        <v>522837.73241257615</v>
      </c>
      <c r="I48" s="225">
        <f t="shared" si="21"/>
        <v>522837.73241257615</v>
      </c>
      <c r="J48" s="225">
        <f t="shared" si="21"/>
        <v>522837.73241257615</v>
      </c>
      <c r="K48" s="226">
        <v>522837.73241257615</v>
      </c>
      <c r="L48" s="237">
        <f t="shared" si="11"/>
        <v>522837.73241257615</v>
      </c>
      <c r="M48" s="237">
        <f t="shared" si="11"/>
        <v>522837.73241257615</v>
      </c>
      <c r="N48" s="237">
        <f t="shared" si="11"/>
        <v>522837.73241257615</v>
      </c>
      <c r="O48" s="237">
        <f t="shared" si="11"/>
        <v>522837.73241257615</v>
      </c>
      <c r="P48" s="237">
        <f t="shared" si="11"/>
        <v>522837.73241257615</v>
      </c>
      <c r="Q48" s="237">
        <f t="shared" si="11"/>
        <v>522837.73241257615</v>
      </c>
      <c r="R48" s="237">
        <f t="shared" si="11"/>
        <v>522837.73241257615</v>
      </c>
      <c r="S48" s="237">
        <f t="shared" si="11"/>
        <v>522837.73241257615</v>
      </c>
      <c r="T48" s="224">
        <v>522837.73241257615</v>
      </c>
      <c r="U48" s="224">
        <f t="shared" si="12"/>
        <v>522837.73241257615</v>
      </c>
      <c r="V48" s="224">
        <f t="shared" si="12"/>
        <v>522837.73241257615</v>
      </c>
      <c r="W48" s="224">
        <f t="shared" si="12"/>
        <v>522837.73241257615</v>
      </c>
      <c r="X48" s="226">
        <v>522837.73241257615</v>
      </c>
      <c r="Y48" s="226">
        <f t="shared" si="13"/>
        <v>522837.73241257615</v>
      </c>
      <c r="Z48" s="226">
        <f t="shared" si="13"/>
        <v>522837.73241257615</v>
      </c>
      <c r="AA48" s="224">
        <v>522837.73241257615</v>
      </c>
      <c r="AB48" s="224">
        <v>522837.73241257615</v>
      </c>
      <c r="AC48" s="224">
        <v>522837.73241257615</v>
      </c>
      <c r="AD48" s="224">
        <f t="shared" si="14"/>
        <v>522837.73241257615</v>
      </c>
      <c r="AE48" s="224">
        <v>522837.73241257615</v>
      </c>
      <c r="AF48" s="224">
        <v>522837.73241257615</v>
      </c>
      <c r="AG48" s="224">
        <f t="shared" si="15"/>
        <v>522837.73241257615</v>
      </c>
      <c r="AH48" s="226">
        <v>522837.73241257615</v>
      </c>
      <c r="AI48" s="226">
        <f t="shared" si="16"/>
        <v>522837.73241257615</v>
      </c>
      <c r="AJ48" s="226">
        <f t="shared" si="16"/>
        <v>522837.73241257615</v>
      </c>
      <c r="AK48" s="226">
        <f t="shared" si="16"/>
        <v>522837.73241257615</v>
      </c>
      <c r="AL48" s="226">
        <f t="shared" si="16"/>
        <v>522837.73241257615</v>
      </c>
      <c r="AM48" s="226">
        <f t="shared" si="16"/>
        <v>522837.73241257615</v>
      </c>
      <c r="AN48" s="235">
        <v>522837.73241257615</v>
      </c>
      <c r="AO48" s="235">
        <f t="shared" si="17"/>
        <v>522837.73241257615</v>
      </c>
      <c r="AP48" s="235">
        <f t="shared" si="17"/>
        <v>522837.73241257615</v>
      </c>
      <c r="AQ48" s="236">
        <f t="shared" si="17"/>
        <v>522837.73241257615</v>
      </c>
      <c r="AR48" s="236">
        <f t="shared" si="17"/>
        <v>522837.73241257615</v>
      </c>
      <c r="AS48" s="236">
        <f t="shared" si="17"/>
        <v>522837.73241257615</v>
      </c>
      <c r="AT48" s="236">
        <f t="shared" si="17"/>
        <v>522837.73241257615</v>
      </c>
      <c r="AU48" s="236">
        <f t="shared" si="17"/>
        <v>522837.73241257615</v>
      </c>
      <c r="AV48" s="236">
        <f t="shared" si="17"/>
        <v>522837.73241257615</v>
      </c>
      <c r="AW48" s="226">
        <v>522837.73241257615</v>
      </c>
      <c r="AX48" s="226">
        <f t="shared" si="18"/>
        <v>522837.73241257615</v>
      </c>
      <c r="AY48" s="226">
        <f t="shared" si="18"/>
        <v>522837.73241257615</v>
      </c>
      <c r="AZ48" s="226">
        <f t="shared" si="18"/>
        <v>522837.73241257615</v>
      </c>
      <c r="BA48" s="226">
        <f t="shared" si="18"/>
        <v>522837.73241257615</v>
      </c>
      <c r="BB48" s="226">
        <f t="shared" si="18"/>
        <v>522837.73241257615</v>
      </c>
      <c r="BC48" s="224">
        <v>522837.73241257615</v>
      </c>
      <c r="BD48" s="224">
        <f t="shared" si="19"/>
        <v>522837.73241257615</v>
      </c>
      <c r="BE48" s="224">
        <f t="shared" si="19"/>
        <v>522837.73241257615</v>
      </c>
      <c r="BF48" s="224">
        <f t="shared" si="19"/>
        <v>522837.73241257615</v>
      </c>
      <c r="BG48" s="224">
        <f t="shared" si="19"/>
        <v>522837.73241257615</v>
      </c>
      <c r="BH48" s="224">
        <f t="shared" si="19"/>
        <v>522837.73241257615</v>
      </c>
      <c r="BI48" s="224">
        <f t="shared" si="19"/>
        <v>522837.73241257615</v>
      </c>
      <c r="BJ48" s="224">
        <f t="shared" si="19"/>
        <v>522837.73241257615</v>
      </c>
      <c r="BK48" s="224">
        <f t="shared" si="19"/>
        <v>522837.73241257615</v>
      </c>
      <c r="BL48" s="224">
        <f t="shared" si="19"/>
        <v>522837.73241257615</v>
      </c>
      <c r="BM48" s="224">
        <f t="shared" si="19"/>
        <v>522837.73241257615</v>
      </c>
      <c r="BN48" s="224">
        <f t="shared" si="19"/>
        <v>522837.73241257615</v>
      </c>
      <c r="BO48" s="224">
        <f t="shared" si="19"/>
        <v>522837.73241257615</v>
      </c>
    </row>
    <row r="49" spans="1:67">
      <c r="A49" s="223">
        <f t="shared" si="20"/>
        <v>5</v>
      </c>
      <c r="B49" s="151" t="s">
        <v>200</v>
      </c>
      <c r="C49" s="223">
        <v>47</v>
      </c>
      <c r="D49" s="224">
        <v>1060915.640617772</v>
      </c>
      <c r="E49" s="225">
        <f t="shared" si="21"/>
        <v>1060915.640617772</v>
      </c>
      <c r="F49" s="225">
        <f t="shared" si="21"/>
        <v>1060915.640617772</v>
      </c>
      <c r="G49" s="225">
        <f t="shared" si="21"/>
        <v>1060915.640617772</v>
      </c>
      <c r="H49" s="225">
        <f t="shared" si="21"/>
        <v>1060915.640617772</v>
      </c>
      <c r="I49" s="225">
        <f t="shared" si="21"/>
        <v>1060915.640617772</v>
      </c>
      <c r="J49" s="225">
        <f t="shared" si="21"/>
        <v>1060915.640617772</v>
      </c>
      <c r="K49" s="226">
        <v>1060915.640617772</v>
      </c>
      <c r="L49" s="237">
        <f t="shared" si="11"/>
        <v>1060915.640617772</v>
      </c>
      <c r="M49" s="237">
        <f t="shared" si="11"/>
        <v>1060915.640617772</v>
      </c>
      <c r="N49" s="237">
        <f t="shared" si="11"/>
        <v>1060915.640617772</v>
      </c>
      <c r="O49" s="237">
        <f t="shared" si="11"/>
        <v>1060915.640617772</v>
      </c>
      <c r="P49" s="237">
        <f t="shared" si="11"/>
        <v>1060915.640617772</v>
      </c>
      <c r="Q49" s="237">
        <f t="shared" si="11"/>
        <v>1060915.640617772</v>
      </c>
      <c r="R49" s="237">
        <f t="shared" si="11"/>
        <v>1060915.640617772</v>
      </c>
      <c r="S49" s="237">
        <f t="shared" si="11"/>
        <v>1060915.640617772</v>
      </c>
      <c r="T49" s="224">
        <v>1060915.640617772</v>
      </c>
      <c r="U49" s="224">
        <f t="shared" si="12"/>
        <v>1060915.640617772</v>
      </c>
      <c r="V49" s="224">
        <f t="shared" si="12"/>
        <v>1060915.640617772</v>
      </c>
      <c r="W49" s="224">
        <f t="shared" si="12"/>
        <v>1060915.640617772</v>
      </c>
      <c r="X49" s="226">
        <v>1060915.640617772</v>
      </c>
      <c r="Y49" s="226">
        <f t="shared" si="13"/>
        <v>1060915.640617772</v>
      </c>
      <c r="Z49" s="226">
        <f t="shared" si="13"/>
        <v>1060915.640617772</v>
      </c>
      <c r="AA49" s="224">
        <v>1060915.640617772</v>
      </c>
      <c r="AB49" s="224">
        <v>1060915.640617772</v>
      </c>
      <c r="AC49" s="224">
        <v>1060915.640617772</v>
      </c>
      <c r="AD49" s="224">
        <f t="shared" si="14"/>
        <v>1060915.640617772</v>
      </c>
      <c r="AE49" s="224">
        <v>1060915.640617772</v>
      </c>
      <c r="AF49" s="224">
        <v>1060915.640617772</v>
      </c>
      <c r="AG49" s="224">
        <f t="shared" si="15"/>
        <v>1060915.640617772</v>
      </c>
      <c r="AH49" s="226">
        <v>1060915.640617772</v>
      </c>
      <c r="AI49" s="226">
        <f t="shared" si="16"/>
        <v>1060915.640617772</v>
      </c>
      <c r="AJ49" s="226">
        <f t="shared" si="16"/>
        <v>1060915.640617772</v>
      </c>
      <c r="AK49" s="226">
        <f t="shared" si="16"/>
        <v>1060915.640617772</v>
      </c>
      <c r="AL49" s="226">
        <f t="shared" si="16"/>
        <v>1060915.640617772</v>
      </c>
      <c r="AM49" s="226">
        <f t="shared" si="16"/>
        <v>1060915.640617772</v>
      </c>
      <c r="AN49" s="235">
        <v>1060915.640617772</v>
      </c>
      <c r="AO49" s="235">
        <f t="shared" si="17"/>
        <v>1060915.640617772</v>
      </c>
      <c r="AP49" s="235">
        <f t="shared" si="17"/>
        <v>1060915.640617772</v>
      </c>
      <c r="AQ49" s="236">
        <f t="shared" si="17"/>
        <v>1060915.640617772</v>
      </c>
      <c r="AR49" s="236">
        <f t="shared" si="17"/>
        <v>1060915.640617772</v>
      </c>
      <c r="AS49" s="236">
        <f t="shared" si="17"/>
        <v>1060915.640617772</v>
      </c>
      <c r="AT49" s="236">
        <f t="shared" si="17"/>
        <v>1060915.640617772</v>
      </c>
      <c r="AU49" s="236">
        <f t="shared" si="17"/>
        <v>1060915.640617772</v>
      </c>
      <c r="AV49" s="236">
        <f t="shared" si="17"/>
        <v>1060915.640617772</v>
      </c>
      <c r="AW49" s="226">
        <v>1060915.640617772</v>
      </c>
      <c r="AX49" s="226">
        <f t="shared" si="18"/>
        <v>1060915.640617772</v>
      </c>
      <c r="AY49" s="226">
        <f t="shared" si="18"/>
        <v>1060915.640617772</v>
      </c>
      <c r="AZ49" s="226">
        <f t="shared" si="18"/>
        <v>1060915.640617772</v>
      </c>
      <c r="BA49" s="226">
        <f t="shared" si="18"/>
        <v>1060915.640617772</v>
      </c>
      <c r="BB49" s="226">
        <f t="shared" si="18"/>
        <v>1060915.640617772</v>
      </c>
      <c r="BC49" s="224">
        <v>1060915.640617772</v>
      </c>
      <c r="BD49" s="224">
        <f t="shared" si="19"/>
        <v>1060915.640617772</v>
      </c>
      <c r="BE49" s="224">
        <f t="shared" si="19"/>
        <v>1060915.640617772</v>
      </c>
      <c r="BF49" s="224">
        <f t="shared" si="19"/>
        <v>1060915.640617772</v>
      </c>
      <c r="BG49" s="224">
        <f t="shared" si="19"/>
        <v>1060915.640617772</v>
      </c>
      <c r="BH49" s="224">
        <f t="shared" si="19"/>
        <v>1060915.640617772</v>
      </c>
      <c r="BI49" s="224">
        <f t="shared" si="19"/>
        <v>1060915.640617772</v>
      </c>
      <c r="BJ49" s="224">
        <f t="shared" si="19"/>
        <v>1060915.640617772</v>
      </c>
      <c r="BK49" s="224">
        <f t="shared" si="19"/>
        <v>1060915.640617772</v>
      </c>
      <c r="BL49" s="224">
        <f t="shared" si="19"/>
        <v>1060915.640617772</v>
      </c>
      <c r="BM49" s="224">
        <f t="shared" si="19"/>
        <v>1060915.640617772</v>
      </c>
      <c r="BN49" s="224">
        <f t="shared" si="19"/>
        <v>1060915.640617772</v>
      </c>
      <c r="BO49" s="224">
        <f t="shared" si="19"/>
        <v>1060915.640617772</v>
      </c>
    </row>
    <row r="50" spans="1:67">
      <c r="A50" s="223">
        <f t="shared" si="20"/>
        <v>6</v>
      </c>
      <c r="B50" s="151" t="s">
        <v>199</v>
      </c>
      <c r="C50" s="223">
        <v>48</v>
      </c>
      <c r="D50" s="224">
        <v>1060915.640617772</v>
      </c>
      <c r="E50" s="225">
        <f t="shared" si="21"/>
        <v>1060915.640617772</v>
      </c>
      <c r="F50" s="225">
        <f t="shared" si="21"/>
        <v>1060915.640617772</v>
      </c>
      <c r="G50" s="225">
        <f t="shared" si="21"/>
        <v>1060915.640617772</v>
      </c>
      <c r="H50" s="225">
        <f t="shared" si="21"/>
        <v>1060915.640617772</v>
      </c>
      <c r="I50" s="225">
        <f t="shared" si="21"/>
        <v>1060915.640617772</v>
      </c>
      <c r="J50" s="225">
        <f t="shared" si="21"/>
        <v>1060915.640617772</v>
      </c>
      <c r="K50" s="226">
        <v>1060915.640617772</v>
      </c>
      <c r="L50" s="237">
        <f t="shared" ref="L50:S66" si="22">K50</f>
        <v>1060915.640617772</v>
      </c>
      <c r="M50" s="237">
        <f t="shared" si="22"/>
        <v>1060915.640617772</v>
      </c>
      <c r="N50" s="237">
        <f t="shared" si="22"/>
        <v>1060915.640617772</v>
      </c>
      <c r="O50" s="237">
        <f t="shared" si="22"/>
        <v>1060915.640617772</v>
      </c>
      <c r="P50" s="237">
        <f t="shared" si="22"/>
        <v>1060915.640617772</v>
      </c>
      <c r="Q50" s="237">
        <f t="shared" si="22"/>
        <v>1060915.640617772</v>
      </c>
      <c r="R50" s="237">
        <f t="shared" si="22"/>
        <v>1060915.640617772</v>
      </c>
      <c r="S50" s="237">
        <f t="shared" si="22"/>
        <v>1060915.640617772</v>
      </c>
      <c r="T50" s="224">
        <v>1060915.640617772</v>
      </c>
      <c r="U50" s="224">
        <f t="shared" si="12"/>
        <v>1060915.640617772</v>
      </c>
      <c r="V50" s="224">
        <f t="shared" si="12"/>
        <v>1060915.640617772</v>
      </c>
      <c r="W50" s="224">
        <f t="shared" si="12"/>
        <v>1060915.640617772</v>
      </c>
      <c r="X50" s="226">
        <v>1060915.640617772</v>
      </c>
      <c r="Y50" s="226">
        <f t="shared" ref="Y50:Z66" si="23">X50</f>
        <v>1060915.640617772</v>
      </c>
      <c r="Z50" s="226">
        <f t="shared" si="23"/>
        <v>1060915.640617772</v>
      </c>
      <c r="AA50" s="224">
        <v>1060915.640617772</v>
      </c>
      <c r="AB50" s="224">
        <v>1060915.640617772</v>
      </c>
      <c r="AC50" s="224">
        <v>1060915.640617772</v>
      </c>
      <c r="AD50" s="224">
        <f t="shared" si="14"/>
        <v>1060915.640617772</v>
      </c>
      <c r="AE50" s="224">
        <v>1060915.640617772</v>
      </c>
      <c r="AF50" s="224">
        <v>1060915.640617772</v>
      </c>
      <c r="AG50" s="224">
        <f t="shared" si="15"/>
        <v>1060915.640617772</v>
      </c>
      <c r="AH50" s="226">
        <v>1060915.640617772</v>
      </c>
      <c r="AI50" s="226">
        <f t="shared" ref="AI50:AM66" si="24">AH50</f>
        <v>1060915.640617772</v>
      </c>
      <c r="AJ50" s="226">
        <f t="shared" si="24"/>
        <v>1060915.640617772</v>
      </c>
      <c r="AK50" s="226">
        <f t="shared" si="24"/>
        <v>1060915.640617772</v>
      </c>
      <c r="AL50" s="226">
        <f t="shared" si="24"/>
        <v>1060915.640617772</v>
      </c>
      <c r="AM50" s="226">
        <f t="shared" si="24"/>
        <v>1060915.640617772</v>
      </c>
      <c r="AN50" s="235">
        <v>1060915.640617772</v>
      </c>
      <c r="AO50" s="235">
        <f t="shared" ref="AO50:AV66" si="25">AN50</f>
        <v>1060915.640617772</v>
      </c>
      <c r="AP50" s="235">
        <f t="shared" si="25"/>
        <v>1060915.640617772</v>
      </c>
      <c r="AQ50" s="236">
        <f t="shared" si="25"/>
        <v>1060915.640617772</v>
      </c>
      <c r="AR50" s="236">
        <f t="shared" si="25"/>
        <v>1060915.640617772</v>
      </c>
      <c r="AS50" s="236">
        <f t="shared" si="25"/>
        <v>1060915.640617772</v>
      </c>
      <c r="AT50" s="236">
        <f t="shared" si="25"/>
        <v>1060915.640617772</v>
      </c>
      <c r="AU50" s="236">
        <f t="shared" si="25"/>
        <v>1060915.640617772</v>
      </c>
      <c r="AV50" s="236">
        <f t="shared" si="25"/>
        <v>1060915.640617772</v>
      </c>
      <c r="AW50" s="226">
        <v>1060915.640617772</v>
      </c>
      <c r="AX50" s="226">
        <f t="shared" si="18"/>
        <v>1060915.640617772</v>
      </c>
      <c r="AY50" s="226">
        <f t="shared" si="18"/>
        <v>1060915.640617772</v>
      </c>
      <c r="AZ50" s="226">
        <f t="shared" si="18"/>
        <v>1060915.640617772</v>
      </c>
      <c r="BA50" s="226">
        <f t="shared" si="18"/>
        <v>1060915.640617772</v>
      </c>
      <c r="BB50" s="226">
        <f t="shared" si="18"/>
        <v>1060915.640617772</v>
      </c>
      <c r="BC50" s="224">
        <v>1060915.640617772</v>
      </c>
      <c r="BD50" s="224">
        <f t="shared" si="19"/>
        <v>1060915.640617772</v>
      </c>
      <c r="BE50" s="224">
        <f t="shared" si="19"/>
        <v>1060915.640617772</v>
      </c>
      <c r="BF50" s="224">
        <f t="shared" si="19"/>
        <v>1060915.640617772</v>
      </c>
      <c r="BG50" s="224">
        <f t="shared" si="19"/>
        <v>1060915.640617772</v>
      </c>
      <c r="BH50" s="224">
        <f t="shared" si="19"/>
        <v>1060915.640617772</v>
      </c>
      <c r="BI50" s="224">
        <f t="shared" si="19"/>
        <v>1060915.640617772</v>
      </c>
      <c r="BJ50" s="224">
        <f t="shared" si="19"/>
        <v>1060915.640617772</v>
      </c>
      <c r="BK50" s="224">
        <f t="shared" si="19"/>
        <v>1060915.640617772</v>
      </c>
      <c r="BL50" s="224">
        <f t="shared" si="19"/>
        <v>1060915.640617772</v>
      </c>
      <c r="BM50" s="224">
        <f t="shared" si="19"/>
        <v>1060915.640617772</v>
      </c>
      <c r="BN50" s="224">
        <f t="shared" si="19"/>
        <v>1060915.640617772</v>
      </c>
      <c r="BO50" s="224">
        <f t="shared" si="19"/>
        <v>1060915.640617772</v>
      </c>
    </row>
    <row r="51" spans="1:67">
      <c r="A51" s="223">
        <f t="shared" si="20"/>
        <v>7</v>
      </c>
      <c r="B51" s="151" t="s">
        <v>193</v>
      </c>
      <c r="C51" s="223">
        <v>49</v>
      </c>
      <c r="D51" s="224">
        <v>8574860.0893754829</v>
      </c>
      <c r="E51" s="225">
        <f t="shared" si="21"/>
        <v>8574860.0893754829</v>
      </c>
      <c r="F51" s="225">
        <f t="shared" si="21"/>
        <v>8574860.0893754829</v>
      </c>
      <c r="G51" s="225">
        <f t="shared" si="21"/>
        <v>8574860.0893754829</v>
      </c>
      <c r="H51" s="225">
        <f t="shared" si="21"/>
        <v>8574860.0893754829</v>
      </c>
      <c r="I51" s="225">
        <f t="shared" si="21"/>
        <v>8574860.0893754829</v>
      </c>
      <c r="J51" s="225">
        <f t="shared" si="21"/>
        <v>8574860.0893754829</v>
      </c>
      <c r="K51" s="237">
        <v>8506692.8433202039</v>
      </c>
      <c r="L51" s="237">
        <f t="shared" si="22"/>
        <v>8506692.8433202039</v>
      </c>
      <c r="M51" s="237">
        <f t="shared" si="22"/>
        <v>8506692.8433202039</v>
      </c>
      <c r="N51" s="237">
        <f t="shared" si="22"/>
        <v>8506692.8433202039</v>
      </c>
      <c r="O51" s="237">
        <f t="shared" si="22"/>
        <v>8506692.8433202039</v>
      </c>
      <c r="P51" s="237">
        <f t="shared" si="22"/>
        <v>8506692.8433202039</v>
      </c>
      <c r="Q51" s="237">
        <f t="shared" si="22"/>
        <v>8506692.8433202039</v>
      </c>
      <c r="R51" s="237">
        <f t="shared" si="22"/>
        <v>8506692.8433202039</v>
      </c>
      <c r="S51" s="237">
        <f t="shared" si="22"/>
        <v>8506692.8433202039</v>
      </c>
      <c r="T51" s="224">
        <v>8506692.8433202039</v>
      </c>
      <c r="U51" s="224">
        <f t="shared" ref="U51:W66" si="26">T51</f>
        <v>8506692.8433202039</v>
      </c>
      <c r="V51" s="224">
        <f t="shared" si="26"/>
        <v>8506692.8433202039</v>
      </c>
      <c r="W51" s="224">
        <f t="shared" si="26"/>
        <v>8506692.8433202039</v>
      </c>
      <c r="X51" s="226">
        <v>8527930.7685298137</v>
      </c>
      <c r="Y51" s="226">
        <f t="shared" si="23"/>
        <v>8527930.7685298137</v>
      </c>
      <c r="Z51" s="226">
        <f t="shared" si="23"/>
        <v>8527930.7685298137</v>
      </c>
      <c r="AA51" s="224">
        <v>8309881.9236936672</v>
      </c>
      <c r="AB51" s="224">
        <v>8435423.8112306967</v>
      </c>
      <c r="AC51" s="224">
        <v>8135472.9121489935</v>
      </c>
      <c r="AD51" s="224">
        <f t="shared" si="14"/>
        <v>8135472.9121489935</v>
      </c>
      <c r="AE51" s="226">
        <v>8397083.2758505028</v>
      </c>
      <c r="AF51" s="224">
        <v>8412631.4385180566</v>
      </c>
      <c r="AG51" s="224">
        <f t="shared" si="15"/>
        <v>8412631.4385180566</v>
      </c>
      <c r="AH51" s="226">
        <v>8575123.3149667457</v>
      </c>
      <c r="AI51" s="226">
        <f t="shared" si="24"/>
        <v>8575123.3149667457</v>
      </c>
      <c r="AJ51" s="226">
        <f t="shared" si="24"/>
        <v>8575123.3149667457</v>
      </c>
      <c r="AK51" s="226">
        <f t="shared" si="24"/>
        <v>8575123.3149667457</v>
      </c>
      <c r="AL51" s="226">
        <f t="shared" si="24"/>
        <v>8575123.3149667457</v>
      </c>
      <c r="AM51" s="226">
        <f t="shared" si="24"/>
        <v>8575123.3149667457</v>
      </c>
      <c r="AN51" s="235">
        <v>8663258.8211442288</v>
      </c>
      <c r="AO51" s="235">
        <f t="shared" si="25"/>
        <v>8663258.8211442288</v>
      </c>
      <c r="AP51" s="235">
        <f t="shared" si="25"/>
        <v>8663258.8211442288</v>
      </c>
      <c r="AQ51" s="236">
        <f t="shared" si="25"/>
        <v>8663258.8211442288</v>
      </c>
      <c r="AR51" s="236">
        <f t="shared" si="25"/>
        <v>8663258.8211442288</v>
      </c>
      <c r="AS51" s="236">
        <f t="shared" si="25"/>
        <v>8663258.8211442288</v>
      </c>
      <c r="AT51" s="236">
        <f t="shared" si="25"/>
        <v>8663258.8211442288</v>
      </c>
      <c r="AU51" s="236">
        <f t="shared" si="25"/>
        <v>8663258.8211442288</v>
      </c>
      <c r="AV51" s="236">
        <f t="shared" si="25"/>
        <v>8663258.8211442288</v>
      </c>
      <c r="AW51" s="226">
        <v>8486618.4784409367</v>
      </c>
      <c r="AX51" s="226">
        <f t="shared" ref="AX51:BB66" si="27">AW51</f>
        <v>8486618.4784409367</v>
      </c>
      <c r="AY51" s="226">
        <f t="shared" si="27"/>
        <v>8486618.4784409367</v>
      </c>
      <c r="AZ51" s="226">
        <f t="shared" si="27"/>
        <v>8486618.4784409367</v>
      </c>
      <c r="BA51" s="226">
        <f t="shared" si="27"/>
        <v>8486618.4784409367</v>
      </c>
      <c r="BB51" s="226">
        <f t="shared" si="27"/>
        <v>8486618.4784409367</v>
      </c>
      <c r="BC51" s="224">
        <v>8957843.0185115561</v>
      </c>
      <c r="BD51" s="224">
        <f t="shared" ref="BD51:BO66" si="28">BC51</f>
        <v>8957843.0185115561</v>
      </c>
      <c r="BE51" s="224">
        <f t="shared" si="28"/>
        <v>8957843.0185115561</v>
      </c>
      <c r="BF51" s="224">
        <f t="shared" si="28"/>
        <v>8957843.0185115561</v>
      </c>
      <c r="BG51" s="224">
        <f t="shared" si="28"/>
        <v>8957843.0185115561</v>
      </c>
      <c r="BH51" s="224">
        <f t="shared" si="28"/>
        <v>8957843.0185115561</v>
      </c>
      <c r="BI51" s="224">
        <f t="shared" si="28"/>
        <v>8957843.0185115561</v>
      </c>
      <c r="BJ51" s="224">
        <f t="shared" si="28"/>
        <v>8957843.0185115561</v>
      </c>
      <c r="BK51" s="224">
        <f t="shared" si="28"/>
        <v>8957843.0185115561</v>
      </c>
      <c r="BL51" s="224">
        <f t="shared" si="28"/>
        <v>8957843.0185115561</v>
      </c>
      <c r="BM51" s="224">
        <f t="shared" si="28"/>
        <v>8957843.0185115561</v>
      </c>
      <c r="BN51" s="224">
        <f t="shared" si="28"/>
        <v>8957843.0185115561</v>
      </c>
      <c r="BO51" s="224">
        <f t="shared" si="28"/>
        <v>8957843.0185115561</v>
      </c>
    </row>
    <row r="52" spans="1:67">
      <c r="A52" s="223">
        <f t="shared" si="20"/>
        <v>8</v>
      </c>
      <c r="B52" s="151" t="s">
        <v>192</v>
      </c>
      <c r="C52" s="223">
        <v>50</v>
      </c>
      <c r="D52" s="224">
        <v>13582472.759147102</v>
      </c>
      <c r="E52" s="225">
        <f t="shared" si="21"/>
        <v>13582472.759147102</v>
      </c>
      <c r="F52" s="225">
        <f t="shared" si="21"/>
        <v>13582472.759147102</v>
      </c>
      <c r="G52" s="225">
        <f t="shared" si="21"/>
        <v>13582472.759147102</v>
      </c>
      <c r="H52" s="225">
        <f t="shared" si="21"/>
        <v>13582472.759147102</v>
      </c>
      <c r="I52" s="225">
        <f t="shared" si="21"/>
        <v>13582472.759147102</v>
      </c>
      <c r="J52" s="225">
        <f t="shared" si="21"/>
        <v>13582472.759147102</v>
      </c>
      <c r="K52" s="237">
        <v>13440171.212271865</v>
      </c>
      <c r="L52" s="237">
        <f t="shared" si="22"/>
        <v>13440171.212271865</v>
      </c>
      <c r="M52" s="237">
        <f t="shared" si="22"/>
        <v>13440171.212271865</v>
      </c>
      <c r="N52" s="237">
        <f t="shared" si="22"/>
        <v>13440171.212271865</v>
      </c>
      <c r="O52" s="237">
        <f t="shared" si="22"/>
        <v>13440171.212271865</v>
      </c>
      <c r="P52" s="237">
        <f t="shared" si="22"/>
        <v>13440171.212271865</v>
      </c>
      <c r="Q52" s="237">
        <f t="shared" si="22"/>
        <v>13440171.212271865</v>
      </c>
      <c r="R52" s="237">
        <f t="shared" si="22"/>
        <v>13440171.212271865</v>
      </c>
      <c r="S52" s="237">
        <f t="shared" si="22"/>
        <v>13440171.212271865</v>
      </c>
      <c r="T52" s="224">
        <v>13440171.212271865</v>
      </c>
      <c r="U52" s="224">
        <f t="shared" si="26"/>
        <v>13440171.212271865</v>
      </c>
      <c r="V52" s="224">
        <f t="shared" si="26"/>
        <v>13440171.212271865</v>
      </c>
      <c r="W52" s="224">
        <f t="shared" si="26"/>
        <v>13440171.212271865</v>
      </c>
      <c r="X52" s="226">
        <v>13466741.008695723</v>
      </c>
      <c r="Y52" s="226">
        <f t="shared" si="23"/>
        <v>13466741.008695723</v>
      </c>
      <c r="Z52" s="226">
        <f t="shared" si="23"/>
        <v>13466741.008695723</v>
      </c>
      <c r="AA52" s="224">
        <v>13039495.669306608</v>
      </c>
      <c r="AB52" s="224">
        <v>13301206.555327026</v>
      </c>
      <c r="AC52" s="224">
        <v>12660456.633089105</v>
      </c>
      <c r="AD52" s="224">
        <f t="shared" si="14"/>
        <v>12660456.633089105</v>
      </c>
      <c r="AE52" s="226">
        <v>13199766.935690489</v>
      </c>
      <c r="AF52" s="224">
        <v>13248408.064196618</v>
      </c>
      <c r="AG52" s="224">
        <f t="shared" si="15"/>
        <v>13248408.064196618</v>
      </c>
      <c r="AH52" s="226">
        <v>13563306.850080587</v>
      </c>
      <c r="AI52" s="226">
        <f t="shared" si="24"/>
        <v>13563306.850080587</v>
      </c>
      <c r="AJ52" s="226">
        <f t="shared" si="24"/>
        <v>13563306.850080587</v>
      </c>
      <c r="AK52" s="226">
        <f t="shared" si="24"/>
        <v>13563306.850080587</v>
      </c>
      <c r="AL52" s="226">
        <f t="shared" si="24"/>
        <v>13563306.850080587</v>
      </c>
      <c r="AM52" s="226">
        <f t="shared" si="24"/>
        <v>13563306.850080587</v>
      </c>
      <c r="AN52" s="235">
        <v>13750156.700544748</v>
      </c>
      <c r="AO52" s="235">
        <f t="shared" si="25"/>
        <v>13750156.700544748</v>
      </c>
      <c r="AP52" s="235">
        <f t="shared" si="25"/>
        <v>13750156.700544748</v>
      </c>
      <c r="AQ52" s="236">
        <f t="shared" si="25"/>
        <v>13750156.700544748</v>
      </c>
      <c r="AR52" s="236">
        <f t="shared" si="25"/>
        <v>13750156.700544748</v>
      </c>
      <c r="AS52" s="236">
        <f t="shared" si="25"/>
        <v>13750156.700544748</v>
      </c>
      <c r="AT52" s="236">
        <f t="shared" si="25"/>
        <v>13750156.700544748</v>
      </c>
      <c r="AU52" s="236">
        <f t="shared" si="25"/>
        <v>13750156.700544748</v>
      </c>
      <c r="AV52" s="236">
        <f t="shared" si="25"/>
        <v>13750156.700544748</v>
      </c>
      <c r="AW52" s="226">
        <v>13358711.940987302</v>
      </c>
      <c r="AX52" s="226">
        <f t="shared" si="27"/>
        <v>13358711.940987302</v>
      </c>
      <c r="AY52" s="226">
        <f t="shared" si="27"/>
        <v>13358711.940987302</v>
      </c>
      <c r="AZ52" s="226">
        <f t="shared" si="27"/>
        <v>13358711.940987302</v>
      </c>
      <c r="BA52" s="226">
        <f t="shared" si="27"/>
        <v>13358711.940987302</v>
      </c>
      <c r="BB52" s="226">
        <f t="shared" si="27"/>
        <v>13358711.940987302</v>
      </c>
      <c r="BC52" s="224">
        <v>14347947.168253735</v>
      </c>
      <c r="BD52" s="224">
        <f t="shared" si="28"/>
        <v>14347947.168253735</v>
      </c>
      <c r="BE52" s="224">
        <f t="shared" si="28"/>
        <v>14347947.168253735</v>
      </c>
      <c r="BF52" s="224">
        <f t="shared" si="28"/>
        <v>14347947.168253735</v>
      </c>
      <c r="BG52" s="224">
        <f t="shared" si="28"/>
        <v>14347947.168253735</v>
      </c>
      <c r="BH52" s="224">
        <f t="shared" si="28"/>
        <v>14347947.168253735</v>
      </c>
      <c r="BI52" s="224">
        <f t="shared" si="28"/>
        <v>14347947.168253735</v>
      </c>
      <c r="BJ52" s="224">
        <f t="shared" si="28"/>
        <v>14347947.168253735</v>
      </c>
      <c r="BK52" s="224">
        <f t="shared" si="28"/>
        <v>14347947.168253735</v>
      </c>
      <c r="BL52" s="224">
        <f t="shared" si="28"/>
        <v>14347947.168253735</v>
      </c>
      <c r="BM52" s="224">
        <f t="shared" si="28"/>
        <v>14347947.168253735</v>
      </c>
      <c r="BN52" s="224">
        <f t="shared" si="28"/>
        <v>14347947.168253735</v>
      </c>
      <c r="BO52" s="224">
        <f t="shared" si="28"/>
        <v>14347947.168253735</v>
      </c>
    </row>
    <row r="53" spans="1:67">
      <c r="A53" s="229" t="s">
        <v>31</v>
      </c>
      <c r="B53" s="230" t="s">
        <v>151</v>
      </c>
      <c r="C53" s="223">
        <v>51</v>
      </c>
      <c r="D53" s="224"/>
      <c r="E53" s="225">
        <f t="shared" si="21"/>
        <v>0</v>
      </c>
      <c r="F53" s="225">
        <f t="shared" si="21"/>
        <v>0</v>
      </c>
      <c r="G53" s="225">
        <f t="shared" si="21"/>
        <v>0</v>
      </c>
      <c r="H53" s="225">
        <f t="shared" si="21"/>
        <v>0</v>
      </c>
      <c r="I53" s="225">
        <f t="shared" si="21"/>
        <v>0</v>
      </c>
      <c r="J53" s="225">
        <f t="shared" si="21"/>
        <v>0</v>
      </c>
      <c r="K53" s="237"/>
      <c r="L53" s="237">
        <f t="shared" si="22"/>
        <v>0</v>
      </c>
      <c r="M53" s="237">
        <f t="shared" si="22"/>
        <v>0</v>
      </c>
      <c r="N53" s="237">
        <f t="shared" si="22"/>
        <v>0</v>
      </c>
      <c r="O53" s="237">
        <f t="shared" si="22"/>
        <v>0</v>
      </c>
      <c r="P53" s="237">
        <f t="shared" si="22"/>
        <v>0</v>
      </c>
      <c r="Q53" s="237">
        <f t="shared" si="22"/>
        <v>0</v>
      </c>
      <c r="R53" s="237">
        <f t="shared" si="22"/>
        <v>0</v>
      </c>
      <c r="S53" s="237">
        <f t="shared" si="22"/>
        <v>0</v>
      </c>
      <c r="T53" s="224"/>
      <c r="U53" s="224">
        <f t="shared" si="26"/>
        <v>0</v>
      </c>
      <c r="V53" s="224">
        <f t="shared" si="26"/>
        <v>0</v>
      </c>
      <c r="W53" s="224">
        <f t="shared" si="26"/>
        <v>0</v>
      </c>
      <c r="X53" s="226"/>
      <c r="Y53" s="226">
        <f t="shared" si="23"/>
        <v>0</v>
      </c>
      <c r="Z53" s="226">
        <f t="shared" si="23"/>
        <v>0</v>
      </c>
      <c r="AA53" s="224"/>
      <c r="AB53" s="224"/>
      <c r="AC53" s="224"/>
      <c r="AD53" s="224">
        <f t="shared" si="14"/>
        <v>0</v>
      </c>
      <c r="AE53" s="226"/>
      <c r="AF53" s="224"/>
      <c r="AG53" s="224">
        <f t="shared" si="15"/>
        <v>0</v>
      </c>
      <c r="AH53" s="226"/>
      <c r="AI53" s="226">
        <f t="shared" si="24"/>
        <v>0</v>
      </c>
      <c r="AJ53" s="226">
        <f t="shared" si="24"/>
        <v>0</v>
      </c>
      <c r="AK53" s="226">
        <f t="shared" si="24"/>
        <v>0</v>
      </c>
      <c r="AL53" s="226">
        <f t="shared" si="24"/>
        <v>0</v>
      </c>
      <c r="AM53" s="226">
        <f t="shared" si="24"/>
        <v>0</v>
      </c>
      <c r="AN53" s="235"/>
      <c r="AO53" s="235">
        <f t="shared" si="25"/>
        <v>0</v>
      </c>
      <c r="AP53" s="235">
        <f t="shared" si="25"/>
        <v>0</v>
      </c>
      <c r="AQ53" s="236">
        <f t="shared" si="25"/>
        <v>0</v>
      </c>
      <c r="AR53" s="236">
        <f t="shared" si="25"/>
        <v>0</v>
      </c>
      <c r="AS53" s="236">
        <f t="shared" si="25"/>
        <v>0</v>
      </c>
      <c r="AT53" s="236">
        <f t="shared" si="25"/>
        <v>0</v>
      </c>
      <c r="AU53" s="236">
        <f t="shared" si="25"/>
        <v>0</v>
      </c>
      <c r="AV53" s="236">
        <f t="shared" si="25"/>
        <v>0</v>
      </c>
      <c r="AW53" s="226"/>
      <c r="AX53" s="226">
        <f t="shared" si="27"/>
        <v>0</v>
      </c>
      <c r="AY53" s="226">
        <f t="shared" si="27"/>
        <v>0</v>
      </c>
      <c r="AZ53" s="226">
        <f t="shared" si="27"/>
        <v>0</v>
      </c>
      <c r="BA53" s="226">
        <f t="shared" si="27"/>
        <v>0</v>
      </c>
      <c r="BB53" s="226">
        <f t="shared" si="27"/>
        <v>0</v>
      </c>
      <c r="BC53" s="224"/>
      <c r="BD53" s="224">
        <f t="shared" si="28"/>
        <v>0</v>
      </c>
      <c r="BE53" s="224">
        <f t="shared" si="28"/>
        <v>0</v>
      </c>
      <c r="BF53" s="224">
        <f t="shared" si="28"/>
        <v>0</v>
      </c>
      <c r="BG53" s="224">
        <f t="shared" si="28"/>
        <v>0</v>
      </c>
      <c r="BH53" s="224">
        <f t="shared" si="28"/>
        <v>0</v>
      </c>
      <c r="BI53" s="224">
        <f t="shared" si="28"/>
        <v>0</v>
      </c>
      <c r="BJ53" s="224">
        <f t="shared" si="28"/>
        <v>0</v>
      </c>
      <c r="BK53" s="224">
        <f t="shared" si="28"/>
        <v>0</v>
      </c>
      <c r="BL53" s="224">
        <f t="shared" si="28"/>
        <v>0</v>
      </c>
      <c r="BM53" s="224">
        <f t="shared" si="28"/>
        <v>0</v>
      </c>
      <c r="BN53" s="224">
        <f t="shared" si="28"/>
        <v>0</v>
      </c>
      <c r="BO53" s="224">
        <f t="shared" si="28"/>
        <v>0</v>
      </c>
    </row>
    <row r="54" spans="1:67">
      <c r="A54" s="264"/>
      <c r="B54" s="696" t="s">
        <v>1776</v>
      </c>
      <c r="C54" s="223">
        <v>52</v>
      </c>
      <c r="D54" s="258">
        <v>14159653</v>
      </c>
      <c r="E54" s="258">
        <v>14159653</v>
      </c>
      <c r="F54" s="258">
        <v>14159653</v>
      </c>
      <c r="G54" s="258">
        <v>14159653</v>
      </c>
      <c r="H54" s="258">
        <v>14159653</v>
      </c>
      <c r="I54" s="258">
        <v>14159653</v>
      </c>
      <c r="J54" s="258">
        <v>14159653</v>
      </c>
      <c r="K54" s="258">
        <v>14159653</v>
      </c>
      <c r="L54" s="258">
        <v>14159653</v>
      </c>
      <c r="M54" s="258">
        <v>14159653</v>
      </c>
      <c r="N54" s="258">
        <v>14159653</v>
      </c>
      <c r="O54" s="258">
        <v>14159653</v>
      </c>
      <c r="P54" s="258">
        <v>14159653</v>
      </c>
      <c r="Q54" s="258">
        <v>14159653</v>
      </c>
      <c r="R54" s="258">
        <v>14159653</v>
      </c>
      <c r="S54" s="258">
        <v>14159653</v>
      </c>
      <c r="T54" s="258">
        <v>14159653</v>
      </c>
      <c r="U54" s="258">
        <v>14159653</v>
      </c>
      <c r="V54" s="258">
        <v>14159653</v>
      </c>
      <c r="W54" s="258">
        <v>14159653</v>
      </c>
      <c r="X54" s="258">
        <v>14159653</v>
      </c>
      <c r="Y54" s="258">
        <v>14159653</v>
      </c>
      <c r="Z54" s="258">
        <v>14159653</v>
      </c>
      <c r="AA54" s="258">
        <v>14159653</v>
      </c>
      <c r="AB54" s="258">
        <v>14159653</v>
      </c>
      <c r="AC54" s="258">
        <v>14159653</v>
      </c>
      <c r="AD54" s="258">
        <v>14159653</v>
      </c>
      <c r="AE54" s="258">
        <v>14159653</v>
      </c>
      <c r="AF54" s="258">
        <v>14159653</v>
      </c>
      <c r="AG54" s="258">
        <v>14159653</v>
      </c>
      <c r="AH54" s="258">
        <v>14159653</v>
      </c>
      <c r="AI54" s="258">
        <v>14159653</v>
      </c>
      <c r="AJ54" s="258">
        <v>14159653</v>
      </c>
      <c r="AK54" s="258">
        <v>14159653</v>
      </c>
      <c r="AL54" s="258">
        <v>14159653</v>
      </c>
      <c r="AM54" s="258">
        <v>14159653</v>
      </c>
      <c r="AN54" s="258">
        <v>14159653</v>
      </c>
      <c r="AO54" s="258">
        <v>14159653</v>
      </c>
      <c r="AP54" s="258">
        <v>14159653</v>
      </c>
      <c r="AQ54" s="258">
        <v>14159653</v>
      </c>
      <c r="AR54" s="258">
        <v>14159653</v>
      </c>
      <c r="AS54" s="258">
        <v>14159653</v>
      </c>
      <c r="AT54" s="258">
        <v>14159653</v>
      </c>
      <c r="AU54" s="258">
        <v>14159653</v>
      </c>
      <c r="AV54" s="258">
        <v>14159653</v>
      </c>
      <c r="AW54" s="258">
        <v>14159653</v>
      </c>
      <c r="AX54" s="258">
        <v>14159653</v>
      </c>
      <c r="AY54" s="258">
        <v>14159653</v>
      </c>
      <c r="AZ54" s="258">
        <v>14159653</v>
      </c>
      <c r="BA54" s="258">
        <v>14159653</v>
      </c>
      <c r="BB54" s="258">
        <v>14159653</v>
      </c>
      <c r="BC54" s="258">
        <v>14159653</v>
      </c>
      <c r="BD54" s="258">
        <v>14159653</v>
      </c>
      <c r="BE54" s="258">
        <v>14159653</v>
      </c>
      <c r="BF54" s="258">
        <v>14159653</v>
      </c>
      <c r="BG54" s="258">
        <v>14159653</v>
      </c>
      <c r="BH54" s="258">
        <v>14159653</v>
      </c>
      <c r="BI54" s="258">
        <v>14159653</v>
      </c>
      <c r="BJ54" s="258">
        <v>14159653</v>
      </c>
      <c r="BK54" s="258">
        <v>14159653</v>
      </c>
      <c r="BL54" s="258">
        <v>14159653</v>
      </c>
      <c r="BM54" s="258">
        <v>14159653</v>
      </c>
      <c r="BN54" s="258">
        <v>14159653</v>
      </c>
      <c r="BO54" s="258">
        <v>14159653</v>
      </c>
    </row>
    <row r="55" spans="1:67">
      <c r="A55" s="264"/>
      <c r="B55" s="696" t="s">
        <v>1777</v>
      </c>
      <c r="C55" s="223">
        <v>53</v>
      </c>
      <c r="D55" s="258">
        <v>18011150</v>
      </c>
      <c r="E55" s="258">
        <v>18011150</v>
      </c>
      <c r="F55" s="258">
        <v>18011150</v>
      </c>
      <c r="G55" s="258">
        <v>18011150</v>
      </c>
      <c r="H55" s="258">
        <v>18011150</v>
      </c>
      <c r="I55" s="258">
        <v>18011150</v>
      </c>
      <c r="J55" s="258">
        <v>18011150</v>
      </c>
      <c r="K55" s="258">
        <v>18011150</v>
      </c>
      <c r="L55" s="258">
        <v>18011150</v>
      </c>
      <c r="M55" s="258">
        <v>18011150</v>
      </c>
      <c r="N55" s="258">
        <v>18011150</v>
      </c>
      <c r="O55" s="258">
        <v>18011150</v>
      </c>
      <c r="P55" s="258">
        <v>18011150</v>
      </c>
      <c r="Q55" s="258">
        <v>18011150</v>
      </c>
      <c r="R55" s="258">
        <v>18011150</v>
      </c>
      <c r="S55" s="258">
        <v>18011150</v>
      </c>
      <c r="T55" s="258">
        <v>18011150</v>
      </c>
      <c r="U55" s="258">
        <v>18011150</v>
      </c>
      <c r="V55" s="258">
        <v>18011150</v>
      </c>
      <c r="W55" s="258">
        <v>18011150</v>
      </c>
      <c r="X55" s="258">
        <v>18011150</v>
      </c>
      <c r="Y55" s="258">
        <v>18011150</v>
      </c>
      <c r="Z55" s="258">
        <v>18011150</v>
      </c>
      <c r="AA55" s="258">
        <v>18011150</v>
      </c>
      <c r="AB55" s="258">
        <v>18011150</v>
      </c>
      <c r="AC55" s="258">
        <v>18011150</v>
      </c>
      <c r="AD55" s="258">
        <v>18011150</v>
      </c>
      <c r="AE55" s="258">
        <v>18011150</v>
      </c>
      <c r="AF55" s="258">
        <v>18011150</v>
      </c>
      <c r="AG55" s="258">
        <v>18011150</v>
      </c>
      <c r="AH55" s="258">
        <v>18011150</v>
      </c>
      <c r="AI55" s="258">
        <v>18011150</v>
      </c>
      <c r="AJ55" s="258">
        <v>18011150</v>
      </c>
      <c r="AK55" s="258">
        <v>18011150</v>
      </c>
      <c r="AL55" s="258">
        <v>18011150</v>
      </c>
      <c r="AM55" s="258">
        <v>18011150</v>
      </c>
      <c r="AN55" s="258">
        <v>18011150</v>
      </c>
      <c r="AO55" s="258">
        <v>18011150</v>
      </c>
      <c r="AP55" s="258">
        <v>18011150</v>
      </c>
      <c r="AQ55" s="258">
        <v>18011150</v>
      </c>
      <c r="AR55" s="258">
        <v>18011150</v>
      </c>
      <c r="AS55" s="258">
        <v>18011150</v>
      </c>
      <c r="AT55" s="258">
        <v>18011150</v>
      </c>
      <c r="AU55" s="258">
        <v>18011150</v>
      </c>
      <c r="AV55" s="258">
        <v>18011150</v>
      </c>
      <c r="AW55" s="258">
        <v>18011150</v>
      </c>
      <c r="AX55" s="258">
        <v>18011150</v>
      </c>
      <c r="AY55" s="258">
        <v>18011150</v>
      </c>
      <c r="AZ55" s="258">
        <v>18011150</v>
      </c>
      <c r="BA55" s="258">
        <v>18011150</v>
      </c>
      <c r="BB55" s="258">
        <v>18011150</v>
      </c>
      <c r="BC55" s="258">
        <v>18011150</v>
      </c>
      <c r="BD55" s="258">
        <v>18011150</v>
      </c>
      <c r="BE55" s="258">
        <v>18011150</v>
      </c>
      <c r="BF55" s="258">
        <v>18011150</v>
      </c>
      <c r="BG55" s="258">
        <v>18011150</v>
      </c>
      <c r="BH55" s="258">
        <v>18011150</v>
      </c>
      <c r="BI55" s="258">
        <v>18011150</v>
      </c>
      <c r="BJ55" s="258">
        <v>18011150</v>
      </c>
      <c r="BK55" s="258">
        <v>18011150</v>
      </c>
      <c r="BL55" s="258">
        <v>18011150</v>
      </c>
      <c r="BM55" s="258">
        <v>18011150</v>
      </c>
      <c r="BN55" s="258">
        <v>18011150</v>
      </c>
      <c r="BO55" s="258">
        <v>18011150</v>
      </c>
    </row>
    <row r="56" spans="1:67">
      <c r="A56" s="223">
        <v>1</v>
      </c>
      <c r="B56" s="151" t="s">
        <v>1778</v>
      </c>
      <c r="C56" s="223">
        <v>54</v>
      </c>
      <c r="D56" s="224">
        <v>80826989</v>
      </c>
      <c r="E56" s="224">
        <v>80826989</v>
      </c>
      <c r="F56" s="224">
        <v>80826989</v>
      </c>
      <c r="G56" s="224">
        <v>80826989</v>
      </c>
      <c r="H56" s="224">
        <v>80826989</v>
      </c>
      <c r="I56" s="224">
        <v>80826989</v>
      </c>
      <c r="J56" s="224">
        <v>80826989</v>
      </c>
      <c r="K56" s="224">
        <v>80826989</v>
      </c>
      <c r="L56" s="224">
        <v>80826989</v>
      </c>
      <c r="M56" s="224">
        <v>80826989</v>
      </c>
      <c r="N56" s="224">
        <v>80826989</v>
      </c>
      <c r="O56" s="224">
        <v>80826989</v>
      </c>
      <c r="P56" s="224">
        <v>80826989</v>
      </c>
      <c r="Q56" s="224">
        <v>80826989</v>
      </c>
      <c r="R56" s="224">
        <v>80826989</v>
      </c>
      <c r="S56" s="224">
        <v>80826989</v>
      </c>
      <c r="T56" s="224">
        <v>80826989</v>
      </c>
      <c r="U56" s="224">
        <v>80826989</v>
      </c>
      <c r="V56" s="224">
        <v>80826989</v>
      </c>
      <c r="W56" s="224">
        <v>80826989</v>
      </c>
      <c r="X56" s="224">
        <v>80826989</v>
      </c>
      <c r="Y56" s="224">
        <v>80826989</v>
      </c>
      <c r="Z56" s="224">
        <v>80826989</v>
      </c>
      <c r="AA56" s="224">
        <v>80826989</v>
      </c>
      <c r="AB56" s="224">
        <v>80826989</v>
      </c>
      <c r="AC56" s="224">
        <v>80826989</v>
      </c>
      <c r="AD56" s="224">
        <v>80826989</v>
      </c>
      <c r="AE56" s="224">
        <v>80826989</v>
      </c>
      <c r="AF56" s="224">
        <v>80826989</v>
      </c>
      <c r="AG56" s="224">
        <v>80826989</v>
      </c>
      <c r="AH56" s="224">
        <v>80826989</v>
      </c>
      <c r="AI56" s="224">
        <v>80826989</v>
      </c>
      <c r="AJ56" s="224">
        <v>80826989</v>
      </c>
      <c r="AK56" s="224">
        <v>80826989</v>
      </c>
      <c r="AL56" s="224">
        <v>80826989</v>
      </c>
      <c r="AM56" s="224">
        <v>80826989</v>
      </c>
      <c r="AN56" s="224">
        <v>80826989</v>
      </c>
      <c r="AO56" s="224">
        <v>80826989</v>
      </c>
      <c r="AP56" s="224">
        <v>80826989</v>
      </c>
      <c r="AQ56" s="224">
        <v>80826989</v>
      </c>
      <c r="AR56" s="224">
        <v>80826989</v>
      </c>
      <c r="AS56" s="224">
        <v>80826989</v>
      </c>
      <c r="AT56" s="224">
        <v>80826989</v>
      </c>
      <c r="AU56" s="224">
        <v>80826989</v>
      </c>
      <c r="AV56" s="224">
        <v>80826989</v>
      </c>
      <c r="AW56" s="224">
        <v>80826989</v>
      </c>
      <c r="AX56" s="224">
        <v>80826989</v>
      </c>
      <c r="AY56" s="224">
        <v>80826989</v>
      </c>
      <c r="AZ56" s="224">
        <v>80826989</v>
      </c>
      <c r="BA56" s="224">
        <v>80826989</v>
      </c>
      <c r="BB56" s="224">
        <v>80826989</v>
      </c>
      <c r="BC56" s="224">
        <v>80826989</v>
      </c>
      <c r="BD56" s="224">
        <v>80826989</v>
      </c>
      <c r="BE56" s="224">
        <v>80826989</v>
      </c>
      <c r="BF56" s="224">
        <v>80826989</v>
      </c>
      <c r="BG56" s="224">
        <v>80826989</v>
      </c>
      <c r="BH56" s="224">
        <v>80826989</v>
      </c>
      <c r="BI56" s="224">
        <v>80826989</v>
      </c>
      <c r="BJ56" s="224">
        <v>80826989</v>
      </c>
      <c r="BK56" s="224">
        <v>80826989</v>
      </c>
      <c r="BL56" s="224">
        <v>80826989</v>
      </c>
      <c r="BM56" s="224">
        <v>80826989</v>
      </c>
      <c r="BN56" s="224">
        <v>80826989</v>
      </c>
      <c r="BO56" s="224">
        <v>80826989</v>
      </c>
    </row>
    <row r="57" spans="1:67">
      <c r="A57" s="223">
        <f>A56+1</f>
        <v>2</v>
      </c>
      <c r="B57" s="151" t="s">
        <v>318</v>
      </c>
      <c r="C57" s="223">
        <v>55</v>
      </c>
      <c r="D57" s="224">
        <v>186774141</v>
      </c>
      <c r="E57" s="225">
        <f t="shared" si="21"/>
        <v>186774141</v>
      </c>
      <c r="F57" s="225">
        <f t="shared" si="21"/>
        <v>186774141</v>
      </c>
      <c r="G57" s="225">
        <f t="shared" si="21"/>
        <v>186774141</v>
      </c>
      <c r="H57" s="225">
        <f t="shared" si="21"/>
        <v>186774141</v>
      </c>
      <c r="I57" s="225">
        <f t="shared" si="21"/>
        <v>186774141</v>
      </c>
      <c r="J57" s="225">
        <f t="shared" si="21"/>
        <v>186774141</v>
      </c>
      <c r="K57" s="225">
        <f>J57</f>
        <v>186774141</v>
      </c>
      <c r="L57" s="225">
        <f t="shared" si="22"/>
        <v>186774141</v>
      </c>
      <c r="M57" s="225">
        <f t="shared" si="22"/>
        <v>186774141</v>
      </c>
      <c r="N57" s="225">
        <f t="shared" si="22"/>
        <v>186774141</v>
      </c>
      <c r="O57" s="225">
        <f t="shared" si="22"/>
        <v>186774141</v>
      </c>
      <c r="P57" s="225">
        <f t="shared" si="22"/>
        <v>186774141</v>
      </c>
      <c r="Q57" s="225">
        <f t="shared" si="22"/>
        <v>186774141</v>
      </c>
      <c r="R57" s="225">
        <f t="shared" si="22"/>
        <v>186774141</v>
      </c>
      <c r="S57" s="225">
        <f t="shared" si="22"/>
        <v>186774141</v>
      </c>
      <c r="T57" s="225">
        <f>S57</f>
        <v>186774141</v>
      </c>
      <c r="U57" s="225">
        <f t="shared" si="26"/>
        <v>186774141</v>
      </c>
      <c r="V57" s="225">
        <f t="shared" si="26"/>
        <v>186774141</v>
      </c>
      <c r="W57" s="225">
        <f t="shared" si="26"/>
        <v>186774141</v>
      </c>
      <c r="X57" s="225">
        <f>W57</f>
        <v>186774141</v>
      </c>
      <c r="Y57" s="225">
        <f t="shared" si="23"/>
        <v>186774141</v>
      </c>
      <c r="Z57" s="225">
        <f t="shared" si="23"/>
        <v>186774141</v>
      </c>
      <c r="AA57" s="225">
        <f>Z57</f>
        <v>186774141</v>
      </c>
      <c r="AB57" s="225">
        <f>AA57</f>
        <v>186774141</v>
      </c>
      <c r="AC57" s="225">
        <f>AB57</f>
        <v>186774141</v>
      </c>
      <c r="AD57" s="225">
        <f t="shared" si="14"/>
        <v>186774141</v>
      </c>
      <c r="AE57" s="225">
        <f>AD57</f>
        <v>186774141</v>
      </c>
      <c r="AF57" s="225">
        <f>AE57</f>
        <v>186774141</v>
      </c>
      <c r="AG57" s="225">
        <f t="shared" si="15"/>
        <v>186774141</v>
      </c>
      <c r="AH57" s="225">
        <f>AG57</f>
        <v>186774141</v>
      </c>
      <c r="AI57" s="225">
        <f t="shared" si="24"/>
        <v>186774141</v>
      </c>
      <c r="AJ57" s="225">
        <f t="shared" si="24"/>
        <v>186774141</v>
      </c>
      <c r="AK57" s="225">
        <f t="shared" si="24"/>
        <v>186774141</v>
      </c>
      <c r="AL57" s="225">
        <f t="shared" si="24"/>
        <v>186774141</v>
      </c>
      <c r="AM57" s="225">
        <f t="shared" si="24"/>
        <v>186774141</v>
      </c>
      <c r="AN57" s="225">
        <f>AM57</f>
        <v>186774141</v>
      </c>
      <c r="AO57" s="225">
        <f t="shared" si="25"/>
        <v>186774141</v>
      </c>
      <c r="AP57" s="225">
        <f t="shared" si="25"/>
        <v>186774141</v>
      </c>
      <c r="AQ57" s="225">
        <f t="shared" si="25"/>
        <v>186774141</v>
      </c>
      <c r="AR57" s="225">
        <f t="shared" si="25"/>
        <v>186774141</v>
      </c>
      <c r="AS57" s="225">
        <f t="shared" si="25"/>
        <v>186774141</v>
      </c>
      <c r="AT57" s="225">
        <f t="shared" si="25"/>
        <v>186774141</v>
      </c>
      <c r="AU57" s="225">
        <f t="shared" si="25"/>
        <v>186774141</v>
      </c>
      <c r="AV57" s="225">
        <f t="shared" si="25"/>
        <v>186774141</v>
      </c>
      <c r="AW57" s="225">
        <f>AV57</f>
        <v>186774141</v>
      </c>
      <c r="AX57" s="225">
        <f t="shared" si="27"/>
        <v>186774141</v>
      </c>
      <c r="AY57" s="225">
        <f t="shared" si="27"/>
        <v>186774141</v>
      </c>
      <c r="AZ57" s="225">
        <f t="shared" si="27"/>
        <v>186774141</v>
      </c>
      <c r="BA57" s="225">
        <f t="shared" si="27"/>
        <v>186774141</v>
      </c>
      <c r="BB57" s="225">
        <f t="shared" si="27"/>
        <v>186774141</v>
      </c>
      <c r="BC57" s="225">
        <f>BB57</f>
        <v>186774141</v>
      </c>
      <c r="BD57" s="225">
        <f t="shared" si="28"/>
        <v>186774141</v>
      </c>
      <c r="BE57" s="225">
        <f t="shared" si="28"/>
        <v>186774141</v>
      </c>
      <c r="BF57" s="225">
        <f t="shared" si="28"/>
        <v>186774141</v>
      </c>
      <c r="BG57" s="225">
        <f t="shared" si="28"/>
        <v>186774141</v>
      </c>
      <c r="BH57" s="225">
        <f t="shared" si="28"/>
        <v>186774141</v>
      </c>
      <c r="BI57" s="225">
        <f t="shared" si="28"/>
        <v>186774141</v>
      </c>
      <c r="BJ57" s="225">
        <f t="shared" si="28"/>
        <v>186774141</v>
      </c>
      <c r="BK57" s="225">
        <f t="shared" si="28"/>
        <v>186774141</v>
      </c>
      <c r="BL57" s="225">
        <f t="shared" si="28"/>
        <v>186774141</v>
      </c>
      <c r="BM57" s="225">
        <f t="shared" si="28"/>
        <v>186774141</v>
      </c>
      <c r="BN57" s="225">
        <f t="shared" si="28"/>
        <v>186774141</v>
      </c>
      <c r="BO57" s="225">
        <f t="shared" si="28"/>
        <v>186774141</v>
      </c>
    </row>
    <row r="58" spans="1:67">
      <c r="A58" s="223">
        <v>2</v>
      </c>
      <c r="B58" s="151" t="s">
        <v>1557</v>
      </c>
      <c r="C58" s="223">
        <v>56</v>
      </c>
      <c r="D58" s="258">
        <f>D57</f>
        <v>186774141</v>
      </c>
      <c r="E58" s="258">
        <f t="shared" ref="E58:BO58" si="29">E57</f>
        <v>186774141</v>
      </c>
      <c r="F58" s="258">
        <f t="shared" si="29"/>
        <v>186774141</v>
      </c>
      <c r="G58" s="258">
        <f t="shared" si="29"/>
        <v>186774141</v>
      </c>
      <c r="H58" s="258">
        <f t="shared" si="29"/>
        <v>186774141</v>
      </c>
      <c r="I58" s="258">
        <f t="shared" si="29"/>
        <v>186774141</v>
      </c>
      <c r="J58" s="258">
        <f t="shared" si="29"/>
        <v>186774141</v>
      </c>
      <c r="K58" s="258">
        <f t="shared" si="29"/>
        <v>186774141</v>
      </c>
      <c r="L58" s="258">
        <f t="shared" si="29"/>
        <v>186774141</v>
      </c>
      <c r="M58" s="258">
        <f t="shared" si="29"/>
        <v>186774141</v>
      </c>
      <c r="N58" s="258">
        <f t="shared" si="29"/>
        <v>186774141</v>
      </c>
      <c r="O58" s="258">
        <f t="shared" si="29"/>
        <v>186774141</v>
      </c>
      <c r="P58" s="258">
        <f t="shared" si="29"/>
        <v>186774141</v>
      </c>
      <c r="Q58" s="258">
        <f t="shared" si="29"/>
        <v>186774141</v>
      </c>
      <c r="R58" s="258">
        <f t="shared" si="29"/>
        <v>186774141</v>
      </c>
      <c r="S58" s="258">
        <f t="shared" si="29"/>
        <v>186774141</v>
      </c>
      <c r="T58" s="258">
        <f t="shared" si="29"/>
        <v>186774141</v>
      </c>
      <c r="U58" s="258">
        <f t="shared" si="29"/>
        <v>186774141</v>
      </c>
      <c r="V58" s="258">
        <f t="shared" si="29"/>
        <v>186774141</v>
      </c>
      <c r="W58" s="258">
        <f t="shared" si="29"/>
        <v>186774141</v>
      </c>
      <c r="X58" s="258">
        <f t="shared" si="29"/>
        <v>186774141</v>
      </c>
      <c r="Y58" s="258">
        <f t="shared" si="29"/>
        <v>186774141</v>
      </c>
      <c r="Z58" s="258">
        <f t="shared" si="29"/>
        <v>186774141</v>
      </c>
      <c r="AA58" s="258">
        <f t="shared" si="29"/>
        <v>186774141</v>
      </c>
      <c r="AB58" s="258">
        <f t="shared" si="29"/>
        <v>186774141</v>
      </c>
      <c r="AC58" s="258">
        <f t="shared" si="29"/>
        <v>186774141</v>
      </c>
      <c r="AD58" s="258">
        <f t="shared" si="29"/>
        <v>186774141</v>
      </c>
      <c r="AE58" s="258">
        <f t="shared" si="29"/>
        <v>186774141</v>
      </c>
      <c r="AF58" s="258">
        <f t="shared" si="29"/>
        <v>186774141</v>
      </c>
      <c r="AG58" s="258">
        <f t="shared" si="29"/>
        <v>186774141</v>
      </c>
      <c r="AH58" s="258">
        <f t="shared" si="29"/>
        <v>186774141</v>
      </c>
      <c r="AI58" s="258">
        <f t="shared" si="29"/>
        <v>186774141</v>
      </c>
      <c r="AJ58" s="258">
        <f t="shared" si="29"/>
        <v>186774141</v>
      </c>
      <c r="AK58" s="258">
        <f t="shared" si="29"/>
        <v>186774141</v>
      </c>
      <c r="AL58" s="258">
        <f t="shared" si="29"/>
        <v>186774141</v>
      </c>
      <c r="AM58" s="258">
        <f t="shared" si="29"/>
        <v>186774141</v>
      </c>
      <c r="AN58" s="258">
        <f t="shared" si="29"/>
        <v>186774141</v>
      </c>
      <c r="AO58" s="258">
        <f t="shared" si="29"/>
        <v>186774141</v>
      </c>
      <c r="AP58" s="258">
        <f t="shared" si="29"/>
        <v>186774141</v>
      </c>
      <c r="AQ58" s="258">
        <f t="shared" si="29"/>
        <v>186774141</v>
      </c>
      <c r="AR58" s="258">
        <f t="shared" si="29"/>
        <v>186774141</v>
      </c>
      <c r="AS58" s="258">
        <f t="shared" si="29"/>
        <v>186774141</v>
      </c>
      <c r="AT58" s="258">
        <f t="shared" si="29"/>
        <v>186774141</v>
      </c>
      <c r="AU58" s="258">
        <f t="shared" si="29"/>
        <v>186774141</v>
      </c>
      <c r="AV58" s="258">
        <f t="shared" si="29"/>
        <v>186774141</v>
      </c>
      <c r="AW58" s="258">
        <f t="shared" si="29"/>
        <v>186774141</v>
      </c>
      <c r="AX58" s="258">
        <f t="shared" si="29"/>
        <v>186774141</v>
      </c>
      <c r="AY58" s="258">
        <f t="shared" si="29"/>
        <v>186774141</v>
      </c>
      <c r="AZ58" s="258">
        <f t="shared" si="29"/>
        <v>186774141</v>
      </c>
      <c r="BA58" s="258">
        <f t="shared" si="29"/>
        <v>186774141</v>
      </c>
      <c r="BB58" s="258">
        <f t="shared" si="29"/>
        <v>186774141</v>
      </c>
      <c r="BC58" s="258">
        <f t="shared" si="29"/>
        <v>186774141</v>
      </c>
      <c r="BD58" s="258">
        <f t="shared" si="29"/>
        <v>186774141</v>
      </c>
      <c r="BE58" s="258">
        <f t="shared" si="29"/>
        <v>186774141</v>
      </c>
      <c r="BF58" s="258">
        <f t="shared" si="29"/>
        <v>186774141</v>
      </c>
      <c r="BG58" s="258">
        <f t="shared" si="29"/>
        <v>186774141</v>
      </c>
      <c r="BH58" s="258">
        <f t="shared" si="29"/>
        <v>186774141</v>
      </c>
      <c r="BI58" s="258">
        <f t="shared" si="29"/>
        <v>186774141</v>
      </c>
      <c r="BJ58" s="258">
        <f t="shared" si="29"/>
        <v>186774141</v>
      </c>
      <c r="BK58" s="258">
        <f t="shared" si="29"/>
        <v>186774141</v>
      </c>
      <c r="BL58" s="258">
        <f t="shared" si="29"/>
        <v>186774141</v>
      </c>
      <c r="BM58" s="258">
        <f t="shared" si="29"/>
        <v>186774141</v>
      </c>
      <c r="BN58" s="258">
        <f t="shared" si="29"/>
        <v>186774141</v>
      </c>
      <c r="BO58" s="258">
        <f t="shared" si="29"/>
        <v>186774141</v>
      </c>
    </row>
    <row r="59" spans="1:67" s="105" customFormat="1">
      <c r="A59" s="223">
        <f>A58+1</f>
        <v>3</v>
      </c>
      <c r="B59" s="182" t="s">
        <v>315</v>
      </c>
      <c r="C59" s="223">
        <v>57</v>
      </c>
      <c r="D59" s="238">
        <v>124597678.0046615</v>
      </c>
      <c r="E59" s="239">
        <f t="shared" si="21"/>
        <v>124597678.0046615</v>
      </c>
      <c r="F59" s="239">
        <f t="shared" si="21"/>
        <v>124597678.0046615</v>
      </c>
      <c r="G59" s="239">
        <f t="shared" si="21"/>
        <v>124597678.0046615</v>
      </c>
      <c r="H59" s="239">
        <f t="shared" si="21"/>
        <v>124597678.0046615</v>
      </c>
      <c r="I59" s="239">
        <f t="shared" si="21"/>
        <v>124597678.0046615</v>
      </c>
      <c r="J59" s="239">
        <f t="shared" si="21"/>
        <v>124597678.0046615</v>
      </c>
      <c r="K59" s="240">
        <v>119013845.79877692</v>
      </c>
      <c r="L59" s="240">
        <f t="shared" si="22"/>
        <v>119013845.79877692</v>
      </c>
      <c r="M59" s="240">
        <f t="shared" si="22"/>
        <v>119013845.79877692</v>
      </c>
      <c r="N59" s="240">
        <f t="shared" si="22"/>
        <v>119013845.79877692</v>
      </c>
      <c r="O59" s="240">
        <f t="shared" si="22"/>
        <v>119013845.79877692</v>
      </c>
      <c r="P59" s="240">
        <f t="shared" si="22"/>
        <v>119013845.79877692</v>
      </c>
      <c r="Q59" s="240">
        <f t="shared" si="22"/>
        <v>119013845.79877692</v>
      </c>
      <c r="R59" s="240">
        <f t="shared" si="22"/>
        <v>119013845.79877692</v>
      </c>
      <c r="S59" s="240">
        <f t="shared" si="22"/>
        <v>119013845.79877692</v>
      </c>
      <c r="T59" s="238">
        <v>117696417.87770067</v>
      </c>
      <c r="U59" s="238">
        <f t="shared" si="26"/>
        <v>117696417.87770067</v>
      </c>
      <c r="V59" s="238">
        <f t="shared" si="26"/>
        <v>117696417.87770067</v>
      </c>
      <c r="W59" s="238">
        <f t="shared" si="26"/>
        <v>117696417.87770067</v>
      </c>
      <c r="X59" s="226">
        <v>117892638.94083638</v>
      </c>
      <c r="Y59" s="241">
        <f t="shared" si="23"/>
        <v>117892638.94083638</v>
      </c>
      <c r="Z59" s="241">
        <f t="shared" si="23"/>
        <v>117892638.94083638</v>
      </c>
      <c r="AA59" s="238">
        <v>110462685.34018697</v>
      </c>
      <c r="AB59" s="238">
        <v>113372272.84452598</v>
      </c>
      <c r="AC59" s="238">
        <v>111835893.63456354</v>
      </c>
      <c r="AD59" s="238">
        <f t="shared" si="14"/>
        <v>111835893.63456354</v>
      </c>
      <c r="AE59" s="241">
        <v>115931928.77702616</v>
      </c>
      <c r="AF59" s="238">
        <v>119797452.47688919</v>
      </c>
      <c r="AG59" s="238">
        <f t="shared" si="15"/>
        <v>119797452.47688919</v>
      </c>
      <c r="AH59" s="226">
        <v>117125176.58855528</v>
      </c>
      <c r="AI59" s="241">
        <f t="shared" si="24"/>
        <v>117125176.58855528</v>
      </c>
      <c r="AJ59" s="241">
        <f t="shared" si="24"/>
        <v>117125176.58855528</v>
      </c>
      <c r="AK59" s="241">
        <f t="shared" si="24"/>
        <v>117125176.58855528</v>
      </c>
      <c r="AL59" s="241">
        <f t="shared" si="24"/>
        <v>117125176.58855528</v>
      </c>
      <c r="AM59" s="241">
        <f t="shared" si="24"/>
        <v>117125176.58855528</v>
      </c>
      <c r="AN59" s="235">
        <v>118866157.19802128</v>
      </c>
      <c r="AO59" s="235">
        <f t="shared" si="25"/>
        <v>118866157.19802128</v>
      </c>
      <c r="AP59" s="235">
        <f t="shared" si="25"/>
        <v>118866157.19802128</v>
      </c>
      <c r="AQ59" s="242">
        <f t="shared" si="25"/>
        <v>118866157.19802128</v>
      </c>
      <c r="AR59" s="242">
        <f t="shared" si="25"/>
        <v>118866157.19802128</v>
      </c>
      <c r="AS59" s="242">
        <f t="shared" si="25"/>
        <v>118866157.19802128</v>
      </c>
      <c r="AT59" s="242">
        <f t="shared" si="25"/>
        <v>118866157.19802128</v>
      </c>
      <c r="AU59" s="242">
        <f t="shared" si="25"/>
        <v>118866157.19802128</v>
      </c>
      <c r="AV59" s="242">
        <f t="shared" si="25"/>
        <v>118866157.19802128</v>
      </c>
      <c r="AW59" s="241">
        <v>128098522.9013909</v>
      </c>
      <c r="AX59" s="241">
        <f t="shared" si="27"/>
        <v>128098522.9013909</v>
      </c>
      <c r="AY59" s="241">
        <f t="shared" si="27"/>
        <v>128098522.9013909</v>
      </c>
      <c r="AZ59" s="241">
        <f t="shared" si="27"/>
        <v>128098522.9013909</v>
      </c>
      <c r="BA59" s="241">
        <f t="shared" si="27"/>
        <v>128098522.9013909</v>
      </c>
      <c r="BB59" s="241">
        <f t="shared" si="27"/>
        <v>128098522.9013909</v>
      </c>
      <c r="BC59" s="238">
        <v>119266156.57353605</v>
      </c>
      <c r="BD59" s="238">
        <f t="shared" si="28"/>
        <v>119266156.57353605</v>
      </c>
      <c r="BE59" s="238">
        <f t="shared" si="28"/>
        <v>119266156.57353605</v>
      </c>
      <c r="BF59" s="238">
        <f t="shared" si="28"/>
        <v>119266156.57353605</v>
      </c>
      <c r="BG59" s="238">
        <f t="shared" si="28"/>
        <v>119266156.57353605</v>
      </c>
      <c r="BH59" s="238">
        <f t="shared" si="28"/>
        <v>119266156.57353605</v>
      </c>
      <c r="BI59" s="238">
        <f t="shared" si="28"/>
        <v>119266156.57353605</v>
      </c>
      <c r="BJ59" s="238">
        <f t="shared" si="28"/>
        <v>119266156.57353605</v>
      </c>
      <c r="BK59" s="238">
        <f t="shared" si="28"/>
        <v>119266156.57353605</v>
      </c>
      <c r="BL59" s="238">
        <f t="shared" si="28"/>
        <v>119266156.57353605</v>
      </c>
      <c r="BM59" s="238">
        <f t="shared" si="28"/>
        <v>119266156.57353605</v>
      </c>
      <c r="BN59" s="238">
        <f t="shared" si="28"/>
        <v>119266156.57353605</v>
      </c>
      <c r="BO59" s="238">
        <f t="shared" si="28"/>
        <v>119266156.57353605</v>
      </c>
    </row>
    <row r="60" spans="1:67">
      <c r="A60" s="223">
        <v>3</v>
      </c>
      <c r="B60" s="151" t="s">
        <v>316</v>
      </c>
      <c r="C60" s="223">
        <v>58</v>
      </c>
      <c r="D60" s="224"/>
      <c r="E60" s="225">
        <f t="shared" si="21"/>
        <v>0</v>
      </c>
      <c r="F60" s="225">
        <f t="shared" si="21"/>
        <v>0</v>
      </c>
      <c r="G60" s="225">
        <f t="shared" si="21"/>
        <v>0</v>
      </c>
      <c r="H60" s="225">
        <f t="shared" si="21"/>
        <v>0</v>
      </c>
      <c r="I60" s="225">
        <f t="shared" si="21"/>
        <v>0</v>
      </c>
      <c r="J60" s="225">
        <f t="shared" si="21"/>
        <v>0</v>
      </c>
      <c r="K60" s="237"/>
      <c r="L60" s="237">
        <f t="shared" si="22"/>
        <v>0</v>
      </c>
      <c r="M60" s="237">
        <f t="shared" si="22"/>
        <v>0</v>
      </c>
      <c r="N60" s="237">
        <f t="shared" si="22"/>
        <v>0</v>
      </c>
      <c r="O60" s="237">
        <f t="shared" si="22"/>
        <v>0</v>
      </c>
      <c r="P60" s="237">
        <f t="shared" si="22"/>
        <v>0</v>
      </c>
      <c r="Q60" s="237">
        <f t="shared" si="22"/>
        <v>0</v>
      </c>
      <c r="R60" s="237">
        <f t="shared" si="22"/>
        <v>0</v>
      </c>
      <c r="S60" s="237">
        <f t="shared" si="22"/>
        <v>0</v>
      </c>
      <c r="T60" s="224"/>
      <c r="U60" s="224">
        <f t="shared" si="26"/>
        <v>0</v>
      </c>
      <c r="V60" s="224">
        <f t="shared" si="26"/>
        <v>0</v>
      </c>
      <c r="W60" s="224">
        <f t="shared" si="26"/>
        <v>0</v>
      </c>
      <c r="X60" s="226"/>
      <c r="Y60" s="226">
        <f t="shared" si="23"/>
        <v>0</v>
      </c>
      <c r="Z60" s="226">
        <f t="shared" si="23"/>
        <v>0</v>
      </c>
      <c r="AA60" s="224"/>
      <c r="AB60" s="224"/>
      <c r="AC60" s="224"/>
      <c r="AD60" s="224">
        <f t="shared" si="14"/>
        <v>0</v>
      </c>
      <c r="AE60" s="226"/>
      <c r="AF60" s="224"/>
      <c r="AG60" s="224">
        <f t="shared" si="15"/>
        <v>0</v>
      </c>
      <c r="AH60" s="226"/>
      <c r="AI60" s="226">
        <f t="shared" si="24"/>
        <v>0</v>
      </c>
      <c r="AJ60" s="226">
        <f t="shared" si="24"/>
        <v>0</v>
      </c>
      <c r="AK60" s="226">
        <f t="shared" si="24"/>
        <v>0</v>
      </c>
      <c r="AL60" s="226">
        <f t="shared" si="24"/>
        <v>0</v>
      </c>
      <c r="AM60" s="226">
        <f t="shared" si="24"/>
        <v>0</v>
      </c>
      <c r="AN60" s="235"/>
      <c r="AO60" s="235">
        <f t="shared" si="25"/>
        <v>0</v>
      </c>
      <c r="AP60" s="235">
        <f t="shared" si="25"/>
        <v>0</v>
      </c>
      <c r="AQ60" s="236">
        <f t="shared" si="25"/>
        <v>0</v>
      </c>
      <c r="AR60" s="236">
        <f t="shared" si="25"/>
        <v>0</v>
      </c>
      <c r="AS60" s="236">
        <f t="shared" si="25"/>
        <v>0</v>
      </c>
      <c r="AT60" s="236">
        <f t="shared" si="25"/>
        <v>0</v>
      </c>
      <c r="AU60" s="236">
        <f t="shared" si="25"/>
        <v>0</v>
      </c>
      <c r="AV60" s="236">
        <f t="shared" si="25"/>
        <v>0</v>
      </c>
      <c r="AW60" s="226"/>
      <c r="AX60" s="226">
        <f t="shared" si="27"/>
        <v>0</v>
      </c>
      <c r="AY60" s="226">
        <f t="shared" si="27"/>
        <v>0</v>
      </c>
      <c r="AZ60" s="226">
        <f t="shared" si="27"/>
        <v>0</v>
      </c>
      <c r="BA60" s="226">
        <f t="shared" si="27"/>
        <v>0</v>
      </c>
      <c r="BB60" s="226">
        <f t="shared" si="27"/>
        <v>0</v>
      </c>
      <c r="BC60" s="224"/>
      <c r="BD60" s="224">
        <f t="shared" si="28"/>
        <v>0</v>
      </c>
      <c r="BE60" s="224">
        <f t="shared" si="28"/>
        <v>0</v>
      </c>
      <c r="BF60" s="224">
        <f t="shared" si="28"/>
        <v>0</v>
      </c>
      <c r="BG60" s="224">
        <f t="shared" si="28"/>
        <v>0</v>
      </c>
      <c r="BH60" s="224">
        <f t="shared" si="28"/>
        <v>0</v>
      </c>
      <c r="BI60" s="224">
        <f t="shared" si="28"/>
        <v>0</v>
      </c>
      <c r="BJ60" s="224">
        <f t="shared" si="28"/>
        <v>0</v>
      </c>
      <c r="BK60" s="224">
        <f t="shared" si="28"/>
        <v>0</v>
      </c>
      <c r="BL60" s="224">
        <f t="shared" si="28"/>
        <v>0</v>
      </c>
      <c r="BM60" s="224">
        <f t="shared" si="28"/>
        <v>0</v>
      </c>
      <c r="BN60" s="224">
        <f t="shared" si="28"/>
        <v>0</v>
      </c>
      <c r="BO60" s="224">
        <f t="shared" si="28"/>
        <v>0</v>
      </c>
    </row>
    <row r="61" spans="1:67">
      <c r="A61" s="229" t="s">
        <v>219</v>
      </c>
      <c r="B61" s="230" t="s">
        <v>45</v>
      </c>
      <c r="C61" s="223">
        <v>59</v>
      </c>
      <c r="D61" s="224"/>
      <c r="E61" s="225">
        <f t="shared" si="21"/>
        <v>0</v>
      </c>
      <c r="F61" s="225">
        <f t="shared" si="21"/>
        <v>0</v>
      </c>
      <c r="G61" s="225">
        <f t="shared" si="21"/>
        <v>0</v>
      </c>
      <c r="H61" s="225">
        <f t="shared" si="21"/>
        <v>0</v>
      </c>
      <c r="I61" s="225">
        <f t="shared" si="21"/>
        <v>0</v>
      </c>
      <c r="J61" s="225">
        <f t="shared" si="21"/>
        <v>0</v>
      </c>
      <c r="K61" s="237"/>
      <c r="L61" s="237">
        <f t="shared" si="22"/>
        <v>0</v>
      </c>
      <c r="M61" s="237">
        <f t="shared" si="22"/>
        <v>0</v>
      </c>
      <c r="N61" s="237">
        <f t="shared" si="22"/>
        <v>0</v>
      </c>
      <c r="O61" s="237">
        <f t="shared" si="22"/>
        <v>0</v>
      </c>
      <c r="P61" s="237">
        <f t="shared" si="22"/>
        <v>0</v>
      </c>
      <c r="Q61" s="237">
        <f t="shared" si="22"/>
        <v>0</v>
      </c>
      <c r="R61" s="237">
        <f t="shared" si="22"/>
        <v>0</v>
      </c>
      <c r="S61" s="237">
        <f t="shared" si="22"/>
        <v>0</v>
      </c>
      <c r="T61" s="224"/>
      <c r="U61" s="224">
        <f t="shared" si="26"/>
        <v>0</v>
      </c>
      <c r="V61" s="224">
        <f t="shared" si="26"/>
        <v>0</v>
      </c>
      <c r="W61" s="224">
        <f t="shared" si="26"/>
        <v>0</v>
      </c>
      <c r="X61" s="226"/>
      <c r="Y61" s="226">
        <f t="shared" si="23"/>
        <v>0</v>
      </c>
      <c r="Z61" s="226">
        <f t="shared" si="23"/>
        <v>0</v>
      </c>
      <c r="AA61" s="224"/>
      <c r="AB61" s="224"/>
      <c r="AC61" s="224"/>
      <c r="AD61" s="224">
        <f t="shared" si="14"/>
        <v>0</v>
      </c>
      <c r="AE61" s="226"/>
      <c r="AF61" s="224"/>
      <c r="AG61" s="224">
        <f t="shared" si="15"/>
        <v>0</v>
      </c>
      <c r="AH61" s="226"/>
      <c r="AI61" s="226">
        <f t="shared" si="24"/>
        <v>0</v>
      </c>
      <c r="AJ61" s="226">
        <f t="shared" si="24"/>
        <v>0</v>
      </c>
      <c r="AK61" s="226">
        <f t="shared" si="24"/>
        <v>0</v>
      </c>
      <c r="AL61" s="226">
        <f t="shared" si="24"/>
        <v>0</v>
      </c>
      <c r="AM61" s="226">
        <f t="shared" si="24"/>
        <v>0</v>
      </c>
      <c r="AN61" s="235"/>
      <c r="AO61" s="235">
        <f t="shared" si="25"/>
        <v>0</v>
      </c>
      <c r="AP61" s="235">
        <f t="shared" si="25"/>
        <v>0</v>
      </c>
      <c r="AQ61" s="236">
        <f t="shared" si="25"/>
        <v>0</v>
      </c>
      <c r="AR61" s="236">
        <f t="shared" si="25"/>
        <v>0</v>
      </c>
      <c r="AS61" s="236">
        <f t="shared" si="25"/>
        <v>0</v>
      </c>
      <c r="AT61" s="236">
        <f t="shared" si="25"/>
        <v>0</v>
      </c>
      <c r="AU61" s="236">
        <f t="shared" si="25"/>
        <v>0</v>
      </c>
      <c r="AV61" s="236">
        <f t="shared" si="25"/>
        <v>0</v>
      </c>
      <c r="AW61" s="226"/>
      <c r="AX61" s="226">
        <f t="shared" si="27"/>
        <v>0</v>
      </c>
      <c r="AY61" s="226">
        <f t="shared" si="27"/>
        <v>0</v>
      </c>
      <c r="AZ61" s="226">
        <f t="shared" si="27"/>
        <v>0</v>
      </c>
      <c r="BA61" s="226">
        <f t="shared" si="27"/>
        <v>0</v>
      </c>
      <c r="BB61" s="226">
        <f t="shared" si="27"/>
        <v>0</v>
      </c>
      <c r="BC61" s="224"/>
      <c r="BD61" s="224">
        <f t="shared" si="28"/>
        <v>0</v>
      </c>
      <c r="BE61" s="224">
        <f t="shared" si="28"/>
        <v>0</v>
      </c>
      <c r="BF61" s="224">
        <f t="shared" si="28"/>
        <v>0</v>
      </c>
      <c r="BG61" s="224">
        <f t="shared" si="28"/>
        <v>0</v>
      </c>
      <c r="BH61" s="224">
        <f t="shared" si="28"/>
        <v>0</v>
      </c>
      <c r="BI61" s="224">
        <f t="shared" si="28"/>
        <v>0</v>
      </c>
      <c r="BJ61" s="224">
        <f t="shared" si="28"/>
        <v>0</v>
      </c>
      <c r="BK61" s="224">
        <f t="shared" si="28"/>
        <v>0</v>
      </c>
      <c r="BL61" s="224">
        <f t="shared" si="28"/>
        <v>0</v>
      </c>
      <c r="BM61" s="224">
        <f t="shared" si="28"/>
        <v>0</v>
      </c>
      <c r="BN61" s="224">
        <f t="shared" si="28"/>
        <v>0</v>
      </c>
      <c r="BO61" s="224">
        <f t="shared" si="28"/>
        <v>0</v>
      </c>
    </row>
    <row r="62" spans="1:67">
      <c r="A62" s="223">
        <v>1</v>
      </c>
      <c r="B62" s="151" t="s">
        <v>46</v>
      </c>
      <c r="C62" s="223">
        <v>60</v>
      </c>
      <c r="D62" s="224">
        <v>13033180.089525117</v>
      </c>
      <c r="E62" s="225">
        <f t="shared" si="21"/>
        <v>13033180.089525117</v>
      </c>
      <c r="F62" s="225">
        <f t="shared" si="21"/>
        <v>13033180.089525117</v>
      </c>
      <c r="G62" s="225">
        <f t="shared" si="21"/>
        <v>13033180.089525117</v>
      </c>
      <c r="H62" s="225">
        <f t="shared" si="21"/>
        <v>13033180.089525117</v>
      </c>
      <c r="I62" s="225">
        <f t="shared" si="21"/>
        <v>13033180.089525117</v>
      </c>
      <c r="J62" s="225">
        <f t="shared" si="21"/>
        <v>13033180.089525117</v>
      </c>
      <c r="K62" s="237">
        <v>12690924.146109929</v>
      </c>
      <c r="L62" s="237">
        <f t="shared" si="22"/>
        <v>12690924.146109929</v>
      </c>
      <c r="M62" s="237">
        <f t="shared" si="22"/>
        <v>12690924.146109929</v>
      </c>
      <c r="N62" s="237">
        <f t="shared" si="22"/>
        <v>12690924.146109929</v>
      </c>
      <c r="O62" s="237">
        <f t="shared" si="22"/>
        <v>12690924.146109929</v>
      </c>
      <c r="P62" s="237">
        <f t="shared" si="22"/>
        <v>12690924.146109929</v>
      </c>
      <c r="Q62" s="237">
        <f t="shared" si="22"/>
        <v>12690924.146109929</v>
      </c>
      <c r="R62" s="237">
        <f t="shared" si="22"/>
        <v>12690924.146109929</v>
      </c>
      <c r="S62" s="237">
        <f t="shared" si="22"/>
        <v>12690924.146109929</v>
      </c>
      <c r="T62" s="224">
        <v>12907015.564832732</v>
      </c>
      <c r="U62" s="224">
        <f t="shared" si="26"/>
        <v>12907015.564832732</v>
      </c>
      <c r="V62" s="224">
        <f t="shared" si="26"/>
        <v>12907015.564832732</v>
      </c>
      <c r="W62" s="224">
        <f t="shared" si="26"/>
        <v>12907015.564832732</v>
      </c>
      <c r="X62" s="226">
        <v>13039480.799378447</v>
      </c>
      <c r="Y62" s="226">
        <f t="shared" si="23"/>
        <v>13039480.799378447</v>
      </c>
      <c r="Z62" s="226">
        <f t="shared" si="23"/>
        <v>13039480.799378447</v>
      </c>
      <c r="AA62" s="224">
        <v>12908024.023199197</v>
      </c>
      <c r="AB62" s="224">
        <v>12695939.012778433</v>
      </c>
      <c r="AC62" s="224">
        <v>12322478.833888413</v>
      </c>
      <c r="AD62" s="224">
        <f t="shared" si="14"/>
        <v>12322478.833888413</v>
      </c>
      <c r="AE62" s="226">
        <v>12857349.675410872</v>
      </c>
      <c r="AF62" s="224">
        <v>12805928.652119718</v>
      </c>
      <c r="AG62" s="224">
        <f t="shared" si="15"/>
        <v>12805928.652119718</v>
      </c>
      <c r="AH62" s="226">
        <v>13205612.690230489</v>
      </c>
      <c r="AI62" s="226">
        <f t="shared" si="24"/>
        <v>13205612.690230489</v>
      </c>
      <c r="AJ62" s="226">
        <f t="shared" si="24"/>
        <v>13205612.690230489</v>
      </c>
      <c r="AK62" s="226">
        <f t="shared" si="24"/>
        <v>13205612.690230489</v>
      </c>
      <c r="AL62" s="226">
        <f t="shared" si="24"/>
        <v>13205612.690230489</v>
      </c>
      <c r="AM62" s="226">
        <f t="shared" si="24"/>
        <v>13205612.690230489</v>
      </c>
      <c r="AN62" s="235">
        <v>13363443.132153902</v>
      </c>
      <c r="AO62" s="235">
        <f t="shared" si="25"/>
        <v>13363443.132153902</v>
      </c>
      <c r="AP62" s="235">
        <f t="shared" si="25"/>
        <v>13363443.132153902</v>
      </c>
      <c r="AQ62" s="236">
        <f t="shared" si="25"/>
        <v>13363443.132153902</v>
      </c>
      <c r="AR62" s="236">
        <f t="shared" si="25"/>
        <v>13363443.132153902</v>
      </c>
      <c r="AS62" s="236">
        <f t="shared" si="25"/>
        <v>13363443.132153902</v>
      </c>
      <c r="AT62" s="236">
        <f t="shared" si="25"/>
        <v>13363443.132153902</v>
      </c>
      <c r="AU62" s="236">
        <f t="shared" si="25"/>
        <v>13363443.132153902</v>
      </c>
      <c r="AV62" s="236">
        <f t="shared" si="25"/>
        <v>13363443.132153902</v>
      </c>
      <c r="AW62" s="226">
        <v>13026142.58640559</v>
      </c>
      <c r="AX62" s="226">
        <f t="shared" si="27"/>
        <v>13026142.58640559</v>
      </c>
      <c r="AY62" s="226">
        <f t="shared" si="27"/>
        <v>13026142.58640559</v>
      </c>
      <c r="AZ62" s="226">
        <f t="shared" si="27"/>
        <v>13026142.58640559</v>
      </c>
      <c r="BA62" s="226">
        <f t="shared" si="27"/>
        <v>13026142.58640559</v>
      </c>
      <c r="BB62" s="226">
        <f t="shared" si="27"/>
        <v>13026142.58640559</v>
      </c>
      <c r="BC62" s="224">
        <v>13873677.166714763</v>
      </c>
      <c r="BD62" s="224">
        <f t="shared" si="28"/>
        <v>13873677.166714763</v>
      </c>
      <c r="BE62" s="224">
        <f t="shared" si="28"/>
        <v>13873677.166714763</v>
      </c>
      <c r="BF62" s="224">
        <f t="shared" si="28"/>
        <v>13873677.166714763</v>
      </c>
      <c r="BG62" s="224">
        <f t="shared" si="28"/>
        <v>13873677.166714763</v>
      </c>
      <c r="BH62" s="224">
        <f t="shared" si="28"/>
        <v>13873677.166714763</v>
      </c>
      <c r="BI62" s="224">
        <f t="shared" si="28"/>
        <v>13873677.166714763</v>
      </c>
      <c r="BJ62" s="224">
        <f t="shared" si="28"/>
        <v>13873677.166714763</v>
      </c>
      <c r="BK62" s="224">
        <f t="shared" si="28"/>
        <v>13873677.166714763</v>
      </c>
      <c r="BL62" s="224">
        <f t="shared" si="28"/>
        <v>13873677.166714763</v>
      </c>
      <c r="BM62" s="224">
        <f t="shared" si="28"/>
        <v>13873677.166714763</v>
      </c>
      <c r="BN62" s="224">
        <f t="shared" si="28"/>
        <v>13873677.166714763</v>
      </c>
      <c r="BO62" s="224">
        <f t="shared" si="28"/>
        <v>13873677.166714763</v>
      </c>
    </row>
    <row r="63" spans="1:67">
      <c r="A63" s="223">
        <f>A62+1</f>
        <v>2</v>
      </c>
      <c r="B63" s="151" t="s">
        <v>1459</v>
      </c>
      <c r="C63" s="223">
        <v>61</v>
      </c>
      <c r="D63" s="224">
        <v>3644634.0654095183</v>
      </c>
      <c r="E63" s="225">
        <f t="shared" si="21"/>
        <v>3644634.0654095183</v>
      </c>
      <c r="F63" s="225">
        <f t="shared" si="21"/>
        <v>3644634.0654095183</v>
      </c>
      <c r="G63" s="225">
        <f t="shared" si="21"/>
        <v>3644634.0654095183</v>
      </c>
      <c r="H63" s="225">
        <f t="shared" si="21"/>
        <v>3644634.0654095183</v>
      </c>
      <c r="I63" s="225">
        <f t="shared" si="21"/>
        <v>3644634.0654095183</v>
      </c>
      <c r="J63" s="225">
        <f t="shared" si="21"/>
        <v>3644634.0654095183</v>
      </c>
      <c r="K63" s="237">
        <v>3647233.0989264408</v>
      </c>
      <c r="L63" s="237">
        <f t="shared" si="22"/>
        <v>3647233.0989264408</v>
      </c>
      <c r="M63" s="237">
        <f t="shared" si="22"/>
        <v>3647233.0989264408</v>
      </c>
      <c r="N63" s="237">
        <f t="shared" si="22"/>
        <v>3647233.0989264408</v>
      </c>
      <c r="O63" s="237">
        <f t="shared" si="22"/>
        <v>3647233.0989264408</v>
      </c>
      <c r="P63" s="237">
        <f t="shared" si="22"/>
        <v>3647233.0989264408</v>
      </c>
      <c r="Q63" s="237">
        <f t="shared" si="22"/>
        <v>3647233.0989264408</v>
      </c>
      <c r="R63" s="237">
        <f t="shared" si="22"/>
        <v>3647233.0989264408</v>
      </c>
      <c r="S63" s="237">
        <f t="shared" si="22"/>
        <v>3647233.0989264408</v>
      </c>
      <c r="T63" s="224">
        <v>3633637.9496161877</v>
      </c>
      <c r="U63" s="224">
        <f t="shared" si="26"/>
        <v>3633637.9496161877</v>
      </c>
      <c r="V63" s="224">
        <f t="shared" si="26"/>
        <v>3633637.9496161877</v>
      </c>
      <c r="W63" s="224">
        <f t="shared" si="26"/>
        <v>3633637.9496161877</v>
      </c>
      <c r="X63" s="226">
        <v>3652391.7925950633</v>
      </c>
      <c r="Y63" s="226">
        <f t="shared" si="23"/>
        <v>3652391.7925950633</v>
      </c>
      <c r="Z63" s="226">
        <f t="shared" si="23"/>
        <v>3652391.7925950633</v>
      </c>
      <c r="AA63" s="224">
        <v>3602283.9664106495</v>
      </c>
      <c r="AB63" s="224">
        <v>3599227.1599714616</v>
      </c>
      <c r="AC63" s="224">
        <v>3498184.5297126174</v>
      </c>
      <c r="AD63" s="224">
        <f t="shared" si="14"/>
        <v>3498184.5297126174</v>
      </c>
      <c r="AE63" s="226">
        <v>3614506.2713058493</v>
      </c>
      <c r="AF63" s="224">
        <v>3623737.4145881813</v>
      </c>
      <c r="AG63" s="224">
        <f t="shared" si="15"/>
        <v>3623737.4145881813</v>
      </c>
      <c r="AH63" s="226">
        <v>3650729.8726690859</v>
      </c>
      <c r="AI63" s="226">
        <f t="shared" si="24"/>
        <v>3650729.8726690859</v>
      </c>
      <c r="AJ63" s="226">
        <f t="shared" si="24"/>
        <v>3650729.8726690859</v>
      </c>
      <c r="AK63" s="226">
        <f t="shared" si="24"/>
        <v>3650729.8726690859</v>
      </c>
      <c r="AL63" s="226">
        <f t="shared" si="24"/>
        <v>3650729.8726690859</v>
      </c>
      <c r="AM63" s="226">
        <f t="shared" si="24"/>
        <v>3650729.8726690859</v>
      </c>
      <c r="AN63" s="235">
        <v>3697492.1469973871</v>
      </c>
      <c r="AO63" s="235">
        <f t="shared" si="25"/>
        <v>3697492.1469973871</v>
      </c>
      <c r="AP63" s="235">
        <f t="shared" si="25"/>
        <v>3697492.1469973871</v>
      </c>
      <c r="AQ63" s="236">
        <f t="shared" si="25"/>
        <v>3697492.1469973871</v>
      </c>
      <c r="AR63" s="236">
        <f t="shared" si="25"/>
        <v>3697492.1469973871</v>
      </c>
      <c r="AS63" s="236">
        <f t="shared" si="25"/>
        <v>3697492.1469973871</v>
      </c>
      <c r="AT63" s="236">
        <f t="shared" si="25"/>
        <v>3697492.1469973871</v>
      </c>
      <c r="AU63" s="236">
        <f t="shared" si="25"/>
        <v>3697492.1469973871</v>
      </c>
      <c r="AV63" s="236">
        <f t="shared" si="25"/>
        <v>3697492.1469973871</v>
      </c>
      <c r="AW63" s="226">
        <v>3625873.3169656834</v>
      </c>
      <c r="AX63" s="226">
        <f t="shared" si="27"/>
        <v>3625873.3169656834</v>
      </c>
      <c r="AY63" s="226">
        <f t="shared" si="27"/>
        <v>3625873.3169656834</v>
      </c>
      <c r="AZ63" s="226">
        <f t="shared" si="27"/>
        <v>3625873.3169656834</v>
      </c>
      <c r="BA63" s="226">
        <f t="shared" si="27"/>
        <v>3625873.3169656834</v>
      </c>
      <c r="BB63" s="226">
        <f t="shared" si="27"/>
        <v>3625873.3169656834</v>
      </c>
      <c r="BC63" s="224">
        <v>3829318.4023990962</v>
      </c>
      <c r="BD63" s="224">
        <f t="shared" si="28"/>
        <v>3829318.4023990962</v>
      </c>
      <c r="BE63" s="224">
        <f t="shared" si="28"/>
        <v>3829318.4023990962</v>
      </c>
      <c r="BF63" s="224">
        <f t="shared" si="28"/>
        <v>3829318.4023990962</v>
      </c>
      <c r="BG63" s="224">
        <f t="shared" si="28"/>
        <v>3829318.4023990962</v>
      </c>
      <c r="BH63" s="224">
        <f t="shared" si="28"/>
        <v>3829318.4023990962</v>
      </c>
      <c r="BI63" s="224">
        <f t="shared" si="28"/>
        <v>3829318.4023990962</v>
      </c>
      <c r="BJ63" s="224">
        <f t="shared" si="28"/>
        <v>3829318.4023990962</v>
      </c>
      <c r="BK63" s="224">
        <f t="shared" si="28"/>
        <v>3829318.4023990962</v>
      </c>
      <c r="BL63" s="224">
        <f t="shared" si="28"/>
        <v>3829318.4023990962</v>
      </c>
      <c r="BM63" s="224">
        <f t="shared" si="28"/>
        <v>3829318.4023990962</v>
      </c>
      <c r="BN63" s="224">
        <f t="shared" si="28"/>
        <v>3829318.4023990962</v>
      </c>
      <c r="BO63" s="224">
        <f t="shared" si="28"/>
        <v>3829318.4023990962</v>
      </c>
    </row>
    <row r="64" spans="1:67">
      <c r="A64" s="256">
        <v>3</v>
      </c>
      <c r="B64" s="151" t="s">
        <v>1460</v>
      </c>
      <c r="C64" s="223">
        <v>62</v>
      </c>
      <c r="D64" s="258">
        <v>30152468</v>
      </c>
      <c r="E64" s="259">
        <v>30152468</v>
      </c>
      <c r="F64" s="259">
        <v>30152468</v>
      </c>
      <c r="G64" s="259">
        <v>30152468</v>
      </c>
      <c r="H64" s="259">
        <v>30152468</v>
      </c>
      <c r="I64" s="259">
        <v>30152468</v>
      </c>
      <c r="J64" s="259">
        <v>30152468</v>
      </c>
      <c r="K64" s="260">
        <v>30152468</v>
      </c>
      <c r="L64" s="260">
        <v>30152468</v>
      </c>
      <c r="M64" s="260">
        <v>30152468</v>
      </c>
      <c r="N64" s="260">
        <v>30152468</v>
      </c>
      <c r="O64" s="260">
        <v>30152468</v>
      </c>
      <c r="P64" s="260">
        <v>30152468</v>
      </c>
      <c r="Q64" s="260">
        <v>30152468</v>
      </c>
      <c r="R64" s="260">
        <v>30152468</v>
      </c>
      <c r="S64" s="260">
        <v>30152468</v>
      </c>
      <c r="T64" s="258">
        <v>30152468</v>
      </c>
      <c r="U64" s="258">
        <v>30152468</v>
      </c>
      <c r="V64" s="258">
        <v>30152468</v>
      </c>
      <c r="W64" s="258">
        <v>30152468</v>
      </c>
      <c r="X64" s="261">
        <v>30152468</v>
      </c>
      <c r="Y64" s="261">
        <v>30152468</v>
      </c>
      <c r="Z64" s="261">
        <v>30152468</v>
      </c>
      <c r="AA64" s="258">
        <v>30152468</v>
      </c>
      <c r="AB64" s="258">
        <v>30152468</v>
      </c>
      <c r="AC64" s="258">
        <v>30152468</v>
      </c>
      <c r="AD64" s="258">
        <v>30152468</v>
      </c>
      <c r="AE64" s="261">
        <v>30152468</v>
      </c>
      <c r="AF64" s="258">
        <v>30152468</v>
      </c>
      <c r="AG64" s="258">
        <v>30152468</v>
      </c>
      <c r="AH64" s="261">
        <v>30152468</v>
      </c>
      <c r="AI64" s="261">
        <v>30152468</v>
      </c>
      <c r="AJ64" s="261">
        <v>30152468</v>
      </c>
      <c r="AK64" s="261">
        <v>30152468</v>
      </c>
      <c r="AL64" s="261">
        <v>30152468</v>
      </c>
      <c r="AM64" s="261">
        <v>30152468</v>
      </c>
      <c r="AN64" s="262">
        <v>30152468</v>
      </c>
      <c r="AO64" s="262">
        <v>30152468</v>
      </c>
      <c r="AP64" s="262">
        <v>30152468</v>
      </c>
      <c r="AQ64" s="263">
        <v>30152468</v>
      </c>
      <c r="AR64" s="263">
        <v>30152468</v>
      </c>
      <c r="AS64" s="263">
        <v>30152468</v>
      </c>
      <c r="AT64" s="263">
        <v>30152468</v>
      </c>
      <c r="AU64" s="263">
        <v>30152468</v>
      </c>
      <c r="AV64" s="263">
        <v>30152468</v>
      </c>
      <c r="AW64" s="261">
        <v>30152468</v>
      </c>
      <c r="AX64" s="261">
        <v>30152468</v>
      </c>
      <c r="AY64" s="261">
        <v>30152468</v>
      </c>
      <c r="AZ64" s="261">
        <v>30152468</v>
      </c>
      <c r="BA64" s="261">
        <v>30152468</v>
      </c>
      <c r="BB64" s="261">
        <v>30152468</v>
      </c>
      <c r="BC64" s="258">
        <v>30152468</v>
      </c>
      <c r="BD64" s="258">
        <v>30152468</v>
      </c>
      <c r="BE64" s="258">
        <v>30152468</v>
      </c>
      <c r="BF64" s="258">
        <v>30152468</v>
      </c>
      <c r="BG64" s="258">
        <v>30152468</v>
      </c>
      <c r="BH64" s="258">
        <v>30152468</v>
      </c>
      <c r="BI64" s="258">
        <v>30152468</v>
      </c>
      <c r="BJ64" s="258">
        <v>30152468</v>
      </c>
      <c r="BK64" s="258">
        <v>30152468</v>
      </c>
      <c r="BL64" s="258">
        <v>30152468</v>
      </c>
      <c r="BM64" s="258">
        <v>30152468</v>
      </c>
      <c r="BN64" s="258">
        <v>30152468</v>
      </c>
      <c r="BO64" s="258">
        <v>30152468</v>
      </c>
    </row>
    <row r="65" spans="1:67" ht="20.25" customHeight="1">
      <c r="A65" s="223">
        <v>4</v>
      </c>
      <c r="B65" s="228" t="s">
        <v>147</v>
      </c>
      <c r="C65" s="223">
        <v>63</v>
      </c>
      <c r="D65" s="224">
        <v>3453559.5678698523</v>
      </c>
      <c r="E65" s="225">
        <f t="shared" si="21"/>
        <v>3453559.5678698523</v>
      </c>
      <c r="F65" s="225">
        <f t="shared" si="21"/>
        <v>3453559.5678698523</v>
      </c>
      <c r="G65" s="225">
        <f t="shared" si="21"/>
        <v>3453559.5678698523</v>
      </c>
      <c r="H65" s="225">
        <f t="shared" si="21"/>
        <v>3453559.5678698523</v>
      </c>
      <c r="I65" s="225">
        <f t="shared" si="21"/>
        <v>3453559.5678698523</v>
      </c>
      <c r="J65" s="225">
        <f t="shared" si="21"/>
        <v>3453559.5678698523</v>
      </c>
      <c r="K65" s="237">
        <v>3310588.9997605672</v>
      </c>
      <c r="L65" s="237">
        <f t="shared" si="22"/>
        <v>3310588.9997605672</v>
      </c>
      <c r="M65" s="237">
        <f t="shared" si="22"/>
        <v>3310588.9997605672</v>
      </c>
      <c r="N65" s="237">
        <f t="shared" si="22"/>
        <v>3310588.9997605672</v>
      </c>
      <c r="O65" s="237">
        <f t="shared" si="22"/>
        <v>3310588.9997605672</v>
      </c>
      <c r="P65" s="237">
        <f t="shared" si="22"/>
        <v>3310588.9997605672</v>
      </c>
      <c r="Q65" s="237">
        <f t="shared" si="22"/>
        <v>3310588.9997605672</v>
      </c>
      <c r="R65" s="237">
        <f t="shared" si="22"/>
        <v>3310588.9997605672</v>
      </c>
      <c r="S65" s="237">
        <f t="shared" si="22"/>
        <v>3310588.9997605672</v>
      </c>
      <c r="T65" s="224">
        <v>3419764.1347207562</v>
      </c>
      <c r="U65" s="224">
        <f t="shared" si="26"/>
        <v>3419764.1347207562</v>
      </c>
      <c r="V65" s="224">
        <f t="shared" si="26"/>
        <v>3419764.1347207562</v>
      </c>
      <c r="W65" s="224">
        <f t="shared" si="26"/>
        <v>3419764.1347207562</v>
      </c>
      <c r="X65" s="226">
        <v>3441606.6327893897</v>
      </c>
      <c r="Y65" s="226">
        <f t="shared" si="23"/>
        <v>3441606.6327893897</v>
      </c>
      <c r="Z65" s="226">
        <f t="shared" si="23"/>
        <v>3441606.6327893897</v>
      </c>
      <c r="AA65" s="224">
        <v>3461595.0943414685</v>
      </c>
      <c r="AB65" s="224">
        <v>3383322.8108245707</v>
      </c>
      <c r="AC65" s="224">
        <v>3359888.6212959117</v>
      </c>
      <c r="AD65" s="224">
        <f t="shared" si="14"/>
        <v>3359888.6212959117</v>
      </c>
      <c r="AE65" s="226">
        <v>3407125.4606645857</v>
      </c>
      <c r="AF65" s="224">
        <v>3375291.3614479797</v>
      </c>
      <c r="AG65" s="224">
        <f t="shared" si="15"/>
        <v>3375291.3614479797</v>
      </c>
      <c r="AH65" s="226">
        <v>3531384.9705754812</v>
      </c>
      <c r="AI65" s="226">
        <f t="shared" si="24"/>
        <v>3531384.9705754812</v>
      </c>
      <c r="AJ65" s="226">
        <f t="shared" si="24"/>
        <v>3531384.9705754812</v>
      </c>
      <c r="AK65" s="226">
        <f t="shared" si="24"/>
        <v>3531384.9705754812</v>
      </c>
      <c r="AL65" s="226">
        <f t="shared" si="24"/>
        <v>3531384.9705754812</v>
      </c>
      <c r="AM65" s="226">
        <f t="shared" si="24"/>
        <v>3531384.9705754812</v>
      </c>
      <c r="AN65" s="235">
        <v>3526271.8367122668</v>
      </c>
      <c r="AO65" s="235">
        <f t="shared" si="25"/>
        <v>3526271.8367122668</v>
      </c>
      <c r="AP65" s="235">
        <f t="shared" si="25"/>
        <v>3526271.8367122668</v>
      </c>
      <c r="AQ65" s="236">
        <f t="shared" si="25"/>
        <v>3526271.8367122668</v>
      </c>
      <c r="AR65" s="236">
        <f t="shared" si="25"/>
        <v>3526271.8367122668</v>
      </c>
      <c r="AS65" s="236">
        <f t="shared" si="25"/>
        <v>3526271.8367122668</v>
      </c>
      <c r="AT65" s="236">
        <f t="shared" si="25"/>
        <v>3526271.8367122668</v>
      </c>
      <c r="AU65" s="236">
        <f t="shared" si="25"/>
        <v>3526271.8367122668</v>
      </c>
      <c r="AV65" s="236">
        <f t="shared" si="25"/>
        <v>3526271.8367122668</v>
      </c>
      <c r="AW65" s="226">
        <v>3477233.3466429133</v>
      </c>
      <c r="AX65" s="226">
        <f t="shared" si="27"/>
        <v>3477233.3466429133</v>
      </c>
      <c r="AY65" s="226">
        <f t="shared" si="27"/>
        <v>3477233.3466429133</v>
      </c>
      <c r="AZ65" s="226">
        <f t="shared" si="27"/>
        <v>3477233.3466429133</v>
      </c>
      <c r="BA65" s="226">
        <f t="shared" si="27"/>
        <v>3477233.3466429133</v>
      </c>
      <c r="BB65" s="226">
        <f t="shared" si="27"/>
        <v>3477233.3466429133</v>
      </c>
      <c r="BC65" s="224">
        <v>3530226.8347671037</v>
      </c>
      <c r="BD65" s="224">
        <f t="shared" si="28"/>
        <v>3530226.8347671037</v>
      </c>
      <c r="BE65" s="224">
        <f t="shared" si="28"/>
        <v>3530226.8347671037</v>
      </c>
      <c r="BF65" s="224">
        <f t="shared" si="28"/>
        <v>3530226.8347671037</v>
      </c>
      <c r="BG65" s="224">
        <f t="shared" si="28"/>
        <v>3530226.8347671037</v>
      </c>
      <c r="BH65" s="224">
        <f t="shared" si="28"/>
        <v>3530226.8347671037</v>
      </c>
      <c r="BI65" s="224">
        <f t="shared" si="28"/>
        <v>3530226.8347671037</v>
      </c>
      <c r="BJ65" s="224">
        <f t="shared" si="28"/>
        <v>3530226.8347671037</v>
      </c>
      <c r="BK65" s="224">
        <f t="shared" si="28"/>
        <v>3530226.8347671037</v>
      </c>
      <c r="BL65" s="224">
        <f t="shared" si="28"/>
        <v>3530226.8347671037</v>
      </c>
      <c r="BM65" s="224">
        <f t="shared" si="28"/>
        <v>3530226.8347671037</v>
      </c>
      <c r="BN65" s="224">
        <f t="shared" si="28"/>
        <v>3530226.8347671037</v>
      </c>
      <c r="BO65" s="224">
        <f t="shared" si="28"/>
        <v>3530226.8347671037</v>
      </c>
    </row>
    <row r="66" spans="1:67">
      <c r="A66" s="229" t="s">
        <v>220</v>
      </c>
      <c r="B66" s="230" t="s">
        <v>109</v>
      </c>
      <c r="C66" s="223">
        <v>64</v>
      </c>
      <c r="D66" s="224"/>
      <c r="E66" s="225">
        <f t="shared" si="21"/>
        <v>0</v>
      </c>
      <c r="F66" s="225">
        <f t="shared" si="21"/>
        <v>0</v>
      </c>
      <c r="G66" s="225">
        <f t="shared" si="21"/>
        <v>0</v>
      </c>
      <c r="H66" s="225">
        <f t="shared" si="21"/>
        <v>0</v>
      </c>
      <c r="I66" s="225">
        <f t="shared" si="21"/>
        <v>0</v>
      </c>
      <c r="J66" s="225">
        <f t="shared" si="21"/>
        <v>0</v>
      </c>
      <c r="K66" s="237"/>
      <c r="L66" s="237">
        <f t="shared" si="22"/>
        <v>0</v>
      </c>
      <c r="M66" s="237">
        <f t="shared" si="22"/>
        <v>0</v>
      </c>
      <c r="N66" s="237">
        <f t="shared" si="22"/>
        <v>0</v>
      </c>
      <c r="O66" s="237">
        <f t="shared" si="22"/>
        <v>0</v>
      </c>
      <c r="P66" s="237">
        <f t="shared" si="22"/>
        <v>0</v>
      </c>
      <c r="Q66" s="237">
        <f t="shared" si="22"/>
        <v>0</v>
      </c>
      <c r="R66" s="237">
        <f t="shared" si="22"/>
        <v>0</v>
      </c>
      <c r="S66" s="237">
        <f t="shared" si="22"/>
        <v>0</v>
      </c>
      <c r="T66" s="224"/>
      <c r="U66" s="224">
        <f t="shared" si="26"/>
        <v>0</v>
      </c>
      <c r="V66" s="224">
        <f t="shared" si="26"/>
        <v>0</v>
      </c>
      <c r="W66" s="224">
        <f t="shared" si="26"/>
        <v>0</v>
      </c>
      <c r="X66" s="226"/>
      <c r="Y66" s="226">
        <f t="shared" si="23"/>
        <v>0</v>
      </c>
      <c r="Z66" s="226">
        <f t="shared" si="23"/>
        <v>0</v>
      </c>
      <c r="AA66" s="224"/>
      <c r="AB66" s="224"/>
      <c r="AC66" s="224"/>
      <c r="AD66" s="224">
        <f t="shared" si="14"/>
        <v>0</v>
      </c>
      <c r="AE66" s="226"/>
      <c r="AF66" s="224"/>
      <c r="AG66" s="224">
        <f t="shared" si="15"/>
        <v>0</v>
      </c>
      <c r="AH66" s="226"/>
      <c r="AI66" s="226">
        <f t="shared" si="24"/>
        <v>0</v>
      </c>
      <c r="AJ66" s="226">
        <f t="shared" si="24"/>
        <v>0</v>
      </c>
      <c r="AK66" s="226">
        <f t="shared" si="24"/>
        <v>0</v>
      </c>
      <c r="AL66" s="226">
        <f t="shared" si="24"/>
        <v>0</v>
      </c>
      <c r="AM66" s="226">
        <f t="shared" si="24"/>
        <v>0</v>
      </c>
      <c r="AN66" s="235"/>
      <c r="AO66" s="235">
        <f t="shared" si="25"/>
        <v>0</v>
      </c>
      <c r="AP66" s="235">
        <f t="shared" si="25"/>
        <v>0</v>
      </c>
      <c r="AQ66" s="236">
        <f t="shared" si="25"/>
        <v>0</v>
      </c>
      <c r="AR66" s="236">
        <f t="shared" si="25"/>
        <v>0</v>
      </c>
      <c r="AS66" s="236">
        <f t="shared" si="25"/>
        <v>0</v>
      </c>
      <c r="AT66" s="236">
        <f t="shared" si="25"/>
        <v>0</v>
      </c>
      <c r="AU66" s="236">
        <f t="shared" si="25"/>
        <v>0</v>
      </c>
      <c r="AV66" s="236">
        <f t="shared" si="25"/>
        <v>0</v>
      </c>
      <c r="AW66" s="226"/>
      <c r="AX66" s="226">
        <f t="shared" si="27"/>
        <v>0</v>
      </c>
      <c r="AY66" s="226">
        <f t="shared" si="27"/>
        <v>0</v>
      </c>
      <c r="AZ66" s="226">
        <f t="shared" si="27"/>
        <v>0</v>
      </c>
      <c r="BA66" s="226">
        <f t="shared" si="27"/>
        <v>0</v>
      </c>
      <c r="BB66" s="226">
        <f t="shared" si="27"/>
        <v>0</v>
      </c>
      <c r="BC66" s="224"/>
      <c r="BD66" s="224">
        <f t="shared" si="28"/>
        <v>0</v>
      </c>
      <c r="BE66" s="224">
        <f t="shared" si="28"/>
        <v>0</v>
      </c>
      <c r="BF66" s="224">
        <f t="shared" si="28"/>
        <v>0</v>
      </c>
      <c r="BG66" s="224">
        <f t="shared" si="28"/>
        <v>0</v>
      </c>
      <c r="BH66" s="224">
        <f t="shared" si="28"/>
        <v>0</v>
      </c>
      <c r="BI66" s="224">
        <f t="shared" si="28"/>
        <v>0</v>
      </c>
      <c r="BJ66" s="224">
        <f t="shared" si="28"/>
        <v>0</v>
      </c>
      <c r="BK66" s="224">
        <f t="shared" si="28"/>
        <v>0</v>
      </c>
      <c r="BL66" s="224">
        <f t="shared" si="28"/>
        <v>0</v>
      </c>
      <c r="BM66" s="224">
        <f t="shared" si="28"/>
        <v>0</v>
      </c>
      <c r="BN66" s="224">
        <f t="shared" si="28"/>
        <v>0</v>
      </c>
      <c r="BO66" s="224">
        <f t="shared" si="28"/>
        <v>0</v>
      </c>
    </row>
    <row r="67" spans="1:67">
      <c r="A67" s="223">
        <v>1</v>
      </c>
      <c r="B67" s="228" t="s">
        <v>152</v>
      </c>
      <c r="C67" s="223">
        <v>65</v>
      </c>
      <c r="D67" s="224">
        <v>93852406</v>
      </c>
      <c r="E67" s="224">
        <v>93852406</v>
      </c>
      <c r="F67" s="224">
        <v>93852406</v>
      </c>
      <c r="G67" s="224">
        <v>93852406</v>
      </c>
      <c r="H67" s="224">
        <v>93852406</v>
      </c>
      <c r="I67" s="224">
        <v>93852406</v>
      </c>
      <c r="J67" s="224">
        <v>93852406</v>
      </c>
      <c r="K67" s="224">
        <v>93852406</v>
      </c>
      <c r="L67" s="224">
        <v>93852406</v>
      </c>
      <c r="M67" s="224">
        <v>93852406</v>
      </c>
      <c r="N67" s="224">
        <v>93852406</v>
      </c>
      <c r="O67" s="224">
        <v>93852406</v>
      </c>
      <c r="P67" s="224">
        <v>93852406</v>
      </c>
      <c r="Q67" s="224">
        <v>93852406</v>
      </c>
      <c r="R67" s="224">
        <v>93852406</v>
      </c>
      <c r="S67" s="224">
        <v>93852406</v>
      </c>
      <c r="T67" s="224">
        <v>93852406</v>
      </c>
      <c r="U67" s="224">
        <v>93852406</v>
      </c>
      <c r="V67" s="224">
        <v>93852406</v>
      </c>
      <c r="W67" s="224">
        <v>93852406</v>
      </c>
      <c r="X67" s="224">
        <v>93852406</v>
      </c>
      <c r="Y67" s="224">
        <v>93852406</v>
      </c>
      <c r="Z67" s="224">
        <v>93852406</v>
      </c>
      <c r="AA67" s="224">
        <v>93852406</v>
      </c>
      <c r="AB67" s="224">
        <v>93852406</v>
      </c>
      <c r="AC67" s="224">
        <v>93852406</v>
      </c>
      <c r="AD67" s="224">
        <v>93852406</v>
      </c>
      <c r="AE67" s="224">
        <v>93852406</v>
      </c>
      <c r="AF67" s="224">
        <v>93852406</v>
      </c>
      <c r="AG67" s="224">
        <v>93852406</v>
      </c>
      <c r="AH67" s="224">
        <v>93852406</v>
      </c>
      <c r="AI67" s="224">
        <v>93852406</v>
      </c>
      <c r="AJ67" s="224">
        <v>93852406</v>
      </c>
      <c r="AK67" s="224">
        <v>93852406</v>
      </c>
      <c r="AL67" s="224">
        <v>93852406</v>
      </c>
      <c r="AM67" s="224">
        <v>93852406</v>
      </c>
      <c r="AN67" s="224">
        <v>93852406</v>
      </c>
      <c r="AO67" s="224">
        <v>93852406</v>
      </c>
      <c r="AP67" s="224">
        <v>93852406</v>
      </c>
      <c r="AQ67" s="224">
        <v>93852406</v>
      </c>
      <c r="AR67" s="224">
        <v>93852406</v>
      </c>
      <c r="AS67" s="224">
        <v>93852406</v>
      </c>
      <c r="AT67" s="224">
        <v>93852406</v>
      </c>
      <c r="AU67" s="224">
        <v>93852406</v>
      </c>
      <c r="AV67" s="224">
        <v>93852406</v>
      </c>
      <c r="AW67" s="224">
        <v>93852406</v>
      </c>
      <c r="AX67" s="224">
        <v>93852406</v>
      </c>
      <c r="AY67" s="224">
        <v>93852406</v>
      </c>
      <c r="AZ67" s="224">
        <v>93852406</v>
      </c>
      <c r="BA67" s="224">
        <v>93852406</v>
      </c>
      <c r="BB67" s="224">
        <v>93852406</v>
      </c>
      <c r="BC67" s="224">
        <v>93852406</v>
      </c>
      <c r="BD67" s="224">
        <v>93852406</v>
      </c>
      <c r="BE67" s="224">
        <v>93852406</v>
      </c>
      <c r="BF67" s="224">
        <v>93852406</v>
      </c>
      <c r="BG67" s="224">
        <v>93852406</v>
      </c>
      <c r="BH67" s="224">
        <v>93852406</v>
      </c>
      <c r="BI67" s="224">
        <v>93852406</v>
      </c>
      <c r="BJ67" s="224">
        <v>93852406</v>
      </c>
      <c r="BK67" s="224">
        <v>93852406</v>
      </c>
      <c r="BL67" s="224">
        <v>93852406</v>
      </c>
      <c r="BM67" s="224">
        <v>93852406</v>
      </c>
      <c r="BN67" s="224">
        <v>93852406</v>
      </c>
      <c r="BO67" s="224">
        <v>93852406</v>
      </c>
    </row>
    <row r="68" spans="1:67">
      <c r="A68" s="223">
        <f>+A67+1</f>
        <v>2</v>
      </c>
      <c r="B68" s="228" t="s">
        <v>153</v>
      </c>
      <c r="C68" s="223">
        <v>66</v>
      </c>
      <c r="D68" s="224">
        <v>101370361</v>
      </c>
      <c r="E68" s="224">
        <v>101370361</v>
      </c>
      <c r="F68" s="224">
        <v>101370361</v>
      </c>
      <c r="G68" s="224">
        <v>101370361</v>
      </c>
      <c r="H68" s="224">
        <v>101370361</v>
      </c>
      <c r="I68" s="224">
        <v>101370361</v>
      </c>
      <c r="J68" s="224">
        <v>101370361</v>
      </c>
      <c r="K68" s="224">
        <v>101370361</v>
      </c>
      <c r="L68" s="224">
        <v>101370361</v>
      </c>
      <c r="M68" s="224">
        <v>101370361</v>
      </c>
      <c r="N68" s="224">
        <v>101370361</v>
      </c>
      <c r="O68" s="224">
        <v>101370361</v>
      </c>
      <c r="P68" s="224">
        <v>101370361</v>
      </c>
      <c r="Q68" s="224">
        <v>101370361</v>
      </c>
      <c r="R68" s="224">
        <v>101370361</v>
      </c>
      <c r="S68" s="224">
        <v>101370361</v>
      </c>
      <c r="T68" s="224">
        <v>101370361</v>
      </c>
      <c r="U68" s="224">
        <v>101370361</v>
      </c>
      <c r="V68" s="224">
        <v>101370361</v>
      </c>
      <c r="W68" s="224">
        <v>101370361</v>
      </c>
      <c r="X68" s="224">
        <v>101370361</v>
      </c>
      <c r="Y68" s="224">
        <v>101370361</v>
      </c>
      <c r="Z68" s="224">
        <v>101370361</v>
      </c>
      <c r="AA68" s="224">
        <v>101370361</v>
      </c>
      <c r="AB68" s="224">
        <v>101370361</v>
      </c>
      <c r="AC68" s="224">
        <v>101370361</v>
      </c>
      <c r="AD68" s="224">
        <v>101370361</v>
      </c>
      <c r="AE68" s="224">
        <v>101370361</v>
      </c>
      <c r="AF68" s="224">
        <v>101370361</v>
      </c>
      <c r="AG68" s="224">
        <v>101370361</v>
      </c>
      <c r="AH68" s="224">
        <v>101370361</v>
      </c>
      <c r="AI68" s="224">
        <v>101370361</v>
      </c>
      <c r="AJ68" s="224">
        <v>101370361</v>
      </c>
      <c r="AK68" s="224">
        <v>101370361</v>
      </c>
      <c r="AL68" s="224">
        <v>101370361</v>
      </c>
      <c r="AM68" s="224">
        <v>101370361</v>
      </c>
      <c r="AN68" s="224">
        <v>101370361</v>
      </c>
      <c r="AO68" s="224">
        <v>101370361</v>
      </c>
      <c r="AP68" s="224">
        <v>101370361</v>
      </c>
      <c r="AQ68" s="224">
        <v>101370361</v>
      </c>
      <c r="AR68" s="224">
        <v>101370361</v>
      </c>
      <c r="AS68" s="224">
        <v>101370361</v>
      </c>
      <c r="AT68" s="224">
        <v>101370361</v>
      </c>
      <c r="AU68" s="224">
        <v>101370361</v>
      </c>
      <c r="AV68" s="224">
        <v>101370361</v>
      </c>
      <c r="AW68" s="224">
        <v>101370361</v>
      </c>
      <c r="AX68" s="224">
        <v>101370361</v>
      </c>
      <c r="AY68" s="224">
        <v>101370361</v>
      </c>
      <c r="AZ68" s="224">
        <v>101370361</v>
      </c>
      <c r="BA68" s="224">
        <v>101370361</v>
      </c>
      <c r="BB68" s="224">
        <v>101370361</v>
      </c>
      <c r="BC68" s="224">
        <v>101370361</v>
      </c>
      <c r="BD68" s="224">
        <v>101370361</v>
      </c>
      <c r="BE68" s="224">
        <v>101370361</v>
      </c>
      <c r="BF68" s="224">
        <v>101370361</v>
      </c>
      <c r="BG68" s="224">
        <v>101370361</v>
      </c>
      <c r="BH68" s="224">
        <v>101370361</v>
      </c>
      <c r="BI68" s="224">
        <v>101370361</v>
      </c>
      <c r="BJ68" s="224">
        <v>101370361</v>
      </c>
      <c r="BK68" s="224">
        <v>101370361</v>
      </c>
      <c r="BL68" s="224">
        <v>101370361</v>
      </c>
      <c r="BM68" s="224">
        <v>101370361</v>
      </c>
      <c r="BN68" s="224">
        <v>101370361</v>
      </c>
      <c r="BO68" s="224">
        <v>101370361</v>
      </c>
    </row>
    <row r="69" spans="1:67">
      <c r="A69" s="223">
        <f t="shared" ref="A69:A74" si="30">+A68+1</f>
        <v>3</v>
      </c>
      <c r="B69" s="228" t="s">
        <v>154</v>
      </c>
      <c r="C69" s="223">
        <v>67</v>
      </c>
      <c r="D69" s="224">
        <v>83125852</v>
      </c>
      <c r="E69" s="224">
        <v>83125852</v>
      </c>
      <c r="F69" s="224">
        <v>83125852</v>
      </c>
      <c r="G69" s="224">
        <v>83125852</v>
      </c>
      <c r="H69" s="224">
        <v>83125852</v>
      </c>
      <c r="I69" s="224">
        <v>83125852</v>
      </c>
      <c r="J69" s="224">
        <v>83125852</v>
      </c>
      <c r="K69" s="224">
        <v>83125852</v>
      </c>
      <c r="L69" s="224">
        <v>83125852</v>
      </c>
      <c r="M69" s="224">
        <v>83125852</v>
      </c>
      <c r="N69" s="224">
        <v>83125852</v>
      </c>
      <c r="O69" s="224">
        <v>83125852</v>
      </c>
      <c r="P69" s="224">
        <v>83125852</v>
      </c>
      <c r="Q69" s="224">
        <v>83125852</v>
      </c>
      <c r="R69" s="224">
        <v>83125852</v>
      </c>
      <c r="S69" s="224">
        <v>83125852</v>
      </c>
      <c r="T69" s="224">
        <v>83125852</v>
      </c>
      <c r="U69" s="224">
        <v>83125852</v>
      </c>
      <c r="V69" s="224">
        <v>83125852</v>
      </c>
      <c r="W69" s="224">
        <v>83125852</v>
      </c>
      <c r="X69" s="224">
        <v>83125852</v>
      </c>
      <c r="Y69" s="224">
        <v>83125852</v>
      </c>
      <c r="Z69" s="224">
        <v>83125852</v>
      </c>
      <c r="AA69" s="224">
        <v>83125852</v>
      </c>
      <c r="AB69" s="224">
        <v>83125852</v>
      </c>
      <c r="AC69" s="224">
        <v>83125852</v>
      </c>
      <c r="AD69" s="224">
        <v>83125852</v>
      </c>
      <c r="AE69" s="224">
        <v>83125852</v>
      </c>
      <c r="AF69" s="224">
        <v>83125852</v>
      </c>
      <c r="AG69" s="224">
        <v>83125852</v>
      </c>
      <c r="AH69" s="224">
        <v>83125852</v>
      </c>
      <c r="AI69" s="224">
        <v>83125852</v>
      </c>
      <c r="AJ69" s="224">
        <v>83125852</v>
      </c>
      <c r="AK69" s="224">
        <v>83125852</v>
      </c>
      <c r="AL69" s="224">
        <v>83125852</v>
      </c>
      <c r="AM69" s="224">
        <v>83125852</v>
      </c>
      <c r="AN69" s="224">
        <v>83125852</v>
      </c>
      <c r="AO69" s="224">
        <v>83125852</v>
      </c>
      <c r="AP69" s="224">
        <v>83125852</v>
      </c>
      <c r="AQ69" s="224">
        <v>83125852</v>
      </c>
      <c r="AR69" s="224">
        <v>83125852</v>
      </c>
      <c r="AS69" s="224">
        <v>83125852</v>
      </c>
      <c r="AT69" s="224">
        <v>83125852</v>
      </c>
      <c r="AU69" s="224">
        <v>83125852</v>
      </c>
      <c r="AV69" s="224">
        <v>83125852</v>
      </c>
      <c r="AW69" s="224">
        <v>83125852</v>
      </c>
      <c r="AX69" s="224">
        <v>83125852</v>
      </c>
      <c r="AY69" s="224">
        <v>83125852</v>
      </c>
      <c r="AZ69" s="224">
        <v>83125852</v>
      </c>
      <c r="BA69" s="224">
        <v>83125852</v>
      </c>
      <c r="BB69" s="224">
        <v>83125852</v>
      </c>
      <c r="BC69" s="224">
        <v>83125852</v>
      </c>
      <c r="BD69" s="224">
        <v>83125852</v>
      </c>
      <c r="BE69" s="224">
        <v>83125852</v>
      </c>
      <c r="BF69" s="224">
        <v>83125852</v>
      </c>
      <c r="BG69" s="224">
        <v>83125852</v>
      </c>
      <c r="BH69" s="224">
        <v>83125852</v>
      </c>
      <c r="BI69" s="224">
        <v>83125852</v>
      </c>
      <c r="BJ69" s="224">
        <v>83125852</v>
      </c>
      <c r="BK69" s="224">
        <v>83125852</v>
      </c>
      <c r="BL69" s="224">
        <v>83125852</v>
      </c>
      <c r="BM69" s="224">
        <v>83125852</v>
      </c>
      <c r="BN69" s="224">
        <v>83125852</v>
      </c>
      <c r="BO69" s="224">
        <v>83125852</v>
      </c>
    </row>
    <row r="70" spans="1:67">
      <c r="A70" s="223">
        <f t="shared" si="30"/>
        <v>4</v>
      </c>
      <c r="B70" s="228" t="s">
        <v>155</v>
      </c>
      <c r="C70" s="223">
        <v>68</v>
      </c>
      <c r="D70" s="224">
        <v>89582266</v>
      </c>
      <c r="E70" s="224">
        <v>89582266</v>
      </c>
      <c r="F70" s="224">
        <v>89582266</v>
      </c>
      <c r="G70" s="224">
        <v>89582266</v>
      </c>
      <c r="H70" s="224">
        <v>89582266</v>
      </c>
      <c r="I70" s="224">
        <v>89582266</v>
      </c>
      <c r="J70" s="224">
        <v>89582266</v>
      </c>
      <c r="K70" s="224">
        <v>89582266</v>
      </c>
      <c r="L70" s="224">
        <v>89582266</v>
      </c>
      <c r="M70" s="224">
        <v>89582266</v>
      </c>
      <c r="N70" s="224">
        <v>89582266</v>
      </c>
      <c r="O70" s="224">
        <v>89582266</v>
      </c>
      <c r="P70" s="224">
        <v>89582266</v>
      </c>
      <c r="Q70" s="224">
        <v>89582266</v>
      </c>
      <c r="R70" s="224">
        <v>89582266</v>
      </c>
      <c r="S70" s="224">
        <v>89582266</v>
      </c>
      <c r="T70" s="224">
        <v>89582266</v>
      </c>
      <c r="U70" s="224">
        <v>89582266</v>
      </c>
      <c r="V70" s="224">
        <v>89582266</v>
      </c>
      <c r="W70" s="224">
        <v>89582266</v>
      </c>
      <c r="X70" s="224">
        <v>89582266</v>
      </c>
      <c r="Y70" s="224">
        <v>89582266</v>
      </c>
      <c r="Z70" s="224">
        <v>89582266</v>
      </c>
      <c r="AA70" s="224">
        <v>89582266</v>
      </c>
      <c r="AB70" s="224">
        <v>89582266</v>
      </c>
      <c r="AC70" s="224">
        <v>89582266</v>
      </c>
      <c r="AD70" s="224">
        <v>89582266</v>
      </c>
      <c r="AE70" s="224">
        <v>89582266</v>
      </c>
      <c r="AF70" s="224">
        <v>89582266</v>
      </c>
      <c r="AG70" s="224">
        <v>89582266</v>
      </c>
      <c r="AH70" s="224">
        <v>89582266</v>
      </c>
      <c r="AI70" s="224">
        <v>89582266</v>
      </c>
      <c r="AJ70" s="224">
        <v>89582266</v>
      </c>
      <c r="AK70" s="224">
        <v>89582266</v>
      </c>
      <c r="AL70" s="224">
        <v>89582266</v>
      </c>
      <c r="AM70" s="224">
        <v>89582266</v>
      </c>
      <c r="AN70" s="224">
        <v>89582266</v>
      </c>
      <c r="AO70" s="224">
        <v>89582266</v>
      </c>
      <c r="AP70" s="224">
        <v>89582266</v>
      </c>
      <c r="AQ70" s="224">
        <v>89582266</v>
      </c>
      <c r="AR70" s="224">
        <v>89582266</v>
      </c>
      <c r="AS70" s="224">
        <v>89582266</v>
      </c>
      <c r="AT70" s="224">
        <v>89582266</v>
      </c>
      <c r="AU70" s="224">
        <v>89582266</v>
      </c>
      <c r="AV70" s="224">
        <v>89582266</v>
      </c>
      <c r="AW70" s="224">
        <v>89582266</v>
      </c>
      <c r="AX70" s="224">
        <v>89582266</v>
      </c>
      <c r="AY70" s="224">
        <v>89582266</v>
      </c>
      <c r="AZ70" s="224">
        <v>89582266</v>
      </c>
      <c r="BA70" s="224">
        <v>89582266</v>
      </c>
      <c r="BB70" s="224">
        <v>89582266</v>
      </c>
      <c r="BC70" s="224">
        <v>89582266</v>
      </c>
      <c r="BD70" s="224">
        <v>89582266</v>
      </c>
      <c r="BE70" s="224">
        <v>89582266</v>
      </c>
      <c r="BF70" s="224">
        <v>89582266</v>
      </c>
      <c r="BG70" s="224">
        <v>89582266</v>
      </c>
      <c r="BH70" s="224">
        <v>89582266</v>
      </c>
      <c r="BI70" s="224">
        <v>89582266</v>
      </c>
      <c r="BJ70" s="224">
        <v>89582266</v>
      </c>
      <c r="BK70" s="224">
        <v>89582266</v>
      </c>
      <c r="BL70" s="224">
        <v>89582266</v>
      </c>
      <c r="BM70" s="224">
        <v>89582266</v>
      </c>
      <c r="BN70" s="224">
        <v>89582266</v>
      </c>
      <c r="BO70" s="224">
        <v>89582266</v>
      </c>
    </row>
    <row r="71" spans="1:67" ht="30">
      <c r="A71" s="223">
        <f t="shared" si="30"/>
        <v>5</v>
      </c>
      <c r="B71" s="228" t="s">
        <v>156</v>
      </c>
      <c r="C71" s="223">
        <v>69</v>
      </c>
      <c r="D71" s="227">
        <f>+D68</f>
        <v>101370361</v>
      </c>
      <c r="E71" s="227">
        <f t="shared" ref="E71:BO71" si="31">+E68</f>
        <v>101370361</v>
      </c>
      <c r="F71" s="227">
        <f t="shared" si="31"/>
        <v>101370361</v>
      </c>
      <c r="G71" s="227">
        <f t="shared" si="31"/>
        <v>101370361</v>
      </c>
      <c r="H71" s="227">
        <f t="shared" si="31"/>
        <v>101370361</v>
      </c>
      <c r="I71" s="227">
        <f t="shared" si="31"/>
        <v>101370361</v>
      </c>
      <c r="J71" s="227">
        <f t="shared" si="31"/>
        <v>101370361</v>
      </c>
      <c r="K71" s="227">
        <f t="shared" si="31"/>
        <v>101370361</v>
      </c>
      <c r="L71" s="227">
        <f t="shared" si="31"/>
        <v>101370361</v>
      </c>
      <c r="M71" s="227">
        <f t="shared" si="31"/>
        <v>101370361</v>
      </c>
      <c r="N71" s="227">
        <f t="shared" si="31"/>
        <v>101370361</v>
      </c>
      <c r="O71" s="227">
        <f t="shared" si="31"/>
        <v>101370361</v>
      </c>
      <c r="P71" s="227">
        <f t="shared" si="31"/>
        <v>101370361</v>
      </c>
      <c r="Q71" s="227">
        <f t="shared" si="31"/>
        <v>101370361</v>
      </c>
      <c r="R71" s="227">
        <f t="shared" si="31"/>
        <v>101370361</v>
      </c>
      <c r="S71" s="227">
        <f t="shared" si="31"/>
        <v>101370361</v>
      </c>
      <c r="T71" s="227">
        <f t="shared" si="31"/>
        <v>101370361</v>
      </c>
      <c r="U71" s="227">
        <f t="shared" si="31"/>
        <v>101370361</v>
      </c>
      <c r="V71" s="227">
        <f t="shared" si="31"/>
        <v>101370361</v>
      </c>
      <c r="W71" s="227">
        <f t="shared" si="31"/>
        <v>101370361</v>
      </c>
      <c r="X71" s="227">
        <f t="shared" si="31"/>
        <v>101370361</v>
      </c>
      <c r="Y71" s="227">
        <f t="shared" si="31"/>
        <v>101370361</v>
      </c>
      <c r="Z71" s="227">
        <f t="shared" si="31"/>
        <v>101370361</v>
      </c>
      <c r="AA71" s="227">
        <f t="shared" si="31"/>
        <v>101370361</v>
      </c>
      <c r="AB71" s="227">
        <f t="shared" si="31"/>
        <v>101370361</v>
      </c>
      <c r="AC71" s="227">
        <f t="shared" si="31"/>
        <v>101370361</v>
      </c>
      <c r="AD71" s="227">
        <f t="shared" si="31"/>
        <v>101370361</v>
      </c>
      <c r="AE71" s="227">
        <f t="shared" si="31"/>
        <v>101370361</v>
      </c>
      <c r="AF71" s="227">
        <f t="shared" si="31"/>
        <v>101370361</v>
      </c>
      <c r="AG71" s="227">
        <f t="shared" si="31"/>
        <v>101370361</v>
      </c>
      <c r="AH71" s="227">
        <f t="shared" si="31"/>
        <v>101370361</v>
      </c>
      <c r="AI71" s="227">
        <f t="shared" si="31"/>
        <v>101370361</v>
      </c>
      <c r="AJ71" s="227">
        <f t="shared" si="31"/>
        <v>101370361</v>
      </c>
      <c r="AK71" s="227">
        <f t="shared" si="31"/>
        <v>101370361</v>
      </c>
      <c r="AL71" s="227">
        <f t="shared" si="31"/>
        <v>101370361</v>
      </c>
      <c r="AM71" s="227">
        <f t="shared" si="31"/>
        <v>101370361</v>
      </c>
      <c r="AN71" s="227">
        <f t="shared" si="31"/>
        <v>101370361</v>
      </c>
      <c r="AO71" s="227">
        <f t="shared" si="31"/>
        <v>101370361</v>
      </c>
      <c r="AP71" s="227">
        <f t="shared" si="31"/>
        <v>101370361</v>
      </c>
      <c r="AQ71" s="227">
        <f t="shared" si="31"/>
        <v>101370361</v>
      </c>
      <c r="AR71" s="227">
        <f t="shared" si="31"/>
        <v>101370361</v>
      </c>
      <c r="AS71" s="227">
        <f t="shared" si="31"/>
        <v>101370361</v>
      </c>
      <c r="AT71" s="227">
        <f t="shared" si="31"/>
        <v>101370361</v>
      </c>
      <c r="AU71" s="227">
        <f t="shared" si="31"/>
        <v>101370361</v>
      </c>
      <c r="AV71" s="227">
        <f t="shared" si="31"/>
        <v>101370361</v>
      </c>
      <c r="AW71" s="227">
        <f t="shared" si="31"/>
        <v>101370361</v>
      </c>
      <c r="AX71" s="227">
        <f t="shared" si="31"/>
        <v>101370361</v>
      </c>
      <c r="AY71" s="227">
        <f t="shared" si="31"/>
        <v>101370361</v>
      </c>
      <c r="AZ71" s="227">
        <f t="shared" si="31"/>
        <v>101370361</v>
      </c>
      <c r="BA71" s="227">
        <f t="shared" si="31"/>
        <v>101370361</v>
      </c>
      <c r="BB71" s="227">
        <f t="shared" si="31"/>
        <v>101370361</v>
      </c>
      <c r="BC71" s="227">
        <f t="shared" si="31"/>
        <v>101370361</v>
      </c>
      <c r="BD71" s="227">
        <f t="shared" si="31"/>
        <v>101370361</v>
      </c>
      <c r="BE71" s="227">
        <f t="shared" si="31"/>
        <v>101370361</v>
      </c>
      <c r="BF71" s="227">
        <f t="shared" si="31"/>
        <v>101370361</v>
      </c>
      <c r="BG71" s="227">
        <f t="shared" si="31"/>
        <v>101370361</v>
      </c>
      <c r="BH71" s="227">
        <f t="shared" si="31"/>
        <v>101370361</v>
      </c>
      <c r="BI71" s="227">
        <f t="shared" si="31"/>
        <v>101370361</v>
      </c>
      <c r="BJ71" s="227">
        <f t="shared" si="31"/>
        <v>101370361</v>
      </c>
      <c r="BK71" s="227">
        <f t="shared" si="31"/>
        <v>101370361</v>
      </c>
      <c r="BL71" s="227">
        <f t="shared" si="31"/>
        <v>101370361</v>
      </c>
      <c r="BM71" s="227">
        <f t="shared" si="31"/>
        <v>101370361</v>
      </c>
      <c r="BN71" s="227">
        <f t="shared" si="31"/>
        <v>101370361</v>
      </c>
      <c r="BO71" s="227">
        <f t="shared" si="31"/>
        <v>101370361</v>
      </c>
    </row>
    <row r="72" spans="1:67" ht="30">
      <c r="A72" s="223">
        <f t="shared" si="30"/>
        <v>6</v>
      </c>
      <c r="B72" s="228" t="s">
        <v>157</v>
      </c>
      <c r="C72" s="223">
        <v>70</v>
      </c>
      <c r="D72" s="224">
        <f>+D71</f>
        <v>101370361</v>
      </c>
      <c r="E72" s="224">
        <f t="shared" ref="E72:BO72" si="32">+E71</f>
        <v>101370361</v>
      </c>
      <c r="F72" s="224">
        <f t="shared" si="32"/>
        <v>101370361</v>
      </c>
      <c r="G72" s="224">
        <f t="shared" si="32"/>
        <v>101370361</v>
      </c>
      <c r="H72" s="224">
        <f t="shared" si="32"/>
        <v>101370361</v>
      </c>
      <c r="I72" s="224">
        <f t="shared" si="32"/>
        <v>101370361</v>
      </c>
      <c r="J72" s="224">
        <f t="shared" si="32"/>
        <v>101370361</v>
      </c>
      <c r="K72" s="224">
        <f t="shared" si="32"/>
        <v>101370361</v>
      </c>
      <c r="L72" s="224">
        <f t="shared" si="32"/>
        <v>101370361</v>
      </c>
      <c r="M72" s="224">
        <f t="shared" si="32"/>
        <v>101370361</v>
      </c>
      <c r="N72" s="224">
        <f t="shared" si="32"/>
        <v>101370361</v>
      </c>
      <c r="O72" s="224">
        <f t="shared" si="32"/>
        <v>101370361</v>
      </c>
      <c r="P72" s="224">
        <f t="shared" si="32"/>
        <v>101370361</v>
      </c>
      <c r="Q72" s="224">
        <f t="shared" si="32"/>
        <v>101370361</v>
      </c>
      <c r="R72" s="224">
        <f t="shared" si="32"/>
        <v>101370361</v>
      </c>
      <c r="S72" s="224">
        <f t="shared" si="32"/>
        <v>101370361</v>
      </c>
      <c r="T72" s="224">
        <f t="shared" si="32"/>
        <v>101370361</v>
      </c>
      <c r="U72" s="224">
        <f t="shared" si="32"/>
        <v>101370361</v>
      </c>
      <c r="V72" s="224">
        <f t="shared" si="32"/>
        <v>101370361</v>
      </c>
      <c r="W72" s="224">
        <f t="shared" si="32"/>
        <v>101370361</v>
      </c>
      <c r="X72" s="224">
        <f t="shared" si="32"/>
        <v>101370361</v>
      </c>
      <c r="Y72" s="224">
        <f t="shared" si="32"/>
        <v>101370361</v>
      </c>
      <c r="Z72" s="224">
        <f t="shared" si="32"/>
        <v>101370361</v>
      </c>
      <c r="AA72" s="224">
        <f t="shared" si="32"/>
        <v>101370361</v>
      </c>
      <c r="AB72" s="224">
        <f t="shared" si="32"/>
        <v>101370361</v>
      </c>
      <c r="AC72" s="224">
        <f t="shared" si="32"/>
        <v>101370361</v>
      </c>
      <c r="AD72" s="224">
        <f t="shared" si="32"/>
        <v>101370361</v>
      </c>
      <c r="AE72" s="224">
        <f t="shared" si="32"/>
        <v>101370361</v>
      </c>
      <c r="AF72" s="224">
        <f t="shared" si="32"/>
        <v>101370361</v>
      </c>
      <c r="AG72" s="224">
        <f t="shared" si="32"/>
        <v>101370361</v>
      </c>
      <c r="AH72" s="224">
        <f t="shared" si="32"/>
        <v>101370361</v>
      </c>
      <c r="AI72" s="224">
        <f t="shared" si="32"/>
        <v>101370361</v>
      </c>
      <c r="AJ72" s="224">
        <f t="shared" si="32"/>
        <v>101370361</v>
      </c>
      <c r="AK72" s="224">
        <f t="shared" si="32"/>
        <v>101370361</v>
      </c>
      <c r="AL72" s="224">
        <f t="shared" si="32"/>
        <v>101370361</v>
      </c>
      <c r="AM72" s="224">
        <f t="shared" si="32"/>
        <v>101370361</v>
      </c>
      <c r="AN72" s="224">
        <f t="shared" si="32"/>
        <v>101370361</v>
      </c>
      <c r="AO72" s="224">
        <f t="shared" si="32"/>
        <v>101370361</v>
      </c>
      <c r="AP72" s="224">
        <f t="shared" si="32"/>
        <v>101370361</v>
      </c>
      <c r="AQ72" s="224">
        <f t="shared" si="32"/>
        <v>101370361</v>
      </c>
      <c r="AR72" s="224">
        <f t="shared" si="32"/>
        <v>101370361</v>
      </c>
      <c r="AS72" s="224">
        <f t="shared" si="32"/>
        <v>101370361</v>
      </c>
      <c r="AT72" s="224">
        <f t="shared" si="32"/>
        <v>101370361</v>
      </c>
      <c r="AU72" s="224">
        <f t="shared" si="32"/>
        <v>101370361</v>
      </c>
      <c r="AV72" s="224">
        <f t="shared" si="32"/>
        <v>101370361</v>
      </c>
      <c r="AW72" s="224">
        <f t="shared" si="32"/>
        <v>101370361</v>
      </c>
      <c r="AX72" s="224">
        <f t="shared" si="32"/>
        <v>101370361</v>
      </c>
      <c r="AY72" s="224">
        <f t="shared" si="32"/>
        <v>101370361</v>
      </c>
      <c r="AZ72" s="224">
        <f t="shared" si="32"/>
        <v>101370361</v>
      </c>
      <c r="BA72" s="224">
        <f t="shared" si="32"/>
        <v>101370361</v>
      </c>
      <c r="BB72" s="224">
        <f t="shared" si="32"/>
        <v>101370361</v>
      </c>
      <c r="BC72" s="224">
        <f t="shared" si="32"/>
        <v>101370361</v>
      </c>
      <c r="BD72" s="224">
        <f t="shared" si="32"/>
        <v>101370361</v>
      </c>
      <c r="BE72" s="224">
        <f t="shared" si="32"/>
        <v>101370361</v>
      </c>
      <c r="BF72" s="224">
        <f t="shared" si="32"/>
        <v>101370361</v>
      </c>
      <c r="BG72" s="224">
        <f t="shared" si="32"/>
        <v>101370361</v>
      </c>
      <c r="BH72" s="224">
        <f t="shared" si="32"/>
        <v>101370361</v>
      </c>
      <c r="BI72" s="224">
        <f t="shared" si="32"/>
        <v>101370361</v>
      </c>
      <c r="BJ72" s="224">
        <f t="shared" si="32"/>
        <v>101370361</v>
      </c>
      <c r="BK72" s="224">
        <f t="shared" si="32"/>
        <v>101370361</v>
      </c>
      <c r="BL72" s="224">
        <f t="shared" si="32"/>
        <v>101370361</v>
      </c>
      <c r="BM72" s="224">
        <f t="shared" si="32"/>
        <v>101370361</v>
      </c>
      <c r="BN72" s="224">
        <f t="shared" si="32"/>
        <v>101370361</v>
      </c>
      <c r="BO72" s="224">
        <f t="shared" si="32"/>
        <v>101370361</v>
      </c>
    </row>
    <row r="73" spans="1:67" ht="30">
      <c r="A73" s="223">
        <f t="shared" si="30"/>
        <v>7</v>
      </c>
      <c r="B73" s="228" t="s">
        <v>158</v>
      </c>
      <c r="C73" s="223">
        <v>71</v>
      </c>
      <c r="D73" s="224">
        <f>+D70</f>
        <v>89582266</v>
      </c>
      <c r="E73" s="224">
        <f t="shared" ref="E73:BO73" si="33">+E70</f>
        <v>89582266</v>
      </c>
      <c r="F73" s="224">
        <f t="shared" si="33"/>
        <v>89582266</v>
      </c>
      <c r="G73" s="224">
        <f t="shared" si="33"/>
        <v>89582266</v>
      </c>
      <c r="H73" s="224">
        <f t="shared" si="33"/>
        <v>89582266</v>
      </c>
      <c r="I73" s="224">
        <f t="shared" si="33"/>
        <v>89582266</v>
      </c>
      <c r="J73" s="224">
        <f t="shared" si="33"/>
        <v>89582266</v>
      </c>
      <c r="K73" s="224">
        <f t="shared" si="33"/>
        <v>89582266</v>
      </c>
      <c r="L73" s="224">
        <f t="shared" si="33"/>
        <v>89582266</v>
      </c>
      <c r="M73" s="224">
        <f t="shared" si="33"/>
        <v>89582266</v>
      </c>
      <c r="N73" s="224">
        <f t="shared" si="33"/>
        <v>89582266</v>
      </c>
      <c r="O73" s="224">
        <f t="shared" si="33"/>
        <v>89582266</v>
      </c>
      <c r="P73" s="224">
        <f t="shared" si="33"/>
        <v>89582266</v>
      </c>
      <c r="Q73" s="224">
        <f t="shared" si="33"/>
        <v>89582266</v>
      </c>
      <c r="R73" s="224">
        <f t="shared" si="33"/>
        <v>89582266</v>
      </c>
      <c r="S73" s="224">
        <f t="shared" si="33"/>
        <v>89582266</v>
      </c>
      <c r="T73" s="224">
        <f t="shared" si="33"/>
        <v>89582266</v>
      </c>
      <c r="U73" s="224">
        <f t="shared" si="33"/>
        <v>89582266</v>
      </c>
      <c r="V73" s="224">
        <f t="shared" si="33"/>
        <v>89582266</v>
      </c>
      <c r="W73" s="224">
        <f t="shared" si="33"/>
        <v>89582266</v>
      </c>
      <c r="X73" s="224">
        <f t="shared" si="33"/>
        <v>89582266</v>
      </c>
      <c r="Y73" s="224">
        <f t="shared" si="33"/>
        <v>89582266</v>
      </c>
      <c r="Z73" s="224">
        <f t="shared" si="33"/>
        <v>89582266</v>
      </c>
      <c r="AA73" s="224">
        <f t="shared" si="33"/>
        <v>89582266</v>
      </c>
      <c r="AB73" s="224">
        <f t="shared" si="33"/>
        <v>89582266</v>
      </c>
      <c r="AC73" s="224">
        <f t="shared" si="33"/>
        <v>89582266</v>
      </c>
      <c r="AD73" s="224">
        <f t="shared" si="33"/>
        <v>89582266</v>
      </c>
      <c r="AE73" s="224">
        <f t="shared" si="33"/>
        <v>89582266</v>
      </c>
      <c r="AF73" s="224">
        <f t="shared" si="33"/>
        <v>89582266</v>
      </c>
      <c r="AG73" s="224">
        <f t="shared" si="33"/>
        <v>89582266</v>
      </c>
      <c r="AH73" s="224">
        <f t="shared" si="33"/>
        <v>89582266</v>
      </c>
      <c r="AI73" s="224">
        <f t="shared" si="33"/>
        <v>89582266</v>
      </c>
      <c r="AJ73" s="224">
        <f t="shared" si="33"/>
        <v>89582266</v>
      </c>
      <c r="AK73" s="224">
        <f t="shared" si="33"/>
        <v>89582266</v>
      </c>
      <c r="AL73" s="224">
        <f t="shared" si="33"/>
        <v>89582266</v>
      </c>
      <c r="AM73" s="224">
        <f t="shared" si="33"/>
        <v>89582266</v>
      </c>
      <c r="AN73" s="224">
        <f t="shared" si="33"/>
        <v>89582266</v>
      </c>
      <c r="AO73" s="224">
        <f t="shared" si="33"/>
        <v>89582266</v>
      </c>
      <c r="AP73" s="224">
        <f t="shared" si="33"/>
        <v>89582266</v>
      </c>
      <c r="AQ73" s="224">
        <f t="shared" si="33"/>
        <v>89582266</v>
      </c>
      <c r="AR73" s="224">
        <f t="shared" si="33"/>
        <v>89582266</v>
      </c>
      <c r="AS73" s="224">
        <f t="shared" si="33"/>
        <v>89582266</v>
      </c>
      <c r="AT73" s="224">
        <f t="shared" si="33"/>
        <v>89582266</v>
      </c>
      <c r="AU73" s="224">
        <f t="shared" si="33"/>
        <v>89582266</v>
      </c>
      <c r="AV73" s="224">
        <f t="shared" si="33"/>
        <v>89582266</v>
      </c>
      <c r="AW73" s="224">
        <f t="shared" si="33"/>
        <v>89582266</v>
      </c>
      <c r="AX73" s="224">
        <f t="shared" si="33"/>
        <v>89582266</v>
      </c>
      <c r="AY73" s="224">
        <f t="shared" si="33"/>
        <v>89582266</v>
      </c>
      <c r="AZ73" s="224">
        <f t="shared" si="33"/>
        <v>89582266</v>
      </c>
      <c r="BA73" s="224">
        <f t="shared" si="33"/>
        <v>89582266</v>
      </c>
      <c r="BB73" s="224">
        <f t="shared" si="33"/>
        <v>89582266</v>
      </c>
      <c r="BC73" s="224">
        <f t="shared" si="33"/>
        <v>89582266</v>
      </c>
      <c r="BD73" s="224">
        <f t="shared" si="33"/>
        <v>89582266</v>
      </c>
      <c r="BE73" s="224">
        <f t="shared" si="33"/>
        <v>89582266</v>
      </c>
      <c r="BF73" s="224">
        <f t="shared" si="33"/>
        <v>89582266</v>
      </c>
      <c r="BG73" s="224">
        <f t="shared" si="33"/>
        <v>89582266</v>
      </c>
      <c r="BH73" s="224">
        <f t="shared" si="33"/>
        <v>89582266</v>
      </c>
      <c r="BI73" s="224">
        <f t="shared" si="33"/>
        <v>89582266</v>
      </c>
      <c r="BJ73" s="224">
        <f t="shared" si="33"/>
        <v>89582266</v>
      </c>
      <c r="BK73" s="224">
        <f t="shared" si="33"/>
        <v>89582266</v>
      </c>
      <c r="BL73" s="224">
        <f t="shared" si="33"/>
        <v>89582266</v>
      </c>
      <c r="BM73" s="224">
        <f t="shared" si="33"/>
        <v>89582266</v>
      </c>
      <c r="BN73" s="224">
        <f t="shared" si="33"/>
        <v>89582266</v>
      </c>
      <c r="BO73" s="224">
        <f t="shared" si="33"/>
        <v>89582266</v>
      </c>
    </row>
    <row r="74" spans="1:67" ht="30">
      <c r="A74" s="223">
        <f t="shared" si="30"/>
        <v>8</v>
      </c>
      <c r="B74" s="228" t="s">
        <v>159</v>
      </c>
      <c r="C74" s="223">
        <v>72</v>
      </c>
      <c r="D74" s="224">
        <f>+D73</f>
        <v>89582266</v>
      </c>
      <c r="E74" s="224">
        <f t="shared" ref="E74:BO74" si="34">+E73</f>
        <v>89582266</v>
      </c>
      <c r="F74" s="224">
        <f t="shared" si="34"/>
        <v>89582266</v>
      </c>
      <c r="G74" s="224">
        <f t="shared" si="34"/>
        <v>89582266</v>
      </c>
      <c r="H74" s="224">
        <f t="shared" si="34"/>
        <v>89582266</v>
      </c>
      <c r="I74" s="224">
        <f t="shared" si="34"/>
        <v>89582266</v>
      </c>
      <c r="J74" s="224">
        <f t="shared" si="34"/>
        <v>89582266</v>
      </c>
      <c r="K74" s="224">
        <f t="shared" si="34"/>
        <v>89582266</v>
      </c>
      <c r="L74" s="224">
        <f t="shared" si="34"/>
        <v>89582266</v>
      </c>
      <c r="M74" s="224">
        <f t="shared" si="34"/>
        <v>89582266</v>
      </c>
      <c r="N74" s="224">
        <f t="shared" si="34"/>
        <v>89582266</v>
      </c>
      <c r="O74" s="224">
        <f t="shared" si="34"/>
        <v>89582266</v>
      </c>
      <c r="P74" s="224">
        <f t="shared" si="34"/>
        <v>89582266</v>
      </c>
      <c r="Q74" s="224">
        <f t="shared" si="34"/>
        <v>89582266</v>
      </c>
      <c r="R74" s="224">
        <f t="shared" si="34"/>
        <v>89582266</v>
      </c>
      <c r="S74" s="224">
        <f t="shared" si="34"/>
        <v>89582266</v>
      </c>
      <c r="T74" s="224">
        <f t="shared" si="34"/>
        <v>89582266</v>
      </c>
      <c r="U74" s="224">
        <f t="shared" si="34"/>
        <v>89582266</v>
      </c>
      <c r="V74" s="224">
        <f t="shared" si="34"/>
        <v>89582266</v>
      </c>
      <c r="W74" s="224">
        <f t="shared" si="34"/>
        <v>89582266</v>
      </c>
      <c r="X74" s="224">
        <f t="shared" si="34"/>
        <v>89582266</v>
      </c>
      <c r="Y74" s="224">
        <f t="shared" si="34"/>
        <v>89582266</v>
      </c>
      <c r="Z74" s="224">
        <f t="shared" si="34"/>
        <v>89582266</v>
      </c>
      <c r="AA74" s="224">
        <f t="shared" si="34"/>
        <v>89582266</v>
      </c>
      <c r="AB74" s="224">
        <f t="shared" si="34"/>
        <v>89582266</v>
      </c>
      <c r="AC74" s="224">
        <f t="shared" si="34"/>
        <v>89582266</v>
      </c>
      <c r="AD74" s="224">
        <f t="shared" si="34"/>
        <v>89582266</v>
      </c>
      <c r="AE74" s="224">
        <f t="shared" si="34"/>
        <v>89582266</v>
      </c>
      <c r="AF74" s="224">
        <f t="shared" si="34"/>
        <v>89582266</v>
      </c>
      <c r="AG74" s="224">
        <f t="shared" si="34"/>
        <v>89582266</v>
      </c>
      <c r="AH74" s="224">
        <f t="shared" si="34"/>
        <v>89582266</v>
      </c>
      <c r="AI74" s="224">
        <f t="shared" si="34"/>
        <v>89582266</v>
      </c>
      <c r="AJ74" s="224">
        <f t="shared" si="34"/>
        <v>89582266</v>
      </c>
      <c r="AK74" s="224">
        <f t="shared" si="34"/>
        <v>89582266</v>
      </c>
      <c r="AL74" s="224">
        <f t="shared" si="34"/>
        <v>89582266</v>
      </c>
      <c r="AM74" s="224">
        <f t="shared" si="34"/>
        <v>89582266</v>
      </c>
      <c r="AN74" s="224">
        <f t="shared" si="34"/>
        <v>89582266</v>
      </c>
      <c r="AO74" s="224">
        <f t="shared" si="34"/>
        <v>89582266</v>
      </c>
      <c r="AP74" s="224">
        <f t="shared" si="34"/>
        <v>89582266</v>
      </c>
      <c r="AQ74" s="224">
        <f t="shared" si="34"/>
        <v>89582266</v>
      </c>
      <c r="AR74" s="224">
        <f t="shared" si="34"/>
        <v>89582266</v>
      </c>
      <c r="AS74" s="224">
        <f t="shared" si="34"/>
        <v>89582266</v>
      </c>
      <c r="AT74" s="224">
        <f t="shared" si="34"/>
        <v>89582266</v>
      </c>
      <c r="AU74" s="224">
        <f t="shared" si="34"/>
        <v>89582266</v>
      </c>
      <c r="AV74" s="224">
        <f t="shared" si="34"/>
        <v>89582266</v>
      </c>
      <c r="AW74" s="224">
        <f t="shared" si="34"/>
        <v>89582266</v>
      </c>
      <c r="AX74" s="224">
        <f t="shared" si="34"/>
        <v>89582266</v>
      </c>
      <c r="AY74" s="224">
        <f t="shared" si="34"/>
        <v>89582266</v>
      </c>
      <c r="AZ74" s="224">
        <f t="shared" si="34"/>
        <v>89582266</v>
      </c>
      <c r="BA74" s="224">
        <f t="shared" si="34"/>
        <v>89582266</v>
      </c>
      <c r="BB74" s="224">
        <f t="shared" si="34"/>
        <v>89582266</v>
      </c>
      <c r="BC74" s="224">
        <f t="shared" si="34"/>
        <v>89582266</v>
      </c>
      <c r="BD74" s="224">
        <f t="shared" si="34"/>
        <v>89582266</v>
      </c>
      <c r="BE74" s="224">
        <f t="shared" si="34"/>
        <v>89582266</v>
      </c>
      <c r="BF74" s="224">
        <f t="shared" si="34"/>
        <v>89582266</v>
      </c>
      <c r="BG74" s="224">
        <f t="shared" si="34"/>
        <v>89582266</v>
      </c>
      <c r="BH74" s="224">
        <f t="shared" si="34"/>
        <v>89582266</v>
      </c>
      <c r="BI74" s="224">
        <f t="shared" si="34"/>
        <v>89582266</v>
      </c>
      <c r="BJ74" s="224">
        <f t="shared" si="34"/>
        <v>89582266</v>
      </c>
      <c r="BK74" s="224">
        <f t="shared" si="34"/>
        <v>89582266</v>
      </c>
      <c r="BL74" s="224">
        <f t="shared" si="34"/>
        <v>89582266</v>
      </c>
      <c r="BM74" s="224">
        <f t="shared" si="34"/>
        <v>89582266</v>
      </c>
      <c r="BN74" s="224">
        <f t="shared" si="34"/>
        <v>89582266</v>
      </c>
      <c r="BO74" s="224">
        <f t="shared" si="34"/>
        <v>89582266</v>
      </c>
    </row>
    <row r="75" spans="1:67">
      <c r="A75" s="223">
        <v>9</v>
      </c>
      <c r="B75" s="151" t="s">
        <v>1453</v>
      </c>
      <c r="C75" s="223">
        <v>73</v>
      </c>
      <c r="D75" s="224">
        <v>31674977</v>
      </c>
      <c r="E75" s="224">
        <v>31674977</v>
      </c>
      <c r="F75" s="224">
        <v>31674977</v>
      </c>
      <c r="G75" s="224">
        <v>31674977</v>
      </c>
      <c r="H75" s="224">
        <v>31674977</v>
      </c>
      <c r="I75" s="224">
        <v>31674977</v>
      </c>
      <c r="J75" s="224">
        <v>31674977</v>
      </c>
      <c r="K75" s="224">
        <v>31674977</v>
      </c>
      <c r="L75" s="224">
        <v>31674977</v>
      </c>
      <c r="M75" s="224">
        <v>31674977</v>
      </c>
      <c r="N75" s="224">
        <v>31674977</v>
      </c>
      <c r="O75" s="224">
        <v>31674977</v>
      </c>
      <c r="P75" s="224">
        <v>31674977</v>
      </c>
      <c r="Q75" s="224">
        <v>31674977</v>
      </c>
      <c r="R75" s="224">
        <v>31674977</v>
      </c>
      <c r="S75" s="224">
        <v>31674977</v>
      </c>
      <c r="T75" s="224">
        <v>31674977</v>
      </c>
      <c r="U75" s="224">
        <v>31674977</v>
      </c>
      <c r="V75" s="224">
        <v>31674977</v>
      </c>
      <c r="W75" s="224">
        <v>31674977</v>
      </c>
      <c r="X75" s="224">
        <v>31674977</v>
      </c>
      <c r="Y75" s="224">
        <v>31674977</v>
      </c>
      <c r="Z75" s="224">
        <v>31674977</v>
      </c>
      <c r="AA75" s="224">
        <v>31674977</v>
      </c>
      <c r="AB75" s="224">
        <v>31674977</v>
      </c>
      <c r="AC75" s="224">
        <v>31674977</v>
      </c>
      <c r="AD75" s="224">
        <v>31674977</v>
      </c>
      <c r="AE75" s="224">
        <v>31674977</v>
      </c>
      <c r="AF75" s="224">
        <v>31674977</v>
      </c>
      <c r="AG75" s="224">
        <v>31674977</v>
      </c>
      <c r="AH75" s="224">
        <v>31674977</v>
      </c>
      <c r="AI75" s="224">
        <v>31674977</v>
      </c>
      <c r="AJ75" s="224">
        <v>31674977</v>
      </c>
      <c r="AK75" s="224">
        <v>31674977</v>
      </c>
      <c r="AL75" s="224">
        <v>31674977</v>
      </c>
      <c r="AM75" s="224">
        <v>31674977</v>
      </c>
      <c r="AN75" s="224">
        <v>31674977</v>
      </c>
      <c r="AO75" s="224">
        <v>31674977</v>
      </c>
      <c r="AP75" s="224">
        <v>31674977</v>
      </c>
      <c r="AQ75" s="224">
        <v>31674977</v>
      </c>
      <c r="AR75" s="224">
        <v>31674977</v>
      </c>
      <c r="AS75" s="224">
        <v>31674977</v>
      </c>
      <c r="AT75" s="224">
        <v>31674977</v>
      </c>
      <c r="AU75" s="224">
        <v>31674977</v>
      </c>
      <c r="AV75" s="224">
        <v>31674977</v>
      </c>
      <c r="AW75" s="224">
        <v>31674977</v>
      </c>
      <c r="AX75" s="224">
        <v>31674977</v>
      </c>
      <c r="AY75" s="224">
        <v>31674977</v>
      </c>
      <c r="AZ75" s="224">
        <v>31674977</v>
      </c>
      <c r="BA75" s="224">
        <v>31674977</v>
      </c>
      <c r="BB75" s="224">
        <v>31674977</v>
      </c>
      <c r="BC75" s="224">
        <v>31674977</v>
      </c>
      <c r="BD75" s="224">
        <v>31674977</v>
      </c>
      <c r="BE75" s="224">
        <v>31674977</v>
      </c>
      <c r="BF75" s="224">
        <v>31674977</v>
      </c>
      <c r="BG75" s="224">
        <v>31674977</v>
      </c>
      <c r="BH75" s="224">
        <v>31674977</v>
      </c>
      <c r="BI75" s="224">
        <v>31674977</v>
      </c>
      <c r="BJ75" s="224">
        <v>31674977</v>
      </c>
      <c r="BK75" s="224">
        <v>31674977</v>
      </c>
      <c r="BL75" s="224">
        <v>31674977</v>
      </c>
      <c r="BM75" s="224">
        <v>31674977</v>
      </c>
      <c r="BN75" s="224">
        <v>31674977</v>
      </c>
      <c r="BO75" s="224">
        <v>31674977</v>
      </c>
    </row>
    <row r="76" spans="1:67">
      <c r="A76" s="223">
        <v>10</v>
      </c>
      <c r="B76" s="255" t="s">
        <v>1452</v>
      </c>
      <c r="C76" s="223">
        <v>74</v>
      </c>
      <c r="D76" s="224">
        <v>54222743</v>
      </c>
      <c r="E76" s="224">
        <v>54222743</v>
      </c>
      <c r="F76" s="224">
        <v>54222743</v>
      </c>
      <c r="G76" s="224">
        <v>54222743</v>
      </c>
      <c r="H76" s="224">
        <v>54222743</v>
      </c>
      <c r="I76" s="224">
        <v>54222743</v>
      </c>
      <c r="J76" s="224">
        <v>54222743</v>
      </c>
      <c r="K76" s="224">
        <v>54222743</v>
      </c>
      <c r="L76" s="224">
        <v>54222743</v>
      </c>
      <c r="M76" s="224">
        <v>54222743</v>
      </c>
      <c r="N76" s="224">
        <v>54222743</v>
      </c>
      <c r="O76" s="224">
        <v>54222743</v>
      </c>
      <c r="P76" s="224">
        <v>54222743</v>
      </c>
      <c r="Q76" s="224">
        <v>54222743</v>
      </c>
      <c r="R76" s="224">
        <v>54222743</v>
      </c>
      <c r="S76" s="224">
        <v>54222743</v>
      </c>
      <c r="T76" s="224">
        <v>54222743</v>
      </c>
      <c r="U76" s="224">
        <v>54222743</v>
      </c>
      <c r="V76" s="224">
        <v>54222743</v>
      </c>
      <c r="W76" s="224">
        <v>54222743</v>
      </c>
      <c r="X76" s="224">
        <v>54222743</v>
      </c>
      <c r="Y76" s="224">
        <v>54222743</v>
      </c>
      <c r="Z76" s="224">
        <v>54222743</v>
      </c>
      <c r="AA76" s="224">
        <v>54222743</v>
      </c>
      <c r="AB76" s="224">
        <v>54222743</v>
      </c>
      <c r="AC76" s="224">
        <v>54222743</v>
      </c>
      <c r="AD76" s="224">
        <v>54222743</v>
      </c>
      <c r="AE76" s="224">
        <v>54222743</v>
      </c>
      <c r="AF76" s="224">
        <v>54222743</v>
      </c>
      <c r="AG76" s="224">
        <v>54222743</v>
      </c>
      <c r="AH76" s="224">
        <v>54222743</v>
      </c>
      <c r="AI76" s="224">
        <v>54222743</v>
      </c>
      <c r="AJ76" s="224">
        <v>54222743</v>
      </c>
      <c r="AK76" s="224">
        <v>54222743</v>
      </c>
      <c r="AL76" s="224">
        <v>54222743</v>
      </c>
      <c r="AM76" s="224">
        <v>54222743</v>
      </c>
      <c r="AN76" s="224">
        <v>54222743</v>
      </c>
      <c r="AO76" s="224">
        <v>54222743</v>
      </c>
      <c r="AP76" s="224">
        <v>54222743</v>
      </c>
      <c r="AQ76" s="224">
        <v>54222743</v>
      </c>
      <c r="AR76" s="224">
        <v>54222743</v>
      </c>
      <c r="AS76" s="224">
        <v>54222743</v>
      </c>
      <c r="AT76" s="224">
        <v>54222743</v>
      </c>
      <c r="AU76" s="224">
        <v>54222743</v>
      </c>
      <c r="AV76" s="224">
        <v>54222743</v>
      </c>
      <c r="AW76" s="224">
        <v>54222743</v>
      </c>
      <c r="AX76" s="224">
        <v>54222743</v>
      </c>
      <c r="AY76" s="224">
        <v>54222743</v>
      </c>
      <c r="AZ76" s="224">
        <v>54222743</v>
      </c>
      <c r="BA76" s="224">
        <v>54222743</v>
      </c>
      <c r="BB76" s="224">
        <v>54222743</v>
      </c>
      <c r="BC76" s="224">
        <v>54222743</v>
      </c>
      <c r="BD76" s="224">
        <v>54222743</v>
      </c>
      <c r="BE76" s="224">
        <v>54222743</v>
      </c>
      <c r="BF76" s="224">
        <v>54222743</v>
      </c>
      <c r="BG76" s="224">
        <v>54222743</v>
      </c>
      <c r="BH76" s="224">
        <v>54222743</v>
      </c>
      <c r="BI76" s="224">
        <v>54222743</v>
      </c>
      <c r="BJ76" s="224">
        <v>54222743</v>
      </c>
      <c r="BK76" s="224">
        <v>54222743</v>
      </c>
      <c r="BL76" s="224">
        <v>54222743</v>
      </c>
      <c r="BM76" s="224">
        <v>54222743</v>
      </c>
      <c r="BN76" s="224">
        <v>54222743</v>
      </c>
      <c r="BO76" s="224">
        <v>54222743</v>
      </c>
    </row>
    <row r="77" spans="1:67">
      <c r="A77" s="223">
        <f>+A76+1</f>
        <v>11</v>
      </c>
      <c r="B77" s="228" t="s">
        <v>1558</v>
      </c>
      <c r="C77" s="223">
        <v>75</v>
      </c>
      <c r="D77" s="224">
        <v>131564059</v>
      </c>
      <c r="E77" s="224">
        <v>131564059</v>
      </c>
      <c r="F77" s="224">
        <v>131564059</v>
      </c>
      <c r="G77" s="224">
        <v>131564059</v>
      </c>
      <c r="H77" s="224">
        <v>131564059</v>
      </c>
      <c r="I77" s="224">
        <v>131564059</v>
      </c>
      <c r="J77" s="224">
        <v>131564059</v>
      </c>
      <c r="K77" s="224">
        <v>131564059</v>
      </c>
      <c r="L77" s="224">
        <v>131564059</v>
      </c>
      <c r="M77" s="224">
        <v>131564059</v>
      </c>
      <c r="N77" s="224">
        <v>131564059</v>
      </c>
      <c r="O77" s="224">
        <v>131564059</v>
      </c>
      <c r="P77" s="224">
        <v>131564059</v>
      </c>
      <c r="Q77" s="224">
        <v>131564059</v>
      </c>
      <c r="R77" s="224">
        <v>131564059</v>
      </c>
      <c r="S77" s="224">
        <v>131564059</v>
      </c>
      <c r="T77" s="224">
        <v>131564059</v>
      </c>
      <c r="U77" s="224">
        <v>131564059</v>
      </c>
      <c r="V77" s="224">
        <v>131564059</v>
      </c>
      <c r="W77" s="224">
        <v>131564059</v>
      </c>
      <c r="X77" s="224">
        <v>131564059</v>
      </c>
      <c r="Y77" s="224">
        <v>131564059</v>
      </c>
      <c r="Z77" s="224">
        <v>131564059</v>
      </c>
      <c r="AA77" s="224">
        <v>131564059</v>
      </c>
      <c r="AB77" s="224">
        <v>131564059</v>
      </c>
      <c r="AC77" s="224">
        <v>131564059</v>
      </c>
      <c r="AD77" s="224">
        <v>131564059</v>
      </c>
      <c r="AE77" s="224">
        <v>131564059</v>
      </c>
      <c r="AF77" s="224">
        <v>131564059</v>
      </c>
      <c r="AG77" s="224">
        <v>131564059</v>
      </c>
      <c r="AH77" s="224">
        <v>131564059</v>
      </c>
      <c r="AI77" s="224">
        <v>131564059</v>
      </c>
      <c r="AJ77" s="224">
        <v>131564059</v>
      </c>
      <c r="AK77" s="224">
        <v>131564059</v>
      </c>
      <c r="AL77" s="224">
        <v>131564059</v>
      </c>
      <c r="AM77" s="224">
        <v>131564059</v>
      </c>
      <c r="AN77" s="224">
        <v>131564059</v>
      </c>
      <c r="AO77" s="224">
        <v>131564059</v>
      </c>
      <c r="AP77" s="224">
        <v>131564059</v>
      </c>
      <c r="AQ77" s="224">
        <v>131564059</v>
      </c>
      <c r="AR77" s="224">
        <v>131564059</v>
      </c>
      <c r="AS77" s="224">
        <v>131564059</v>
      </c>
      <c r="AT77" s="224">
        <v>131564059</v>
      </c>
      <c r="AU77" s="224">
        <v>131564059</v>
      </c>
      <c r="AV77" s="224">
        <v>131564059</v>
      </c>
      <c r="AW77" s="224">
        <v>131564059</v>
      </c>
      <c r="AX77" s="224">
        <v>131564059</v>
      </c>
      <c r="AY77" s="224">
        <v>131564059</v>
      </c>
      <c r="AZ77" s="224">
        <v>131564059</v>
      </c>
      <c r="BA77" s="224">
        <v>131564059</v>
      </c>
      <c r="BB77" s="224">
        <v>131564059</v>
      </c>
      <c r="BC77" s="224">
        <v>131564059</v>
      </c>
      <c r="BD77" s="224">
        <v>131564059</v>
      </c>
      <c r="BE77" s="224">
        <v>131564059</v>
      </c>
      <c r="BF77" s="224">
        <v>131564059</v>
      </c>
      <c r="BG77" s="224">
        <v>131564059</v>
      </c>
      <c r="BH77" s="224">
        <v>131564059</v>
      </c>
      <c r="BI77" s="224">
        <v>131564059</v>
      </c>
      <c r="BJ77" s="224">
        <v>131564059</v>
      </c>
      <c r="BK77" s="224">
        <v>131564059</v>
      </c>
      <c r="BL77" s="224">
        <v>131564059</v>
      </c>
      <c r="BM77" s="224">
        <v>131564059</v>
      </c>
      <c r="BN77" s="224">
        <v>131564059</v>
      </c>
      <c r="BO77" s="224">
        <v>131564059</v>
      </c>
    </row>
    <row r="78" spans="1:67">
      <c r="A78" s="223">
        <f>+A77+1</f>
        <v>12</v>
      </c>
      <c r="B78" s="228" t="s">
        <v>1559</v>
      </c>
      <c r="C78" s="223">
        <v>76</v>
      </c>
      <c r="D78" s="224">
        <v>150121486</v>
      </c>
      <c r="E78" s="224">
        <v>150121486</v>
      </c>
      <c r="F78" s="224">
        <v>150121486</v>
      </c>
      <c r="G78" s="224">
        <v>150121486</v>
      </c>
      <c r="H78" s="224">
        <v>150121486</v>
      </c>
      <c r="I78" s="224">
        <v>150121486</v>
      </c>
      <c r="J78" s="224">
        <v>150121486</v>
      </c>
      <c r="K78" s="224">
        <v>150121486</v>
      </c>
      <c r="L78" s="224">
        <v>150121486</v>
      </c>
      <c r="M78" s="224">
        <v>150121486</v>
      </c>
      <c r="N78" s="224">
        <v>150121486</v>
      </c>
      <c r="O78" s="224">
        <v>150121486</v>
      </c>
      <c r="P78" s="224">
        <v>150121486</v>
      </c>
      <c r="Q78" s="224">
        <v>150121486</v>
      </c>
      <c r="R78" s="224">
        <v>150121486</v>
      </c>
      <c r="S78" s="224">
        <v>150121486</v>
      </c>
      <c r="T78" s="224">
        <v>150121486</v>
      </c>
      <c r="U78" s="224">
        <v>150121486</v>
      </c>
      <c r="V78" s="224">
        <v>150121486</v>
      </c>
      <c r="W78" s="224">
        <v>150121486</v>
      </c>
      <c r="X78" s="224">
        <v>150121486</v>
      </c>
      <c r="Y78" s="224">
        <v>150121486</v>
      </c>
      <c r="Z78" s="224">
        <v>150121486</v>
      </c>
      <c r="AA78" s="224">
        <v>150121486</v>
      </c>
      <c r="AB78" s="224">
        <v>150121486</v>
      </c>
      <c r="AC78" s="224">
        <v>150121486</v>
      </c>
      <c r="AD78" s="224">
        <v>150121486</v>
      </c>
      <c r="AE78" s="224">
        <v>150121486</v>
      </c>
      <c r="AF78" s="224">
        <v>150121486</v>
      </c>
      <c r="AG78" s="224">
        <v>150121486</v>
      </c>
      <c r="AH78" s="224">
        <v>150121486</v>
      </c>
      <c r="AI78" s="224">
        <v>150121486</v>
      </c>
      <c r="AJ78" s="224">
        <v>150121486</v>
      </c>
      <c r="AK78" s="224">
        <v>150121486</v>
      </c>
      <c r="AL78" s="224">
        <v>150121486</v>
      </c>
      <c r="AM78" s="224">
        <v>150121486</v>
      </c>
      <c r="AN78" s="224">
        <v>150121486</v>
      </c>
      <c r="AO78" s="224">
        <v>150121486</v>
      </c>
      <c r="AP78" s="224">
        <v>150121486</v>
      </c>
      <c r="AQ78" s="224">
        <v>150121486</v>
      </c>
      <c r="AR78" s="224">
        <v>150121486</v>
      </c>
      <c r="AS78" s="224">
        <v>150121486</v>
      </c>
      <c r="AT78" s="224">
        <v>150121486</v>
      </c>
      <c r="AU78" s="224">
        <v>150121486</v>
      </c>
      <c r="AV78" s="224">
        <v>150121486</v>
      </c>
      <c r="AW78" s="224">
        <v>150121486</v>
      </c>
      <c r="AX78" s="224">
        <v>150121486</v>
      </c>
      <c r="AY78" s="224">
        <v>150121486</v>
      </c>
      <c r="AZ78" s="224">
        <v>150121486</v>
      </c>
      <c r="BA78" s="224">
        <v>150121486</v>
      </c>
      <c r="BB78" s="224">
        <v>150121486</v>
      </c>
      <c r="BC78" s="224">
        <v>150121486</v>
      </c>
      <c r="BD78" s="224">
        <v>150121486</v>
      </c>
      <c r="BE78" s="224">
        <v>150121486</v>
      </c>
      <c r="BF78" s="224">
        <v>150121486</v>
      </c>
      <c r="BG78" s="224">
        <v>150121486</v>
      </c>
      <c r="BH78" s="224">
        <v>150121486</v>
      </c>
      <c r="BI78" s="224">
        <v>150121486</v>
      </c>
      <c r="BJ78" s="224">
        <v>150121486</v>
      </c>
      <c r="BK78" s="224">
        <v>150121486</v>
      </c>
      <c r="BL78" s="224">
        <v>150121486</v>
      </c>
      <c r="BM78" s="224">
        <v>150121486</v>
      </c>
      <c r="BN78" s="224">
        <v>150121486</v>
      </c>
      <c r="BO78" s="224">
        <v>150121486</v>
      </c>
    </row>
    <row r="79" spans="1:67">
      <c r="A79" s="223">
        <f>+A78+1</f>
        <v>13</v>
      </c>
      <c r="B79" s="228" t="s">
        <v>1560</v>
      </c>
      <c r="C79" s="223">
        <v>77</v>
      </c>
      <c r="D79" s="224">
        <v>163588333</v>
      </c>
      <c r="E79" s="224">
        <v>163588333</v>
      </c>
      <c r="F79" s="224">
        <v>163588333</v>
      </c>
      <c r="G79" s="224">
        <v>163588333</v>
      </c>
      <c r="H79" s="224">
        <v>163588333</v>
      </c>
      <c r="I79" s="224">
        <v>163588333</v>
      </c>
      <c r="J79" s="224">
        <v>163588333</v>
      </c>
      <c r="K79" s="224">
        <v>163588333</v>
      </c>
      <c r="L79" s="224">
        <v>163588333</v>
      </c>
      <c r="M79" s="224">
        <v>163588333</v>
      </c>
      <c r="N79" s="224">
        <v>163588333</v>
      </c>
      <c r="O79" s="224">
        <v>163588333</v>
      </c>
      <c r="P79" s="224">
        <v>163588333</v>
      </c>
      <c r="Q79" s="224">
        <v>163588333</v>
      </c>
      <c r="R79" s="224">
        <v>163588333</v>
      </c>
      <c r="S79" s="224">
        <v>163588333</v>
      </c>
      <c r="T79" s="224">
        <v>163588333</v>
      </c>
      <c r="U79" s="224">
        <v>163588333</v>
      </c>
      <c r="V79" s="224">
        <v>163588333</v>
      </c>
      <c r="W79" s="224">
        <v>163588333</v>
      </c>
      <c r="X79" s="224">
        <v>163588333</v>
      </c>
      <c r="Y79" s="224">
        <v>163588333</v>
      </c>
      <c r="Z79" s="224">
        <v>163588333</v>
      </c>
      <c r="AA79" s="224">
        <v>163588333</v>
      </c>
      <c r="AB79" s="224">
        <v>163588333</v>
      </c>
      <c r="AC79" s="224">
        <v>163588333</v>
      </c>
      <c r="AD79" s="224">
        <v>163588333</v>
      </c>
      <c r="AE79" s="224">
        <v>163588333</v>
      </c>
      <c r="AF79" s="224">
        <v>163588333</v>
      </c>
      <c r="AG79" s="224">
        <v>163588333</v>
      </c>
      <c r="AH79" s="224">
        <v>163588333</v>
      </c>
      <c r="AI79" s="224">
        <v>163588333</v>
      </c>
      <c r="AJ79" s="224">
        <v>163588333</v>
      </c>
      <c r="AK79" s="224">
        <v>163588333</v>
      </c>
      <c r="AL79" s="224">
        <v>163588333</v>
      </c>
      <c r="AM79" s="224">
        <v>163588333</v>
      </c>
      <c r="AN79" s="224">
        <v>163588333</v>
      </c>
      <c r="AO79" s="224">
        <v>163588333</v>
      </c>
      <c r="AP79" s="224">
        <v>163588333</v>
      </c>
      <c r="AQ79" s="224">
        <v>163588333</v>
      </c>
      <c r="AR79" s="224">
        <v>163588333</v>
      </c>
      <c r="AS79" s="224">
        <v>163588333</v>
      </c>
      <c r="AT79" s="224">
        <v>163588333</v>
      </c>
      <c r="AU79" s="224">
        <v>163588333</v>
      </c>
      <c r="AV79" s="224">
        <v>163588333</v>
      </c>
      <c r="AW79" s="224">
        <v>163588333</v>
      </c>
      <c r="AX79" s="224">
        <v>163588333</v>
      </c>
      <c r="AY79" s="224">
        <v>163588333</v>
      </c>
      <c r="AZ79" s="224">
        <v>163588333</v>
      </c>
      <c r="BA79" s="224">
        <v>163588333</v>
      </c>
      <c r="BB79" s="224">
        <v>163588333</v>
      </c>
      <c r="BC79" s="224">
        <v>163588333</v>
      </c>
      <c r="BD79" s="224">
        <v>163588333</v>
      </c>
      <c r="BE79" s="224">
        <v>163588333</v>
      </c>
      <c r="BF79" s="224">
        <v>163588333</v>
      </c>
      <c r="BG79" s="224">
        <v>163588333</v>
      </c>
      <c r="BH79" s="224">
        <v>163588333</v>
      </c>
      <c r="BI79" s="224">
        <v>163588333</v>
      </c>
      <c r="BJ79" s="224">
        <v>163588333</v>
      </c>
      <c r="BK79" s="224">
        <v>163588333</v>
      </c>
      <c r="BL79" s="224">
        <v>163588333</v>
      </c>
      <c r="BM79" s="224">
        <v>163588333</v>
      </c>
      <c r="BN79" s="224">
        <v>163588333</v>
      </c>
      <c r="BO79" s="224">
        <v>163588333</v>
      </c>
    </row>
    <row r="80" spans="1:67">
      <c r="A80" s="256"/>
      <c r="B80" s="634" t="s">
        <v>1784</v>
      </c>
      <c r="C80" s="223">
        <v>78</v>
      </c>
      <c r="D80" s="258">
        <v>64765052</v>
      </c>
      <c r="E80" s="258">
        <v>64765052</v>
      </c>
      <c r="F80" s="258">
        <v>64765052</v>
      </c>
      <c r="G80" s="258">
        <v>64765052</v>
      </c>
      <c r="H80" s="258">
        <v>64765052</v>
      </c>
      <c r="I80" s="258">
        <v>64765052</v>
      </c>
      <c r="J80" s="258">
        <v>64765052</v>
      </c>
      <c r="K80" s="258">
        <v>64765052</v>
      </c>
      <c r="L80" s="258">
        <v>64765052</v>
      </c>
      <c r="M80" s="258">
        <v>64765052</v>
      </c>
      <c r="N80" s="258">
        <v>64765052</v>
      </c>
      <c r="O80" s="258">
        <v>64765052</v>
      </c>
      <c r="P80" s="258">
        <v>64765052</v>
      </c>
      <c r="Q80" s="258">
        <v>64765052</v>
      </c>
      <c r="R80" s="258">
        <v>64765052</v>
      </c>
      <c r="S80" s="258">
        <v>64765052</v>
      </c>
      <c r="T80" s="258">
        <v>64765052</v>
      </c>
      <c r="U80" s="258">
        <v>64765052</v>
      </c>
      <c r="V80" s="258">
        <v>64765052</v>
      </c>
      <c r="W80" s="258">
        <v>64765052</v>
      </c>
      <c r="X80" s="258">
        <v>64765052</v>
      </c>
      <c r="Y80" s="258">
        <v>64765052</v>
      </c>
      <c r="Z80" s="258">
        <v>64765052</v>
      </c>
      <c r="AA80" s="258">
        <v>64765052</v>
      </c>
      <c r="AB80" s="258">
        <v>64765052</v>
      </c>
      <c r="AC80" s="258">
        <v>64765052</v>
      </c>
      <c r="AD80" s="258">
        <v>64765052</v>
      </c>
      <c r="AE80" s="258">
        <v>64765052</v>
      </c>
      <c r="AF80" s="258">
        <v>64765052</v>
      </c>
      <c r="AG80" s="258">
        <v>64765052</v>
      </c>
      <c r="AH80" s="258">
        <v>64765052</v>
      </c>
      <c r="AI80" s="258">
        <v>64765052</v>
      </c>
      <c r="AJ80" s="258">
        <v>64765052</v>
      </c>
      <c r="AK80" s="258">
        <v>64765052</v>
      </c>
      <c r="AL80" s="258">
        <v>64765052</v>
      </c>
      <c r="AM80" s="258">
        <v>64765052</v>
      </c>
      <c r="AN80" s="258">
        <v>64765052</v>
      </c>
      <c r="AO80" s="258">
        <v>64765052</v>
      </c>
      <c r="AP80" s="258">
        <v>64765052</v>
      </c>
      <c r="AQ80" s="258">
        <v>64765052</v>
      </c>
      <c r="AR80" s="258">
        <v>64765052</v>
      </c>
      <c r="AS80" s="258">
        <v>64765052</v>
      </c>
      <c r="AT80" s="258">
        <v>64765052</v>
      </c>
      <c r="AU80" s="258">
        <v>64765052</v>
      </c>
      <c r="AV80" s="258">
        <v>64765052</v>
      </c>
      <c r="AW80" s="258">
        <v>64765052</v>
      </c>
      <c r="AX80" s="258">
        <v>64765052</v>
      </c>
      <c r="AY80" s="258">
        <v>64765052</v>
      </c>
      <c r="AZ80" s="258">
        <v>64765052</v>
      </c>
      <c r="BA80" s="258">
        <v>64765052</v>
      </c>
      <c r="BB80" s="258">
        <v>64765052</v>
      </c>
      <c r="BC80" s="258">
        <v>64765052</v>
      </c>
      <c r="BD80" s="258">
        <v>64765052</v>
      </c>
      <c r="BE80" s="258">
        <v>64765052</v>
      </c>
      <c r="BF80" s="258">
        <v>64765052</v>
      </c>
      <c r="BG80" s="258">
        <v>64765052</v>
      </c>
      <c r="BH80" s="258">
        <v>64765052</v>
      </c>
      <c r="BI80" s="258">
        <v>64765052</v>
      </c>
      <c r="BJ80" s="258">
        <v>64765052</v>
      </c>
      <c r="BK80" s="258">
        <v>64765052</v>
      </c>
      <c r="BL80" s="258">
        <v>64765052</v>
      </c>
      <c r="BM80" s="258">
        <v>64765052</v>
      </c>
      <c r="BN80" s="258">
        <v>64765052</v>
      </c>
      <c r="BO80" s="258">
        <v>64765052</v>
      </c>
    </row>
    <row r="81" spans="1:67">
      <c r="A81" s="223"/>
      <c r="B81" s="230" t="s">
        <v>16</v>
      </c>
      <c r="C81" s="223">
        <v>79</v>
      </c>
      <c r="D81" s="224"/>
      <c r="E81" s="224"/>
      <c r="F81" s="224"/>
      <c r="G81" s="224"/>
      <c r="H81" s="224"/>
      <c r="I81" s="224"/>
      <c r="J81" s="224"/>
      <c r="K81" s="224"/>
      <c r="L81" s="224"/>
      <c r="M81" s="224"/>
      <c r="N81" s="224"/>
      <c r="O81" s="224"/>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24"/>
      <c r="BF81" s="224"/>
      <c r="BG81" s="224"/>
      <c r="BH81" s="224"/>
      <c r="BI81" s="224"/>
      <c r="BJ81" s="224"/>
      <c r="BK81" s="224"/>
      <c r="BL81" s="224"/>
      <c r="BM81" s="224"/>
      <c r="BN81" s="224"/>
      <c r="BO81" s="224"/>
    </row>
    <row r="82" spans="1:67" ht="30">
      <c r="A82" s="223">
        <v>1</v>
      </c>
      <c r="B82" s="228" t="s">
        <v>189</v>
      </c>
      <c r="C82" s="223">
        <v>80</v>
      </c>
      <c r="D82" s="224">
        <f>1003714.49382441+32844088.9949675</f>
        <v>33847803.488791913</v>
      </c>
      <c r="E82" s="224">
        <f t="shared" ref="E82:BO82" si="35">1003714.49382441+32844088.9949675</f>
        <v>33847803.488791913</v>
      </c>
      <c r="F82" s="224">
        <f t="shared" si="35"/>
        <v>33847803.488791913</v>
      </c>
      <c r="G82" s="224">
        <f t="shared" si="35"/>
        <v>33847803.488791913</v>
      </c>
      <c r="H82" s="224">
        <f t="shared" si="35"/>
        <v>33847803.488791913</v>
      </c>
      <c r="I82" s="224">
        <f t="shared" si="35"/>
        <v>33847803.488791913</v>
      </c>
      <c r="J82" s="224">
        <f t="shared" si="35"/>
        <v>33847803.488791913</v>
      </c>
      <c r="K82" s="224">
        <f t="shared" si="35"/>
        <v>33847803.488791913</v>
      </c>
      <c r="L82" s="224">
        <f t="shared" si="35"/>
        <v>33847803.488791913</v>
      </c>
      <c r="M82" s="224">
        <f t="shared" si="35"/>
        <v>33847803.488791913</v>
      </c>
      <c r="N82" s="224">
        <f t="shared" si="35"/>
        <v>33847803.488791913</v>
      </c>
      <c r="O82" s="224">
        <f t="shared" si="35"/>
        <v>33847803.488791913</v>
      </c>
      <c r="P82" s="224">
        <f t="shared" si="35"/>
        <v>33847803.488791913</v>
      </c>
      <c r="Q82" s="224">
        <f t="shared" si="35"/>
        <v>33847803.488791913</v>
      </c>
      <c r="R82" s="224">
        <f t="shared" si="35"/>
        <v>33847803.488791913</v>
      </c>
      <c r="S82" s="224">
        <f t="shared" si="35"/>
        <v>33847803.488791913</v>
      </c>
      <c r="T82" s="224">
        <f t="shared" si="35"/>
        <v>33847803.488791913</v>
      </c>
      <c r="U82" s="224">
        <f t="shared" si="35"/>
        <v>33847803.488791913</v>
      </c>
      <c r="V82" s="224">
        <f t="shared" si="35"/>
        <v>33847803.488791913</v>
      </c>
      <c r="W82" s="224">
        <f t="shared" si="35"/>
        <v>33847803.488791913</v>
      </c>
      <c r="X82" s="224">
        <f t="shared" si="35"/>
        <v>33847803.488791913</v>
      </c>
      <c r="Y82" s="224">
        <f t="shared" si="35"/>
        <v>33847803.488791913</v>
      </c>
      <c r="Z82" s="224">
        <f t="shared" si="35"/>
        <v>33847803.488791913</v>
      </c>
      <c r="AA82" s="224">
        <f t="shared" si="35"/>
        <v>33847803.488791913</v>
      </c>
      <c r="AB82" s="224">
        <f t="shared" si="35"/>
        <v>33847803.488791913</v>
      </c>
      <c r="AC82" s="224">
        <f t="shared" si="35"/>
        <v>33847803.488791913</v>
      </c>
      <c r="AD82" s="224">
        <f t="shared" si="35"/>
        <v>33847803.488791913</v>
      </c>
      <c r="AE82" s="224">
        <f t="shared" si="35"/>
        <v>33847803.488791913</v>
      </c>
      <c r="AF82" s="224">
        <f t="shared" si="35"/>
        <v>33847803.488791913</v>
      </c>
      <c r="AG82" s="224">
        <f t="shared" si="35"/>
        <v>33847803.488791913</v>
      </c>
      <c r="AH82" s="224">
        <f t="shared" si="35"/>
        <v>33847803.488791913</v>
      </c>
      <c r="AI82" s="224">
        <f t="shared" si="35"/>
        <v>33847803.488791913</v>
      </c>
      <c r="AJ82" s="224">
        <f t="shared" si="35"/>
        <v>33847803.488791913</v>
      </c>
      <c r="AK82" s="224">
        <f t="shared" si="35"/>
        <v>33847803.488791913</v>
      </c>
      <c r="AL82" s="224">
        <f t="shared" si="35"/>
        <v>33847803.488791913</v>
      </c>
      <c r="AM82" s="224">
        <f t="shared" si="35"/>
        <v>33847803.488791913</v>
      </c>
      <c r="AN82" s="224">
        <f t="shared" si="35"/>
        <v>33847803.488791913</v>
      </c>
      <c r="AO82" s="224">
        <f t="shared" si="35"/>
        <v>33847803.488791913</v>
      </c>
      <c r="AP82" s="224">
        <f t="shared" si="35"/>
        <v>33847803.488791913</v>
      </c>
      <c r="AQ82" s="224">
        <f t="shared" si="35"/>
        <v>33847803.488791913</v>
      </c>
      <c r="AR82" s="224">
        <f t="shared" si="35"/>
        <v>33847803.488791913</v>
      </c>
      <c r="AS82" s="224">
        <f t="shared" si="35"/>
        <v>33847803.488791913</v>
      </c>
      <c r="AT82" s="224">
        <f t="shared" si="35"/>
        <v>33847803.488791913</v>
      </c>
      <c r="AU82" s="224">
        <f t="shared" si="35"/>
        <v>33847803.488791913</v>
      </c>
      <c r="AV82" s="224">
        <f t="shared" si="35"/>
        <v>33847803.488791913</v>
      </c>
      <c r="AW82" s="224">
        <f t="shared" si="35"/>
        <v>33847803.488791913</v>
      </c>
      <c r="AX82" s="224">
        <f t="shared" si="35"/>
        <v>33847803.488791913</v>
      </c>
      <c r="AY82" s="224">
        <f t="shared" si="35"/>
        <v>33847803.488791913</v>
      </c>
      <c r="AZ82" s="224">
        <f t="shared" si="35"/>
        <v>33847803.488791913</v>
      </c>
      <c r="BA82" s="224">
        <f t="shared" si="35"/>
        <v>33847803.488791913</v>
      </c>
      <c r="BB82" s="224">
        <f t="shared" si="35"/>
        <v>33847803.488791913</v>
      </c>
      <c r="BC82" s="224">
        <f t="shared" si="35"/>
        <v>33847803.488791913</v>
      </c>
      <c r="BD82" s="224">
        <f t="shared" si="35"/>
        <v>33847803.488791913</v>
      </c>
      <c r="BE82" s="224">
        <f t="shared" si="35"/>
        <v>33847803.488791913</v>
      </c>
      <c r="BF82" s="224">
        <f t="shared" si="35"/>
        <v>33847803.488791913</v>
      </c>
      <c r="BG82" s="224">
        <f t="shared" si="35"/>
        <v>33847803.488791913</v>
      </c>
      <c r="BH82" s="224">
        <f t="shared" si="35"/>
        <v>33847803.488791913</v>
      </c>
      <c r="BI82" s="224">
        <f t="shared" si="35"/>
        <v>33847803.488791913</v>
      </c>
      <c r="BJ82" s="224">
        <f t="shared" si="35"/>
        <v>33847803.488791913</v>
      </c>
      <c r="BK82" s="224">
        <f t="shared" si="35"/>
        <v>33847803.488791913</v>
      </c>
      <c r="BL82" s="224">
        <f t="shared" si="35"/>
        <v>33847803.488791913</v>
      </c>
      <c r="BM82" s="224">
        <f t="shared" si="35"/>
        <v>33847803.488791913</v>
      </c>
      <c r="BN82" s="224">
        <f t="shared" si="35"/>
        <v>33847803.488791913</v>
      </c>
      <c r="BO82" s="224">
        <f t="shared" si="35"/>
        <v>33847803.488791913</v>
      </c>
    </row>
    <row r="83" spans="1:67">
      <c r="A83" s="223">
        <f>A82+1</f>
        <v>2</v>
      </c>
      <c r="B83" s="151" t="s">
        <v>160</v>
      </c>
      <c r="C83" s="223">
        <v>81</v>
      </c>
      <c r="D83" s="224">
        <f>2499687.8807888+37540078.6926548</f>
        <v>40039766.573443606</v>
      </c>
      <c r="E83" s="224">
        <f t="shared" ref="E83:BO83" si="36">2499687.8807888+37540078.6926548</f>
        <v>40039766.573443606</v>
      </c>
      <c r="F83" s="224">
        <f t="shared" si="36"/>
        <v>40039766.573443606</v>
      </c>
      <c r="G83" s="224">
        <f t="shared" si="36"/>
        <v>40039766.573443606</v>
      </c>
      <c r="H83" s="224">
        <f t="shared" si="36"/>
        <v>40039766.573443606</v>
      </c>
      <c r="I83" s="224">
        <f t="shared" si="36"/>
        <v>40039766.573443606</v>
      </c>
      <c r="J83" s="224">
        <f t="shared" si="36"/>
        <v>40039766.573443606</v>
      </c>
      <c r="K83" s="224">
        <f t="shared" si="36"/>
        <v>40039766.573443606</v>
      </c>
      <c r="L83" s="224">
        <f t="shared" si="36"/>
        <v>40039766.573443606</v>
      </c>
      <c r="M83" s="224">
        <f t="shared" si="36"/>
        <v>40039766.573443606</v>
      </c>
      <c r="N83" s="224">
        <f t="shared" si="36"/>
        <v>40039766.573443606</v>
      </c>
      <c r="O83" s="224">
        <f t="shared" si="36"/>
        <v>40039766.573443606</v>
      </c>
      <c r="P83" s="224">
        <f t="shared" si="36"/>
        <v>40039766.573443606</v>
      </c>
      <c r="Q83" s="224">
        <f t="shared" si="36"/>
        <v>40039766.573443606</v>
      </c>
      <c r="R83" s="224">
        <f t="shared" si="36"/>
        <v>40039766.573443606</v>
      </c>
      <c r="S83" s="224">
        <f t="shared" si="36"/>
        <v>40039766.573443606</v>
      </c>
      <c r="T83" s="224">
        <f t="shared" si="36"/>
        <v>40039766.573443606</v>
      </c>
      <c r="U83" s="224">
        <f t="shared" si="36"/>
        <v>40039766.573443606</v>
      </c>
      <c r="V83" s="224">
        <f t="shared" si="36"/>
        <v>40039766.573443606</v>
      </c>
      <c r="W83" s="224">
        <f t="shared" si="36"/>
        <v>40039766.573443606</v>
      </c>
      <c r="X83" s="224">
        <f t="shared" si="36"/>
        <v>40039766.573443606</v>
      </c>
      <c r="Y83" s="224">
        <f t="shared" si="36"/>
        <v>40039766.573443606</v>
      </c>
      <c r="Z83" s="224">
        <f t="shared" si="36"/>
        <v>40039766.573443606</v>
      </c>
      <c r="AA83" s="224">
        <f t="shared" si="36"/>
        <v>40039766.573443606</v>
      </c>
      <c r="AB83" s="224">
        <f t="shared" si="36"/>
        <v>40039766.573443606</v>
      </c>
      <c r="AC83" s="224">
        <f t="shared" si="36"/>
        <v>40039766.573443606</v>
      </c>
      <c r="AD83" s="224">
        <f t="shared" si="36"/>
        <v>40039766.573443606</v>
      </c>
      <c r="AE83" s="224">
        <f t="shared" si="36"/>
        <v>40039766.573443606</v>
      </c>
      <c r="AF83" s="224">
        <f t="shared" si="36"/>
        <v>40039766.573443606</v>
      </c>
      <c r="AG83" s="224">
        <f t="shared" si="36"/>
        <v>40039766.573443606</v>
      </c>
      <c r="AH83" s="224">
        <f t="shared" si="36"/>
        <v>40039766.573443606</v>
      </c>
      <c r="AI83" s="224">
        <f t="shared" si="36"/>
        <v>40039766.573443606</v>
      </c>
      <c r="AJ83" s="224">
        <f t="shared" si="36"/>
        <v>40039766.573443606</v>
      </c>
      <c r="AK83" s="224">
        <f t="shared" si="36"/>
        <v>40039766.573443606</v>
      </c>
      <c r="AL83" s="224">
        <f t="shared" si="36"/>
        <v>40039766.573443606</v>
      </c>
      <c r="AM83" s="224">
        <f t="shared" si="36"/>
        <v>40039766.573443606</v>
      </c>
      <c r="AN83" s="224">
        <f t="shared" si="36"/>
        <v>40039766.573443606</v>
      </c>
      <c r="AO83" s="224">
        <f t="shared" si="36"/>
        <v>40039766.573443606</v>
      </c>
      <c r="AP83" s="224">
        <f t="shared" si="36"/>
        <v>40039766.573443606</v>
      </c>
      <c r="AQ83" s="224">
        <f t="shared" si="36"/>
        <v>40039766.573443606</v>
      </c>
      <c r="AR83" s="224">
        <f t="shared" si="36"/>
        <v>40039766.573443606</v>
      </c>
      <c r="AS83" s="224">
        <f t="shared" si="36"/>
        <v>40039766.573443606</v>
      </c>
      <c r="AT83" s="224">
        <f t="shared" si="36"/>
        <v>40039766.573443606</v>
      </c>
      <c r="AU83" s="224">
        <f t="shared" si="36"/>
        <v>40039766.573443606</v>
      </c>
      <c r="AV83" s="224">
        <f t="shared" si="36"/>
        <v>40039766.573443606</v>
      </c>
      <c r="AW83" s="224">
        <f t="shared" si="36"/>
        <v>40039766.573443606</v>
      </c>
      <c r="AX83" s="224">
        <f t="shared" si="36"/>
        <v>40039766.573443606</v>
      </c>
      <c r="AY83" s="224">
        <f t="shared" si="36"/>
        <v>40039766.573443606</v>
      </c>
      <c r="AZ83" s="224">
        <f t="shared" si="36"/>
        <v>40039766.573443606</v>
      </c>
      <c r="BA83" s="224">
        <f t="shared" si="36"/>
        <v>40039766.573443606</v>
      </c>
      <c r="BB83" s="224">
        <f t="shared" si="36"/>
        <v>40039766.573443606</v>
      </c>
      <c r="BC83" s="224">
        <f t="shared" si="36"/>
        <v>40039766.573443606</v>
      </c>
      <c r="BD83" s="224">
        <f t="shared" si="36"/>
        <v>40039766.573443606</v>
      </c>
      <c r="BE83" s="224">
        <f t="shared" si="36"/>
        <v>40039766.573443606</v>
      </c>
      <c r="BF83" s="224">
        <f t="shared" si="36"/>
        <v>40039766.573443606</v>
      </c>
      <c r="BG83" s="224">
        <f t="shared" si="36"/>
        <v>40039766.573443606</v>
      </c>
      <c r="BH83" s="224">
        <f t="shared" si="36"/>
        <v>40039766.573443606</v>
      </c>
      <c r="BI83" s="224">
        <f t="shared" si="36"/>
        <v>40039766.573443606</v>
      </c>
      <c r="BJ83" s="224">
        <f t="shared" si="36"/>
        <v>40039766.573443606</v>
      </c>
      <c r="BK83" s="224">
        <f t="shared" si="36"/>
        <v>40039766.573443606</v>
      </c>
      <c r="BL83" s="224">
        <f t="shared" si="36"/>
        <v>40039766.573443606</v>
      </c>
      <c r="BM83" s="224">
        <f t="shared" si="36"/>
        <v>40039766.573443606</v>
      </c>
      <c r="BN83" s="224">
        <f t="shared" si="36"/>
        <v>40039766.573443606</v>
      </c>
      <c r="BO83" s="224">
        <f t="shared" si="36"/>
        <v>40039766.573443606</v>
      </c>
    </row>
    <row r="84" spans="1:67">
      <c r="A84" s="223">
        <f>A83+1</f>
        <v>3</v>
      </c>
      <c r="B84" s="151" t="s">
        <v>161</v>
      </c>
      <c r="C84" s="223">
        <v>82</v>
      </c>
      <c r="D84" s="224">
        <v>11776754</v>
      </c>
      <c r="E84" s="224">
        <v>11776754</v>
      </c>
      <c r="F84" s="224">
        <v>11776754</v>
      </c>
      <c r="G84" s="224">
        <v>11776754</v>
      </c>
      <c r="H84" s="224">
        <v>11776754</v>
      </c>
      <c r="I84" s="224">
        <v>11776754</v>
      </c>
      <c r="J84" s="224">
        <v>11776754</v>
      </c>
      <c r="K84" s="224">
        <v>11776754</v>
      </c>
      <c r="L84" s="224">
        <v>11776754</v>
      </c>
      <c r="M84" s="224">
        <v>11776754</v>
      </c>
      <c r="N84" s="224">
        <v>11776754</v>
      </c>
      <c r="O84" s="224">
        <v>11776754</v>
      </c>
      <c r="P84" s="224">
        <v>11776754</v>
      </c>
      <c r="Q84" s="224">
        <v>11776754</v>
      </c>
      <c r="R84" s="224">
        <v>11776754</v>
      </c>
      <c r="S84" s="224">
        <v>11776754</v>
      </c>
      <c r="T84" s="224">
        <v>11776754</v>
      </c>
      <c r="U84" s="224">
        <v>11776754</v>
      </c>
      <c r="V84" s="224">
        <v>11776754</v>
      </c>
      <c r="W84" s="224">
        <v>11776754</v>
      </c>
      <c r="X84" s="224">
        <v>11776754</v>
      </c>
      <c r="Y84" s="224">
        <v>11776754</v>
      </c>
      <c r="Z84" s="224">
        <v>11776754</v>
      </c>
      <c r="AA84" s="224">
        <v>11776754</v>
      </c>
      <c r="AB84" s="224">
        <v>11776754</v>
      </c>
      <c r="AC84" s="224">
        <v>11776754</v>
      </c>
      <c r="AD84" s="224">
        <v>11776754</v>
      </c>
      <c r="AE84" s="224">
        <v>11776754</v>
      </c>
      <c r="AF84" s="224">
        <v>11776754</v>
      </c>
      <c r="AG84" s="224">
        <v>11776754</v>
      </c>
      <c r="AH84" s="224">
        <v>11776754</v>
      </c>
      <c r="AI84" s="224">
        <v>11776754</v>
      </c>
      <c r="AJ84" s="224">
        <v>11776754</v>
      </c>
      <c r="AK84" s="224">
        <v>11776754</v>
      </c>
      <c r="AL84" s="224">
        <v>11776754</v>
      </c>
      <c r="AM84" s="224">
        <v>11776754</v>
      </c>
      <c r="AN84" s="224">
        <v>11776754</v>
      </c>
      <c r="AO84" s="224">
        <v>11776754</v>
      </c>
      <c r="AP84" s="224">
        <v>11776754</v>
      </c>
      <c r="AQ84" s="224">
        <v>11776754</v>
      </c>
      <c r="AR84" s="224">
        <v>11776754</v>
      </c>
      <c r="AS84" s="224">
        <v>11776754</v>
      </c>
      <c r="AT84" s="224">
        <v>11776754</v>
      </c>
      <c r="AU84" s="224">
        <v>11776754</v>
      </c>
      <c r="AV84" s="224">
        <v>11776754</v>
      </c>
      <c r="AW84" s="224">
        <v>11776754</v>
      </c>
      <c r="AX84" s="224">
        <v>11776754</v>
      </c>
      <c r="AY84" s="224">
        <v>11776754</v>
      </c>
      <c r="AZ84" s="224">
        <v>11776754</v>
      </c>
      <c r="BA84" s="224">
        <v>11776754</v>
      </c>
      <c r="BB84" s="224">
        <v>11776754</v>
      </c>
      <c r="BC84" s="224">
        <v>11776754</v>
      </c>
      <c r="BD84" s="224">
        <v>11776754</v>
      </c>
      <c r="BE84" s="224">
        <v>11776754</v>
      </c>
      <c r="BF84" s="224">
        <v>11776754</v>
      </c>
      <c r="BG84" s="224">
        <v>11776754</v>
      </c>
      <c r="BH84" s="224">
        <v>11776754</v>
      </c>
      <c r="BI84" s="224">
        <v>11776754</v>
      </c>
      <c r="BJ84" s="224">
        <v>11776754</v>
      </c>
      <c r="BK84" s="224">
        <v>11776754</v>
      </c>
      <c r="BL84" s="224">
        <v>11776754</v>
      </c>
      <c r="BM84" s="224">
        <v>11776754</v>
      </c>
      <c r="BN84" s="224">
        <v>11776754</v>
      </c>
      <c r="BO84" s="224">
        <v>11776754</v>
      </c>
    </row>
    <row r="85" spans="1:67">
      <c r="A85" s="223">
        <f t="shared" ref="A85:A90" si="37">A84+1</f>
        <v>4</v>
      </c>
      <c r="B85" s="151" t="s">
        <v>162</v>
      </c>
      <c r="C85" s="223">
        <v>83</v>
      </c>
      <c r="D85" s="224">
        <v>22153998</v>
      </c>
      <c r="E85" s="224">
        <v>22153998</v>
      </c>
      <c r="F85" s="224">
        <v>22153998</v>
      </c>
      <c r="G85" s="224">
        <v>22153998</v>
      </c>
      <c r="H85" s="224">
        <v>22153998</v>
      </c>
      <c r="I85" s="224">
        <v>22153998</v>
      </c>
      <c r="J85" s="224">
        <v>22153998</v>
      </c>
      <c r="K85" s="224">
        <v>22153998</v>
      </c>
      <c r="L85" s="224">
        <v>22153998</v>
      </c>
      <c r="M85" s="224">
        <v>22153998</v>
      </c>
      <c r="N85" s="224">
        <v>22153998</v>
      </c>
      <c r="O85" s="224">
        <v>22153998</v>
      </c>
      <c r="P85" s="224">
        <v>22153998</v>
      </c>
      <c r="Q85" s="224">
        <v>22153998</v>
      </c>
      <c r="R85" s="224">
        <v>22153998</v>
      </c>
      <c r="S85" s="224">
        <v>22153998</v>
      </c>
      <c r="T85" s="224">
        <v>22153998</v>
      </c>
      <c r="U85" s="224">
        <v>22153998</v>
      </c>
      <c r="V85" s="224">
        <v>22153998</v>
      </c>
      <c r="W85" s="224">
        <v>22153998</v>
      </c>
      <c r="X85" s="224">
        <v>22153998</v>
      </c>
      <c r="Y85" s="224">
        <v>22153998</v>
      </c>
      <c r="Z85" s="224">
        <v>22153998</v>
      </c>
      <c r="AA85" s="224">
        <v>22153998</v>
      </c>
      <c r="AB85" s="224">
        <v>22153998</v>
      </c>
      <c r="AC85" s="224">
        <v>22153998</v>
      </c>
      <c r="AD85" s="224">
        <v>22153998</v>
      </c>
      <c r="AE85" s="224">
        <v>22153998</v>
      </c>
      <c r="AF85" s="224">
        <v>22153998</v>
      </c>
      <c r="AG85" s="224">
        <v>22153998</v>
      </c>
      <c r="AH85" s="224">
        <v>22153998</v>
      </c>
      <c r="AI85" s="224">
        <v>22153998</v>
      </c>
      <c r="AJ85" s="224">
        <v>22153998</v>
      </c>
      <c r="AK85" s="224">
        <v>22153998</v>
      </c>
      <c r="AL85" s="224">
        <v>22153998</v>
      </c>
      <c r="AM85" s="224">
        <v>22153998</v>
      </c>
      <c r="AN85" s="224">
        <v>22153998</v>
      </c>
      <c r="AO85" s="224">
        <v>22153998</v>
      </c>
      <c r="AP85" s="224">
        <v>22153998</v>
      </c>
      <c r="AQ85" s="224">
        <v>22153998</v>
      </c>
      <c r="AR85" s="224">
        <v>22153998</v>
      </c>
      <c r="AS85" s="224">
        <v>22153998</v>
      </c>
      <c r="AT85" s="224">
        <v>22153998</v>
      </c>
      <c r="AU85" s="224">
        <v>22153998</v>
      </c>
      <c r="AV85" s="224">
        <v>22153998</v>
      </c>
      <c r="AW85" s="224">
        <v>22153998</v>
      </c>
      <c r="AX85" s="224">
        <v>22153998</v>
      </c>
      <c r="AY85" s="224">
        <v>22153998</v>
      </c>
      <c r="AZ85" s="224">
        <v>22153998</v>
      </c>
      <c r="BA85" s="224">
        <v>22153998</v>
      </c>
      <c r="BB85" s="224">
        <v>22153998</v>
      </c>
      <c r="BC85" s="224">
        <v>22153998</v>
      </c>
      <c r="BD85" s="224">
        <v>22153998</v>
      </c>
      <c r="BE85" s="224">
        <v>22153998</v>
      </c>
      <c r="BF85" s="224">
        <v>22153998</v>
      </c>
      <c r="BG85" s="224">
        <v>22153998</v>
      </c>
      <c r="BH85" s="224">
        <v>22153998</v>
      </c>
      <c r="BI85" s="224">
        <v>22153998</v>
      </c>
      <c r="BJ85" s="224">
        <v>22153998</v>
      </c>
      <c r="BK85" s="224">
        <v>22153998</v>
      </c>
      <c r="BL85" s="224">
        <v>22153998</v>
      </c>
      <c r="BM85" s="224">
        <v>22153998</v>
      </c>
      <c r="BN85" s="224">
        <v>22153998</v>
      </c>
      <c r="BO85" s="224">
        <v>22153998</v>
      </c>
    </row>
    <row r="86" spans="1:67" ht="16.5" customHeight="1">
      <c r="A86" s="223">
        <f>A85+1</f>
        <v>5</v>
      </c>
      <c r="B86" s="228" t="s">
        <v>184</v>
      </c>
      <c r="C86" s="223">
        <v>84</v>
      </c>
      <c r="D86" s="224">
        <v>25054558</v>
      </c>
      <c r="E86" s="224">
        <v>25054558</v>
      </c>
      <c r="F86" s="224">
        <v>25054558</v>
      </c>
      <c r="G86" s="224">
        <v>25054558</v>
      </c>
      <c r="H86" s="224">
        <v>25054558</v>
      </c>
      <c r="I86" s="224">
        <v>25054558</v>
      </c>
      <c r="J86" s="224">
        <v>25054558</v>
      </c>
      <c r="K86" s="224">
        <v>25054558</v>
      </c>
      <c r="L86" s="224">
        <v>25054558</v>
      </c>
      <c r="M86" s="224">
        <v>25054558</v>
      </c>
      <c r="N86" s="224">
        <v>25054558</v>
      </c>
      <c r="O86" s="224">
        <v>25054558</v>
      </c>
      <c r="P86" s="224">
        <v>25054558</v>
      </c>
      <c r="Q86" s="224">
        <v>25054558</v>
      </c>
      <c r="R86" s="224">
        <v>25054558</v>
      </c>
      <c r="S86" s="224">
        <v>25054558</v>
      </c>
      <c r="T86" s="224">
        <v>25054558</v>
      </c>
      <c r="U86" s="224">
        <v>25054558</v>
      </c>
      <c r="V86" s="224">
        <v>25054558</v>
      </c>
      <c r="W86" s="224">
        <v>25054558</v>
      </c>
      <c r="X86" s="224">
        <v>25054558</v>
      </c>
      <c r="Y86" s="224">
        <v>25054558</v>
      </c>
      <c r="Z86" s="224">
        <v>25054558</v>
      </c>
      <c r="AA86" s="224">
        <v>25054558</v>
      </c>
      <c r="AB86" s="224">
        <v>25054558</v>
      </c>
      <c r="AC86" s="224">
        <v>25054558</v>
      </c>
      <c r="AD86" s="224">
        <v>25054558</v>
      </c>
      <c r="AE86" s="224">
        <v>25054558</v>
      </c>
      <c r="AF86" s="224">
        <v>25054558</v>
      </c>
      <c r="AG86" s="224">
        <v>25054558</v>
      </c>
      <c r="AH86" s="224">
        <v>25054558</v>
      </c>
      <c r="AI86" s="224">
        <v>25054558</v>
      </c>
      <c r="AJ86" s="224">
        <v>25054558</v>
      </c>
      <c r="AK86" s="224">
        <v>25054558</v>
      </c>
      <c r="AL86" s="224">
        <v>25054558</v>
      </c>
      <c r="AM86" s="224">
        <v>25054558</v>
      </c>
      <c r="AN86" s="224">
        <v>25054558</v>
      </c>
      <c r="AO86" s="224">
        <v>25054558</v>
      </c>
      <c r="AP86" s="224">
        <v>25054558</v>
      </c>
      <c r="AQ86" s="224">
        <v>25054558</v>
      </c>
      <c r="AR86" s="224">
        <v>25054558</v>
      </c>
      <c r="AS86" s="224">
        <v>25054558</v>
      </c>
      <c r="AT86" s="224">
        <v>25054558</v>
      </c>
      <c r="AU86" s="224">
        <v>25054558</v>
      </c>
      <c r="AV86" s="224">
        <v>25054558</v>
      </c>
      <c r="AW86" s="224">
        <v>25054558</v>
      </c>
      <c r="AX86" s="224">
        <v>25054558</v>
      </c>
      <c r="AY86" s="224">
        <v>25054558</v>
      </c>
      <c r="AZ86" s="224">
        <v>25054558</v>
      </c>
      <c r="BA86" s="224">
        <v>25054558</v>
      </c>
      <c r="BB86" s="224">
        <v>25054558</v>
      </c>
      <c r="BC86" s="224">
        <v>25054558</v>
      </c>
      <c r="BD86" s="224">
        <v>25054558</v>
      </c>
      <c r="BE86" s="224">
        <v>25054558</v>
      </c>
      <c r="BF86" s="224">
        <v>25054558</v>
      </c>
      <c r="BG86" s="224">
        <v>25054558</v>
      </c>
      <c r="BH86" s="224">
        <v>25054558</v>
      </c>
      <c r="BI86" s="224">
        <v>25054558</v>
      </c>
      <c r="BJ86" s="224">
        <v>25054558</v>
      </c>
      <c r="BK86" s="224">
        <v>25054558</v>
      </c>
      <c r="BL86" s="224">
        <v>25054558</v>
      </c>
      <c r="BM86" s="224">
        <v>25054558</v>
      </c>
      <c r="BN86" s="224">
        <v>25054558</v>
      </c>
      <c r="BO86" s="224">
        <v>25054558</v>
      </c>
    </row>
    <row r="87" spans="1:67">
      <c r="A87" s="223">
        <f t="shared" si="37"/>
        <v>6</v>
      </c>
      <c r="B87" s="228" t="s">
        <v>163</v>
      </c>
      <c r="C87" s="223">
        <v>85</v>
      </c>
      <c r="D87" s="224">
        <v>20605390.909090899</v>
      </c>
      <c r="E87" s="224">
        <v>20605390.909090899</v>
      </c>
      <c r="F87" s="224">
        <v>20605390.909090899</v>
      </c>
      <c r="G87" s="224">
        <v>20605390.909090899</v>
      </c>
      <c r="H87" s="224">
        <v>20605390.909090899</v>
      </c>
      <c r="I87" s="224">
        <v>20605390.909090899</v>
      </c>
      <c r="J87" s="224">
        <v>20605390.909090899</v>
      </c>
      <c r="K87" s="224">
        <v>20605390.909090899</v>
      </c>
      <c r="L87" s="224">
        <v>20605390.909090899</v>
      </c>
      <c r="M87" s="224">
        <v>20605390.909090899</v>
      </c>
      <c r="N87" s="224">
        <v>20605390.909090899</v>
      </c>
      <c r="O87" s="224">
        <v>20605390.909090899</v>
      </c>
      <c r="P87" s="224">
        <v>20605390.909090899</v>
      </c>
      <c r="Q87" s="224">
        <v>20605390.909090899</v>
      </c>
      <c r="R87" s="224">
        <v>20605390.909090899</v>
      </c>
      <c r="S87" s="224">
        <v>20605390.909090899</v>
      </c>
      <c r="T87" s="224">
        <v>20605390.909090899</v>
      </c>
      <c r="U87" s="224">
        <v>20605390.909090899</v>
      </c>
      <c r="V87" s="224">
        <v>20605390.909090899</v>
      </c>
      <c r="W87" s="224">
        <v>20605390.909090899</v>
      </c>
      <c r="X87" s="224">
        <v>20605390.909090899</v>
      </c>
      <c r="Y87" s="224">
        <v>20605390.909090899</v>
      </c>
      <c r="Z87" s="224">
        <v>20605390.909090899</v>
      </c>
      <c r="AA87" s="224">
        <v>20605390.909090899</v>
      </c>
      <c r="AB87" s="224">
        <v>20605390.909090899</v>
      </c>
      <c r="AC87" s="224">
        <v>20605390.909090899</v>
      </c>
      <c r="AD87" s="224">
        <v>20605390.909090899</v>
      </c>
      <c r="AE87" s="224">
        <v>20605390.909090899</v>
      </c>
      <c r="AF87" s="224">
        <v>20605390.909090899</v>
      </c>
      <c r="AG87" s="224">
        <v>20605390.909090899</v>
      </c>
      <c r="AH87" s="224">
        <v>20605390.909090899</v>
      </c>
      <c r="AI87" s="224">
        <v>20605390.909090899</v>
      </c>
      <c r="AJ87" s="224">
        <v>20605390.909090899</v>
      </c>
      <c r="AK87" s="224">
        <v>20605390.909090899</v>
      </c>
      <c r="AL87" s="224">
        <v>20605390.909090899</v>
      </c>
      <c r="AM87" s="224">
        <v>20605390.909090899</v>
      </c>
      <c r="AN87" s="224">
        <v>20605390.909090899</v>
      </c>
      <c r="AO87" s="224">
        <v>20605390.909090899</v>
      </c>
      <c r="AP87" s="224">
        <v>20605390.909090899</v>
      </c>
      <c r="AQ87" s="224">
        <v>20605390.909090899</v>
      </c>
      <c r="AR87" s="224">
        <v>20605390.909090899</v>
      </c>
      <c r="AS87" s="224">
        <v>20605390.909090899</v>
      </c>
      <c r="AT87" s="224">
        <v>20605390.909090899</v>
      </c>
      <c r="AU87" s="224">
        <v>20605390.909090899</v>
      </c>
      <c r="AV87" s="224">
        <v>20605390.909090899</v>
      </c>
      <c r="AW87" s="224">
        <v>20605390.909090899</v>
      </c>
      <c r="AX87" s="224">
        <v>20605390.909090899</v>
      </c>
      <c r="AY87" s="224">
        <v>20605390.909090899</v>
      </c>
      <c r="AZ87" s="224">
        <v>20605390.909090899</v>
      </c>
      <c r="BA87" s="224">
        <v>20605390.909090899</v>
      </c>
      <c r="BB87" s="224">
        <v>20605390.909090899</v>
      </c>
      <c r="BC87" s="224">
        <v>20605390.909090899</v>
      </c>
      <c r="BD87" s="224">
        <v>20605390.909090899</v>
      </c>
      <c r="BE87" s="224">
        <v>20605390.909090899</v>
      </c>
      <c r="BF87" s="224">
        <v>20605390.909090899</v>
      </c>
      <c r="BG87" s="224">
        <v>20605390.909090899</v>
      </c>
      <c r="BH87" s="224">
        <v>20605390.909090899</v>
      </c>
      <c r="BI87" s="224">
        <v>20605390.909090899</v>
      </c>
      <c r="BJ87" s="224">
        <v>20605390.909090899</v>
      </c>
      <c r="BK87" s="224">
        <v>20605390.909090899</v>
      </c>
      <c r="BL87" s="224">
        <v>20605390.909090899</v>
      </c>
      <c r="BM87" s="224">
        <v>20605390.909090899</v>
      </c>
      <c r="BN87" s="224">
        <v>20605390.909090899</v>
      </c>
      <c r="BO87" s="224">
        <v>20605390.909090899</v>
      </c>
    </row>
    <row r="88" spans="1:67" ht="30">
      <c r="A88" s="223">
        <f t="shared" si="37"/>
        <v>7</v>
      </c>
      <c r="B88" s="228" t="s">
        <v>190</v>
      </c>
      <c r="C88" s="223">
        <v>86</v>
      </c>
      <c r="D88" s="224">
        <v>14139865.454545453</v>
      </c>
      <c r="E88" s="224">
        <v>14139865.454545453</v>
      </c>
      <c r="F88" s="224">
        <v>14139865.454545453</v>
      </c>
      <c r="G88" s="224">
        <v>14139865.454545453</v>
      </c>
      <c r="H88" s="224">
        <v>14139865.454545453</v>
      </c>
      <c r="I88" s="224">
        <v>14139865.454545453</v>
      </c>
      <c r="J88" s="224">
        <v>14139865.454545453</v>
      </c>
      <c r="K88" s="224">
        <v>14139865.454545453</v>
      </c>
      <c r="L88" s="224">
        <v>14139865.454545453</v>
      </c>
      <c r="M88" s="224">
        <v>14139865.454545453</v>
      </c>
      <c r="N88" s="224">
        <v>14139865.454545453</v>
      </c>
      <c r="O88" s="224">
        <v>14139865.454545453</v>
      </c>
      <c r="P88" s="224">
        <v>14139865.454545453</v>
      </c>
      <c r="Q88" s="224">
        <v>14139865.454545453</v>
      </c>
      <c r="R88" s="224">
        <v>14139865.454545453</v>
      </c>
      <c r="S88" s="224">
        <v>14139865.454545453</v>
      </c>
      <c r="T88" s="224">
        <v>14139865.454545453</v>
      </c>
      <c r="U88" s="224">
        <v>14139865.454545453</v>
      </c>
      <c r="V88" s="224">
        <v>14139865.454545453</v>
      </c>
      <c r="W88" s="224">
        <v>14139865.454545453</v>
      </c>
      <c r="X88" s="224">
        <v>14139865.454545453</v>
      </c>
      <c r="Y88" s="224">
        <v>14139865.454545453</v>
      </c>
      <c r="Z88" s="224">
        <v>14139865.454545453</v>
      </c>
      <c r="AA88" s="224">
        <v>14139865.454545453</v>
      </c>
      <c r="AB88" s="224">
        <v>14139865.454545453</v>
      </c>
      <c r="AC88" s="224">
        <v>14139865.454545453</v>
      </c>
      <c r="AD88" s="224">
        <v>14139865.454545453</v>
      </c>
      <c r="AE88" s="224">
        <v>14139865.454545453</v>
      </c>
      <c r="AF88" s="224">
        <v>14139865.454545453</v>
      </c>
      <c r="AG88" s="224">
        <v>14139865.454545453</v>
      </c>
      <c r="AH88" s="224">
        <v>14139865.454545453</v>
      </c>
      <c r="AI88" s="224">
        <v>14139865.454545453</v>
      </c>
      <c r="AJ88" s="224">
        <v>14139865.454545453</v>
      </c>
      <c r="AK88" s="224">
        <v>14139865.454545453</v>
      </c>
      <c r="AL88" s="224">
        <v>14139865.454545453</v>
      </c>
      <c r="AM88" s="224">
        <v>14139865.454545453</v>
      </c>
      <c r="AN88" s="224">
        <v>14139865.454545453</v>
      </c>
      <c r="AO88" s="224">
        <v>14139865.454545453</v>
      </c>
      <c r="AP88" s="224">
        <v>14139865.454545453</v>
      </c>
      <c r="AQ88" s="224">
        <v>14139865.454545453</v>
      </c>
      <c r="AR88" s="224">
        <v>14139865.454545453</v>
      </c>
      <c r="AS88" s="224">
        <v>14139865.454545453</v>
      </c>
      <c r="AT88" s="224">
        <v>14139865.454545453</v>
      </c>
      <c r="AU88" s="224">
        <v>14139865.454545453</v>
      </c>
      <c r="AV88" s="224">
        <v>14139865.454545453</v>
      </c>
      <c r="AW88" s="224">
        <v>14139865.454545453</v>
      </c>
      <c r="AX88" s="224">
        <v>14139865.454545453</v>
      </c>
      <c r="AY88" s="224">
        <v>14139865.454545453</v>
      </c>
      <c r="AZ88" s="224">
        <v>14139865.454545453</v>
      </c>
      <c r="BA88" s="224">
        <v>14139865.454545453</v>
      </c>
      <c r="BB88" s="224">
        <v>14139865.454545453</v>
      </c>
      <c r="BC88" s="224">
        <v>14139865.454545453</v>
      </c>
      <c r="BD88" s="224">
        <v>14139865.454545453</v>
      </c>
      <c r="BE88" s="224">
        <v>14139865.454545453</v>
      </c>
      <c r="BF88" s="224">
        <v>14139865.454545453</v>
      </c>
      <c r="BG88" s="224">
        <v>14139865.454545453</v>
      </c>
      <c r="BH88" s="224">
        <v>14139865.454545453</v>
      </c>
      <c r="BI88" s="224">
        <v>14139865.454545453</v>
      </c>
      <c r="BJ88" s="224">
        <v>14139865.454545453</v>
      </c>
      <c r="BK88" s="224">
        <v>14139865.454545453</v>
      </c>
      <c r="BL88" s="224">
        <v>14139865.454545453</v>
      </c>
      <c r="BM88" s="224">
        <v>14139865.454545453</v>
      </c>
      <c r="BN88" s="224">
        <v>14139865.454545453</v>
      </c>
      <c r="BO88" s="224">
        <v>14139865.454545453</v>
      </c>
    </row>
    <row r="89" spans="1:67" ht="30">
      <c r="A89" s="223">
        <f t="shared" si="37"/>
        <v>8</v>
      </c>
      <c r="B89" s="228" t="s">
        <v>191</v>
      </c>
      <c r="C89" s="223">
        <v>87</v>
      </c>
      <c r="D89" s="224">
        <v>18275091.818181816</v>
      </c>
      <c r="E89" s="224">
        <v>18275091.818181816</v>
      </c>
      <c r="F89" s="224">
        <v>18275091.818181816</v>
      </c>
      <c r="G89" s="224">
        <v>18275091.818181816</v>
      </c>
      <c r="H89" s="224">
        <v>18275091.818181816</v>
      </c>
      <c r="I89" s="224">
        <v>18275091.818181816</v>
      </c>
      <c r="J89" s="224">
        <v>18275091.818181816</v>
      </c>
      <c r="K89" s="224">
        <v>18275091.818181816</v>
      </c>
      <c r="L89" s="224">
        <v>18275091.818181816</v>
      </c>
      <c r="M89" s="224">
        <v>18275091.818181816</v>
      </c>
      <c r="N89" s="224">
        <v>18275091.818181816</v>
      </c>
      <c r="O89" s="224">
        <v>18275091.818181816</v>
      </c>
      <c r="P89" s="224">
        <v>18275091.818181816</v>
      </c>
      <c r="Q89" s="224">
        <v>18275091.818181816</v>
      </c>
      <c r="R89" s="224">
        <v>18275091.818181816</v>
      </c>
      <c r="S89" s="224">
        <v>18275091.818181816</v>
      </c>
      <c r="T89" s="224">
        <v>18275091.818181816</v>
      </c>
      <c r="U89" s="224">
        <v>18275091.818181816</v>
      </c>
      <c r="V89" s="224">
        <v>18275091.818181816</v>
      </c>
      <c r="W89" s="224">
        <v>18275091.818181816</v>
      </c>
      <c r="X89" s="224">
        <v>18275091.818181816</v>
      </c>
      <c r="Y89" s="224">
        <v>18275091.818181816</v>
      </c>
      <c r="Z89" s="224">
        <v>18275091.818181816</v>
      </c>
      <c r="AA89" s="224">
        <v>18275091.818181816</v>
      </c>
      <c r="AB89" s="224">
        <v>18275091.818181816</v>
      </c>
      <c r="AC89" s="224">
        <v>18275091.818181816</v>
      </c>
      <c r="AD89" s="224">
        <v>18275091.818181816</v>
      </c>
      <c r="AE89" s="224">
        <v>18275091.818181816</v>
      </c>
      <c r="AF89" s="224">
        <v>18275091.818181816</v>
      </c>
      <c r="AG89" s="224">
        <v>18275091.818181816</v>
      </c>
      <c r="AH89" s="224">
        <v>18275091.818181816</v>
      </c>
      <c r="AI89" s="224">
        <v>18275091.818181816</v>
      </c>
      <c r="AJ89" s="224">
        <v>18275091.818181816</v>
      </c>
      <c r="AK89" s="224">
        <v>18275091.818181816</v>
      </c>
      <c r="AL89" s="224">
        <v>18275091.818181816</v>
      </c>
      <c r="AM89" s="224">
        <v>18275091.818181816</v>
      </c>
      <c r="AN89" s="224">
        <v>18275091.818181816</v>
      </c>
      <c r="AO89" s="224">
        <v>18275091.818181816</v>
      </c>
      <c r="AP89" s="224">
        <v>18275091.818181816</v>
      </c>
      <c r="AQ89" s="224">
        <v>18275091.818181816</v>
      </c>
      <c r="AR89" s="224">
        <v>18275091.818181816</v>
      </c>
      <c r="AS89" s="224">
        <v>18275091.818181816</v>
      </c>
      <c r="AT89" s="224">
        <v>18275091.818181816</v>
      </c>
      <c r="AU89" s="224">
        <v>18275091.818181816</v>
      </c>
      <c r="AV89" s="224">
        <v>18275091.818181816</v>
      </c>
      <c r="AW89" s="224">
        <v>18275091.818181816</v>
      </c>
      <c r="AX89" s="224">
        <v>18275091.818181816</v>
      </c>
      <c r="AY89" s="224">
        <v>18275091.818181816</v>
      </c>
      <c r="AZ89" s="224">
        <v>18275091.818181816</v>
      </c>
      <c r="BA89" s="224">
        <v>18275091.818181816</v>
      </c>
      <c r="BB89" s="224">
        <v>18275091.818181816</v>
      </c>
      <c r="BC89" s="224">
        <v>18275091.818181816</v>
      </c>
      <c r="BD89" s="224">
        <v>18275091.818181816</v>
      </c>
      <c r="BE89" s="224">
        <v>18275091.818181816</v>
      </c>
      <c r="BF89" s="224">
        <v>18275091.818181816</v>
      </c>
      <c r="BG89" s="224">
        <v>18275091.818181816</v>
      </c>
      <c r="BH89" s="224">
        <v>18275091.818181816</v>
      </c>
      <c r="BI89" s="224">
        <v>18275091.818181816</v>
      </c>
      <c r="BJ89" s="224">
        <v>18275091.818181816</v>
      </c>
      <c r="BK89" s="224">
        <v>18275091.818181816</v>
      </c>
      <c r="BL89" s="224">
        <v>18275091.818181816</v>
      </c>
      <c r="BM89" s="224">
        <v>18275091.818181816</v>
      </c>
      <c r="BN89" s="224">
        <v>18275091.818181816</v>
      </c>
      <c r="BO89" s="224">
        <v>18275091.818181816</v>
      </c>
    </row>
    <row r="90" spans="1:67">
      <c r="A90" s="223">
        <f t="shared" si="37"/>
        <v>9</v>
      </c>
      <c r="B90" s="151" t="s">
        <v>164</v>
      </c>
      <c r="C90" s="223">
        <v>88</v>
      </c>
      <c r="D90" s="224">
        <v>9529099.1999999993</v>
      </c>
      <c r="E90" s="224">
        <v>9529099.1999999993</v>
      </c>
      <c r="F90" s="224">
        <v>9529099.1999999993</v>
      </c>
      <c r="G90" s="224">
        <v>9529099.1999999993</v>
      </c>
      <c r="H90" s="224">
        <v>9529099.1999999993</v>
      </c>
      <c r="I90" s="224">
        <v>9529099.1999999993</v>
      </c>
      <c r="J90" s="224">
        <v>9529099.1999999993</v>
      </c>
      <c r="K90" s="224">
        <v>9529099.1999999993</v>
      </c>
      <c r="L90" s="224">
        <v>9529099.1999999993</v>
      </c>
      <c r="M90" s="224">
        <v>9529099.1999999993</v>
      </c>
      <c r="N90" s="224">
        <v>9529099.1999999993</v>
      </c>
      <c r="O90" s="224">
        <v>9529099.1999999993</v>
      </c>
      <c r="P90" s="224">
        <v>9529099.1999999993</v>
      </c>
      <c r="Q90" s="224">
        <v>9529099.1999999993</v>
      </c>
      <c r="R90" s="224">
        <v>9529099.1999999993</v>
      </c>
      <c r="S90" s="224">
        <v>9529099.1999999993</v>
      </c>
      <c r="T90" s="224">
        <v>9529099.1999999993</v>
      </c>
      <c r="U90" s="224">
        <v>9529099.1999999993</v>
      </c>
      <c r="V90" s="224">
        <v>9529099.1999999993</v>
      </c>
      <c r="W90" s="224">
        <v>9529099.1999999993</v>
      </c>
      <c r="X90" s="224">
        <v>9529099.1999999993</v>
      </c>
      <c r="Y90" s="224">
        <v>9529099.1999999993</v>
      </c>
      <c r="Z90" s="224">
        <v>9529099.1999999993</v>
      </c>
      <c r="AA90" s="224">
        <v>9529099.1999999993</v>
      </c>
      <c r="AB90" s="224">
        <v>9529099.1999999993</v>
      </c>
      <c r="AC90" s="224">
        <v>9529099.1999999993</v>
      </c>
      <c r="AD90" s="224">
        <v>9529099.1999999993</v>
      </c>
      <c r="AE90" s="224">
        <v>9529099.1999999993</v>
      </c>
      <c r="AF90" s="224">
        <v>9529099.1999999993</v>
      </c>
      <c r="AG90" s="224">
        <v>9529099.1999999993</v>
      </c>
      <c r="AH90" s="224">
        <v>9529099.1999999993</v>
      </c>
      <c r="AI90" s="224">
        <v>9529099.1999999993</v>
      </c>
      <c r="AJ90" s="224">
        <v>9529099.1999999993</v>
      </c>
      <c r="AK90" s="224">
        <v>9529099.1999999993</v>
      </c>
      <c r="AL90" s="224">
        <v>9529099.1999999993</v>
      </c>
      <c r="AM90" s="224">
        <v>9529099.1999999993</v>
      </c>
      <c r="AN90" s="224">
        <v>9529099.1999999993</v>
      </c>
      <c r="AO90" s="224">
        <v>9529099.1999999993</v>
      </c>
      <c r="AP90" s="224">
        <v>9529099.1999999993</v>
      </c>
      <c r="AQ90" s="224">
        <v>9529099.1999999993</v>
      </c>
      <c r="AR90" s="224">
        <v>9529099.1999999993</v>
      </c>
      <c r="AS90" s="224">
        <v>9529099.1999999993</v>
      </c>
      <c r="AT90" s="224">
        <v>9529099.1999999993</v>
      </c>
      <c r="AU90" s="224">
        <v>9529099.1999999993</v>
      </c>
      <c r="AV90" s="224">
        <v>9529099.1999999993</v>
      </c>
      <c r="AW90" s="224">
        <v>9529099.1999999993</v>
      </c>
      <c r="AX90" s="224">
        <v>9529099.1999999993</v>
      </c>
      <c r="AY90" s="224">
        <v>9529099.1999999993</v>
      </c>
      <c r="AZ90" s="224">
        <v>9529099.1999999993</v>
      </c>
      <c r="BA90" s="224">
        <v>9529099.1999999993</v>
      </c>
      <c r="BB90" s="224">
        <v>9529099.1999999993</v>
      </c>
      <c r="BC90" s="224">
        <v>9529099.1999999993</v>
      </c>
      <c r="BD90" s="224">
        <v>9529099.1999999993</v>
      </c>
      <c r="BE90" s="224">
        <v>9529099.1999999993</v>
      </c>
      <c r="BF90" s="224">
        <v>9529099.1999999993</v>
      </c>
      <c r="BG90" s="224">
        <v>9529099.1999999993</v>
      </c>
      <c r="BH90" s="224">
        <v>9529099.1999999993</v>
      </c>
      <c r="BI90" s="224">
        <v>9529099.1999999993</v>
      </c>
      <c r="BJ90" s="224">
        <v>9529099.1999999993</v>
      </c>
      <c r="BK90" s="224">
        <v>9529099.1999999993</v>
      </c>
      <c r="BL90" s="224">
        <v>9529099.1999999993</v>
      </c>
      <c r="BM90" s="224">
        <v>9529099.1999999993</v>
      </c>
      <c r="BN90" s="224">
        <v>9529099.1999999993</v>
      </c>
      <c r="BO90" s="224">
        <v>9529099.1999999993</v>
      </c>
    </row>
    <row r="91" spans="1:67">
      <c r="A91" s="223"/>
      <c r="B91" s="230" t="s">
        <v>27</v>
      </c>
      <c r="C91" s="223">
        <v>89</v>
      </c>
      <c r="D91" s="224"/>
      <c r="E91" s="224"/>
      <c r="F91" s="224"/>
      <c r="G91" s="224"/>
      <c r="H91" s="224"/>
      <c r="I91" s="224"/>
      <c r="J91" s="224"/>
      <c r="K91" s="224"/>
      <c r="L91" s="224"/>
      <c r="M91" s="224"/>
      <c r="N91" s="224"/>
      <c r="O91" s="224"/>
      <c r="P91" s="224"/>
      <c r="Q91" s="224"/>
      <c r="R91" s="224"/>
      <c r="S91" s="224"/>
      <c r="T91" s="224"/>
      <c r="U91" s="224"/>
      <c r="V91" s="224"/>
      <c r="W91" s="224"/>
      <c r="X91" s="224"/>
      <c r="Y91" s="224"/>
      <c r="Z91" s="224"/>
      <c r="AA91" s="224"/>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24"/>
      <c r="BB91" s="224"/>
      <c r="BC91" s="224"/>
      <c r="BD91" s="224"/>
      <c r="BE91" s="224"/>
      <c r="BF91" s="224"/>
      <c r="BG91" s="224"/>
      <c r="BH91" s="224"/>
      <c r="BI91" s="224"/>
      <c r="BJ91" s="224"/>
      <c r="BK91" s="224"/>
      <c r="BL91" s="224"/>
      <c r="BM91" s="224"/>
      <c r="BN91" s="224"/>
      <c r="BO91" s="224"/>
    </row>
    <row r="92" spans="1:67" ht="30">
      <c r="A92" s="223">
        <v>1</v>
      </c>
      <c r="B92" s="228" t="s">
        <v>182</v>
      </c>
      <c r="C92" s="223">
        <v>90</v>
      </c>
      <c r="D92" s="227">
        <v>176000000</v>
      </c>
      <c r="E92" s="227">
        <v>176000000</v>
      </c>
      <c r="F92" s="227">
        <v>176000000</v>
      </c>
      <c r="G92" s="227">
        <v>176000000</v>
      </c>
      <c r="H92" s="227">
        <v>176000000</v>
      </c>
      <c r="I92" s="227">
        <v>176000000</v>
      </c>
      <c r="J92" s="227">
        <v>176000000</v>
      </c>
      <c r="K92" s="227">
        <v>176000000</v>
      </c>
      <c r="L92" s="227">
        <v>176000000</v>
      </c>
      <c r="M92" s="227">
        <v>176000000</v>
      </c>
      <c r="N92" s="227">
        <v>176000000</v>
      </c>
      <c r="O92" s="227">
        <v>176000000</v>
      </c>
      <c r="P92" s="227">
        <v>176000000</v>
      </c>
      <c r="Q92" s="227">
        <v>176000000</v>
      </c>
      <c r="R92" s="227">
        <v>176000000</v>
      </c>
      <c r="S92" s="227">
        <v>176000000</v>
      </c>
      <c r="T92" s="227">
        <v>176000000</v>
      </c>
      <c r="U92" s="227">
        <v>176000000</v>
      </c>
      <c r="V92" s="227">
        <v>176000000</v>
      </c>
      <c r="W92" s="227">
        <v>176000000</v>
      </c>
      <c r="X92" s="227">
        <v>176000000</v>
      </c>
      <c r="Y92" s="227">
        <v>176000000</v>
      </c>
      <c r="Z92" s="227">
        <v>176000000</v>
      </c>
      <c r="AA92" s="227">
        <v>176000000</v>
      </c>
      <c r="AB92" s="227">
        <v>176000000</v>
      </c>
      <c r="AC92" s="227">
        <v>176000000</v>
      </c>
      <c r="AD92" s="227">
        <v>176000000</v>
      </c>
      <c r="AE92" s="227">
        <v>176000000</v>
      </c>
      <c r="AF92" s="227">
        <v>176000000</v>
      </c>
      <c r="AG92" s="227">
        <v>176000000</v>
      </c>
      <c r="AH92" s="227">
        <v>176000000</v>
      </c>
      <c r="AI92" s="227">
        <v>176000000</v>
      </c>
      <c r="AJ92" s="227">
        <v>176000000</v>
      </c>
      <c r="AK92" s="227">
        <v>176000000</v>
      </c>
      <c r="AL92" s="227">
        <v>176000000</v>
      </c>
      <c r="AM92" s="227">
        <v>176000000</v>
      </c>
      <c r="AN92" s="227">
        <v>176000000</v>
      </c>
      <c r="AO92" s="227">
        <v>176000000</v>
      </c>
      <c r="AP92" s="227">
        <v>176000000</v>
      </c>
      <c r="AQ92" s="227">
        <v>176000000</v>
      </c>
      <c r="AR92" s="227">
        <v>176000000</v>
      </c>
      <c r="AS92" s="227">
        <v>176000000</v>
      </c>
      <c r="AT92" s="227">
        <v>176000000</v>
      </c>
      <c r="AU92" s="227">
        <v>176000000</v>
      </c>
      <c r="AV92" s="227">
        <v>176000000</v>
      </c>
      <c r="AW92" s="227">
        <v>176000000</v>
      </c>
      <c r="AX92" s="227">
        <v>176000000</v>
      </c>
      <c r="AY92" s="227">
        <v>176000000</v>
      </c>
      <c r="AZ92" s="227">
        <v>176000000</v>
      </c>
      <c r="BA92" s="227">
        <v>176000000</v>
      </c>
      <c r="BB92" s="227">
        <v>176000000</v>
      </c>
      <c r="BC92" s="227">
        <v>176000000</v>
      </c>
      <c r="BD92" s="227">
        <v>176000000</v>
      </c>
      <c r="BE92" s="227">
        <v>176000000</v>
      </c>
      <c r="BF92" s="227">
        <v>176000000</v>
      </c>
      <c r="BG92" s="227">
        <v>176000000</v>
      </c>
      <c r="BH92" s="227">
        <v>176000000</v>
      </c>
      <c r="BI92" s="227">
        <v>176000000</v>
      </c>
      <c r="BJ92" s="227">
        <v>176000000</v>
      </c>
      <c r="BK92" s="227">
        <v>176000000</v>
      </c>
      <c r="BL92" s="227">
        <v>176000000</v>
      </c>
      <c r="BM92" s="227">
        <v>176000000</v>
      </c>
      <c r="BN92" s="227">
        <v>176000000</v>
      </c>
      <c r="BO92" s="227">
        <v>176000000</v>
      </c>
    </row>
    <row r="93" spans="1:67" ht="30">
      <c r="A93" s="256"/>
      <c r="B93" s="228" t="s">
        <v>1750</v>
      </c>
      <c r="C93" s="223">
        <v>91</v>
      </c>
      <c r="D93" s="667">
        <v>268696937</v>
      </c>
      <c r="E93" s="667">
        <v>268696937</v>
      </c>
      <c r="F93" s="667">
        <v>268696937</v>
      </c>
      <c r="G93" s="667">
        <v>268696937</v>
      </c>
      <c r="H93" s="667">
        <v>268696937</v>
      </c>
      <c r="I93" s="667">
        <v>268696937</v>
      </c>
      <c r="J93" s="667">
        <v>268696937</v>
      </c>
      <c r="K93" s="667">
        <v>268696937</v>
      </c>
      <c r="L93" s="667">
        <v>268696937</v>
      </c>
      <c r="M93" s="667">
        <v>268696937</v>
      </c>
      <c r="N93" s="667">
        <v>268696937</v>
      </c>
      <c r="O93" s="667">
        <v>268696937</v>
      </c>
      <c r="P93" s="667">
        <v>268696937</v>
      </c>
      <c r="Q93" s="667">
        <v>268696937</v>
      </c>
      <c r="R93" s="667">
        <v>268696937</v>
      </c>
      <c r="S93" s="667">
        <v>268696937</v>
      </c>
      <c r="T93" s="667">
        <v>268696937</v>
      </c>
      <c r="U93" s="667">
        <v>268696937</v>
      </c>
      <c r="V93" s="667">
        <v>268696937</v>
      </c>
      <c r="W93" s="667">
        <v>268696937</v>
      </c>
      <c r="X93" s="667">
        <v>268696937</v>
      </c>
      <c r="Y93" s="667">
        <v>268696937</v>
      </c>
      <c r="Z93" s="667">
        <v>268696937</v>
      </c>
      <c r="AA93" s="667">
        <v>268696937</v>
      </c>
      <c r="AB93" s="667">
        <v>268696937</v>
      </c>
      <c r="AC93" s="667">
        <v>268696937</v>
      </c>
      <c r="AD93" s="667">
        <v>268696937</v>
      </c>
      <c r="AE93" s="667">
        <v>268696937</v>
      </c>
      <c r="AF93" s="667">
        <v>268696937</v>
      </c>
      <c r="AG93" s="667">
        <v>268696937</v>
      </c>
      <c r="AH93" s="667">
        <v>268696937</v>
      </c>
      <c r="AI93" s="667">
        <v>268696937</v>
      </c>
      <c r="AJ93" s="667">
        <v>268696937</v>
      </c>
      <c r="AK93" s="667">
        <v>268696937</v>
      </c>
      <c r="AL93" s="667">
        <v>268696937</v>
      </c>
      <c r="AM93" s="667">
        <v>268696937</v>
      </c>
      <c r="AN93" s="667">
        <v>268696937</v>
      </c>
      <c r="AO93" s="667">
        <v>268696937</v>
      </c>
      <c r="AP93" s="667">
        <v>268696937</v>
      </c>
      <c r="AQ93" s="667">
        <v>268696937</v>
      </c>
      <c r="AR93" s="667">
        <v>268696937</v>
      </c>
      <c r="AS93" s="667">
        <v>268696937</v>
      </c>
      <c r="AT93" s="667">
        <v>268696937</v>
      </c>
      <c r="AU93" s="667">
        <v>268696937</v>
      </c>
      <c r="AV93" s="667">
        <v>268696937</v>
      </c>
      <c r="AW93" s="667">
        <v>268696937</v>
      </c>
      <c r="AX93" s="667">
        <v>268696937</v>
      </c>
      <c r="AY93" s="667">
        <v>268696937</v>
      </c>
      <c r="AZ93" s="667">
        <v>268696937</v>
      </c>
      <c r="BA93" s="667">
        <v>268696937</v>
      </c>
      <c r="BB93" s="667">
        <v>268696937</v>
      </c>
      <c r="BC93" s="667">
        <v>268696937</v>
      </c>
      <c r="BD93" s="667">
        <v>268696937</v>
      </c>
      <c r="BE93" s="667">
        <v>268696937</v>
      </c>
      <c r="BF93" s="667">
        <v>268696937</v>
      </c>
      <c r="BG93" s="667">
        <v>268696937</v>
      </c>
      <c r="BH93" s="667">
        <v>268696937</v>
      </c>
      <c r="BI93" s="667">
        <v>268696937</v>
      </c>
      <c r="BJ93" s="667">
        <v>268696937</v>
      </c>
      <c r="BK93" s="667">
        <v>268696937</v>
      </c>
      <c r="BL93" s="667">
        <v>268696937</v>
      </c>
      <c r="BM93" s="667">
        <v>268696937</v>
      </c>
      <c r="BN93" s="667">
        <v>268696937</v>
      </c>
      <c r="BO93" s="667">
        <v>268696937</v>
      </c>
    </row>
    <row r="94" spans="1:67" ht="30">
      <c r="A94" s="223">
        <f>A92+1</f>
        <v>2</v>
      </c>
      <c r="B94" s="228" t="s">
        <v>183</v>
      </c>
      <c r="C94" s="223">
        <v>92</v>
      </c>
      <c r="D94" s="224">
        <v>343639875</v>
      </c>
      <c r="E94" s="224">
        <v>343639875</v>
      </c>
      <c r="F94" s="224">
        <v>343639875</v>
      </c>
      <c r="G94" s="224">
        <v>343639875</v>
      </c>
      <c r="H94" s="224">
        <v>343639875</v>
      </c>
      <c r="I94" s="224">
        <v>343639875</v>
      </c>
      <c r="J94" s="224">
        <v>343639875</v>
      </c>
      <c r="K94" s="224">
        <v>343639875</v>
      </c>
      <c r="L94" s="224">
        <v>343639875</v>
      </c>
      <c r="M94" s="224">
        <v>343639875</v>
      </c>
      <c r="N94" s="224">
        <v>343639875</v>
      </c>
      <c r="O94" s="224">
        <v>343639875</v>
      </c>
      <c r="P94" s="224">
        <v>343639875</v>
      </c>
      <c r="Q94" s="224">
        <v>343639875</v>
      </c>
      <c r="R94" s="224">
        <v>343639875</v>
      </c>
      <c r="S94" s="224">
        <v>343639875</v>
      </c>
      <c r="T94" s="224">
        <v>343639875</v>
      </c>
      <c r="U94" s="224">
        <v>343639875</v>
      </c>
      <c r="V94" s="224">
        <v>343639875</v>
      </c>
      <c r="W94" s="224">
        <v>343639875</v>
      </c>
      <c r="X94" s="224">
        <v>343639875</v>
      </c>
      <c r="Y94" s="224">
        <v>343639875</v>
      </c>
      <c r="Z94" s="224">
        <v>343639875</v>
      </c>
      <c r="AA94" s="224">
        <v>343639875</v>
      </c>
      <c r="AB94" s="224">
        <v>343639875</v>
      </c>
      <c r="AC94" s="224">
        <v>343639875</v>
      </c>
      <c r="AD94" s="224">
        <v>343639875</v>
      </c>
      <c r="AE94" s="224">
        <v>343639875</v>
      </c>
      <c r="AF94" s="224">
        <v>343639875</v>
      </c>
      <c r="AG94" s="224">
        <v>343639875</v>
      </c>
      <c r="AH94" s="224">
        <v>343639875</v>
      </c>
      <c r="AI94" s="224">
        <v>343639875</v>
      </c>
      <c r="AJ94" s="224">
        <v>343639875</v>
      </c>
      <c r="AK94" s="224">
        <v>343639875</v>
      </c>
      <c r="AL94" s="224">
        <v>343639875</v>
      </c>
      <c r="AM94" s="224">
        <v>343639875</v>
      </c>
      <c r="AN94" s="224">
        <v>343639875</v>
      </c>
      <c r="AO94" s="224">
        <v>343639875</v>
      </c>
      <c r="AP94" s="224">
        <v>343639875</v>
      </c>
      <c r="AQ94" s="224">
        <v>343639875</v>
      </c>
      <c r="AR94" s="224">
        <v>343639875</v>
      </c>
      <c r="AS94" s="224">
        <v>343639875</v>
      </c>
      <c r="AT94" s="224">
        <v>343639875</v>
      </c>
      <c r="AU94" s="224">
        <v>343639875</v>
      </c>
      <c r="AV94" s="224">
        <v>343639875</v>
      </c>
      <c r="AW94" s="224">
        <v>343639875</v>
      </c>
      <c r="AX94" s="224">
        <v>343639875</v>
      </c>
      <c r="AY94" s="224">
        <v>343639875</v>
      </c>
      <c r="AZ94" s="224">
        <v>343639875</v>
      </c>
      <c r="BA94" s="224">
        <v>343639875</v>
      </c>
      <c r="BB94" s="224">
        <v>343639875</v>
      </c>
      <c r="BC94" s="224">
        <v>343639875</v>
      </c>
      <c r="BD94" s="224">
        <v>343639875</v>
      </c>
      <c r="BE94" s="224">
        <v>343639875</v>
      </c>
      <c r="BF94" s="224">
        <v>343639875</v>
      </c>
      <c r="BG94" s="224">
        <v>343639875</v>
      </c>
      <c r="BH94" s="224">
        <v>343639875</v>
      </c>
      <c r="BI94" s="224">
        <v>343639875</v>
      </c>
      <c r="BJ94" s="224">
        <v>343639875</v>
      </c>
      <c r="BK94" s="224">
        <v>343639875</v>
      </c>
      <c r="BL94" s="224">
        <v>343639875</v>
      </c>
      <c r="BM94" s="224">
        <v>343639875</v>
      </c>
      <c r="BN94" s="224">
        <v>343639875</v>
      </c>
      <c r="BO94" s="224">
        <v>343639875</v>
      </c>
    </row>
    <row r="95" spans="1:67" ht="30">
      <c r="A95" s="223">
        <f t="shared" ref="A95:A102" si="38">A94+1</f>
        <v>3</v>
      </c>
      <c r="B95" s="228" t="s">
        <v>185</v>
      </c>
      <c r="C95" s="223">
        <v>93</v>
      </c>
      <c r="D95" s="224">
        <f>262565642.86668+11376361.9224</f>
        <v>273942004.78908002</v>
      </c>
      <c r="E95" s="224">
        <f t="shared" ref="E95:BO96" si="39">262565642.86668+11376361.9224</f>
        <v>273942004.78908002</v>
      </c>
      <c r="F95" s="224">
        <f t="shared" si="39"/>
        <v>273942004.78908002</v>
      </c>
      <c r="G95" s="224">
        <f t="shared" si="39"/>
        <v>273942004.78908002</v>
      </c>
      <c r="H95" s="224">
        <f t="shared" si="39"/>
        <v>273942004.78908002</v>
      </c>
      <c r="I95" s="224">
        <f t="shared" si="39"/>
        <v>273942004.78908002</v>
      </c>
      <c r="J95" s="224">
        <f t="shared" si="39"/>
        <v>273942004.78908002</v>
      </c>
      <c r="K95" s="224">
        <f t="shared" si="39"/>
        <v>273942004.78908002</v>
      </c>
      <c r="L95" s="224">
        <f t="shared" si="39"/>
        <v>273942004.78908002</v>
      </c>
      <c r="M95" s="224">
        <f t="shared" si="39"/>
        <v>273942004.78908002</v>
      </c>
      <c r="N95" s="224">
        <f t="shared" si="39"/>
        <v>273942004.78908002</v>
      </c>
      <c r="O95" s="224">
        <f t="shared" si="39"/>
        <v>273942004.78908002</v>
      </c>
      <c r="P95" s="224">
        <f t="shared" si="39"/>
        <v>273942004.78908002</v>
      </c>
      <c r="Q95" s="224">
        <f t="shared" si="39"/>
        <v>273942004.78908002</v>
      </c>
      <c r="R95" s="224">
        <f t="shared" si="39"/>
        <v>273942004.78908002</v>
      </c>
      <c r="S95" s="224">
        <f t="shared" si="39"/>
        <v>273942004.78908002</v>
      </c>
      <c r="T95" s="224">
        <f t="shared" si="39"/>
        <v>273942004.78908002</v>
      </c>
      <c r="U95" s="224">
        <f t="shared" si="39"/>
        <v>273942004.78908002</v>
      </c>
      <c r="V95" s="224">
        <f t="shared" si="39"/>
        <v>273942004.78908002</v>
      </c>
      <c r="W95" s="224">
        <f t="shared" si="39"/>
        <v>273942004.78908002</v>
      </c>
      <c r="X95" s="224">
        <f t="shared" si="39"/>
        <v>273942004.78908002</v>
      </c>
      <c r="Y95" s="224">
        <f t="shared" si="39"/>
        <v>273942004.78908002</v>
      </c>
      <c r="Z95" s="224">
        <f t="shared" si="39"/>
        <v>273942004.78908002</v>
      </c>
      <c r="AA95" s="224">
        <f t="shared" si="39"/>
        <v>273942004.78908002</v>
      </c>
      <c r="AB95" s="224">
        <f t="shared" si="39"/>
        <v>273942004.78908002</v>
      </c>
      <c r="AC95" s="224">
        <f t="shared" si="39"/>
        <v>273942004.78908002</v>
      </c>
      <c r="AD95" s="224">
        <f t="shared" si="39"/>
        <v>273942004.78908002</v>
      </c>
      <c r="AE95" s="224">
        <f t="shared" si="39"/>
        <v>273942004.78908002</v>
      </c>
      <c r="AF95" s="224">
        <f t="shared" si="39"/>
        <v>273942004.78908002</v>
      </c>
      <c r="AG95" s="224">
        <f t="shared" si="39"/>
        <v>273942004.78908002</v>
      </c>
      <c r="AH95" s="224">
        <f t="shared" si="39"/>
        <v>273942004.78908002</v>
      </c>
      <c r="AI95" s="224">
        <f t="shared" si="39"/>
        <v>273942004.78908002</v>
      </c>
      <c r="AJ95" s="224">
        <f t="shared" si="39"/>
        <v>273942004.78908002</v>
      </c>
      <c r="AK95" s="224">
        <f t="shared" si="39"/>
        <v>273942004.78908002</v>
      </c>
      <c r="AL95" s="224">
        <f t="shared" si="39"/>
        <v>273942004.78908002</v>
      </c>
      <c r="AM95" s="224">
        <f t="shared" si="39"/>
        <v>273942004.78908002</v>
      </c>
      <c r="AN95" s="224">
        <f t="shared" si="39"/>
        <v>273942004.78908002</v>
      </c>
      <c r="AO95" s="224">
        <f t="shared" si="39"/>
        <v>273942004.78908002</v>
      </c>
      <c r="AP95" s="224">
        <f t="shared" si="39"/>
        <v>273942004.78908002</v>
      </c>
      <c r="AQ95" s="224">
        <f t="shared" si="39"/>
        <v>273942004.78908002</v>
      </c>
      <c r="AR95" s="224">
        <f t="shared" si="39"/>
        <v>273942004.78908002</v>
      </c>
      <c r="AS95" s="224">
        <f t="shared" si="39"/>
        <v>273942004.78908002</v>
      </c>
      <c r="AT95" s="224">
        <f t="shared" si="39"/>
        <v>273942004.78908002</v>
      </c>
      <c r="AU95" s="224">
        <f t="shared" si="39"/>
        <v>273942004.78908002</v>
      </c>
      <c r="AV95" s="224">
        <f t="shared" si="39"/>
        <v>273942004.78908002</v>
      </c>
      <c r="AW95" s="224">
        <f t="shared" si="39"/>
        <v>273942004.78908002</v>
      </c>
      <c r="AX95" s="224">
        <f t="shared" si="39"/>
        <v>273942004.78908002</v>
      </c>
      <c r="AY95" s="224">
        <f t="shared" si="39"/>
        <v>273942004.78908002</v>
      </c>
      <c r="AZ95" s="224">
        <f t="shared" si="39"/>
        <v>273942004.78908002</v>
      </c>
      <c r="BA95" s="224">
        <f t="shared" si="39"/>
        <v>273942004.78908002</v>
      </c>
      <c r="BB95" s="224">
        <f t="shared" si="39"/>
        <v>273942004.78908002</v>
      </c>
      <c r="BC95" s="224">
        <f t="shared" si="39"/>
        <v>273942004.78908002</v>
      </c>
      <c r="BD95" s="224">
        <f t="shared" si="39"/>
        <v>273942004.78908002</v>
      </c>
      <c r="BE95" s="224">
        <f t="shared" si="39"/>
        <v>273942004.78908002</v>
      </c>
      <c r="BF95" s="224">
        <f t="shared" si="39"/>
        <v>273942004.78908002</v>
      </c>
      <c r="BG95" s="224">
        <f t="shared" si="39"/>
        <v>273942004.78908002</v>
      </c>
      <c r="BH95" s="224">
        <f t="shared" si="39"/>
        <v>273942004.78908002</v>
      </c>
      <c r="BI95" s="224">
        <f t="shared" si="39"/>
        <v>273942004.78908002</v>
      </c>
      <c r="BJ95" s="224">
        <f t="shared" si="39"/>
        <v>273942004.78908002</v>
      </c>
      <c r="BK95" s="224">
        <f t="shared" si="39"/>
        <v>273942004.78908002</v>
      </c>
      <c r="BL95" s="224">
        <f t="shared" si="39"/>
        <v>273942004.78908002</v>
      </c>
      <c r="BM95" s="224">
        <f t="shared" si="39"/>
        <v>273942004.78908002</v>
      </c>
      <c r="BN95" s="224">
        <f t="shared" si="39"/>
        <v>273942004.78908002</v>
      </c>
      <c r="BO95" s="224">
        <f t="shared" si="39"/>
        <v>273942004.78908002</v>
      </c>
    </row>
    <row r="96" spans="1:67" ht="30">
      <c r="A96" s="223">
        <f t="shared" si="38"/>
        <v>4</v>
      </c>
      <c r="B96" s="228" t="s">
        <v>186</v>
      </c>
      <c r="C96" s="223">
        <v>94</v>
      </c>
      <c r="D96" s="224">
        <f>262565642.86668+11376361.9224</f>
        <v>273942004.78908002</v>
      </c>
      <c r="E96" s="224">
        <f t="shared" si="39"/>
        <v>273942004.78908002</v>
      </c>
      <c r="F96" s="224">
        <f t="shared" si="39"/>
        <v>273942004.78908002</v>
      </c>
      <c r="G96" s="224">
        <f t="shared" si="39"/>
        <v>273942004.78908002</v>
      </c>
      <c r="H96" s="224">
        <f t="shared" si="39"/>
        <v>273942004.78908002</v>
      </c>
      <c r="I96" s="224">
        <f t="shared" si="39"/>
        <v>273942004.78908002</v>
      </c>
      <c r="J96" s="224">
        <f t="shared" si="39"/>
        <v>273942004.78908002</v>
      </c>
      <c r="K96" s="224">
        <f t="shared" si="39"/>
        <v>273942004.78908002</v>
      </c>
      <c r="L96" s="224">
        <f t="shared" si="39"/>
        <v>273942004.78908002</v>
      </c>
      <c r="M96" s="224">
        <f t="shared" si="39"/>
        <v>273942004.78908002</v>
      </c>
      <c r="N96" s="224">
        <f t="shared" si="39"/>
        <v>273942004.78908002</v>
      </c>
      <c r="O96" s="224">
        <f t="shared" si="39"/>
        <v>273942004.78908002</v>
      </c>
      <c r="P96" s="224">
        <f t="shared" si="39"/>
        <v>273942004.78908002</v>
      </c>
      <c r="Q96" s="224">
        <f t="shared" si="39"/>
        <v>273942004.78908002</v>
      </c>
      <c r="R96" s="224">
        <f t="shared" si="39"/>
        <v>273942004.78908002</v>
      </c>
      <c r="S96" s="224">
        <f t="shared" si="39"/>
        <v>273942004.78908002</v>
      </c>
      <c r="T96" s="224">
        <f t="shared" si="39"/>
        <v>273942004.78908002</v>
      </c>
      <c r="U96" s="224">
        <f t="shared" si="39"/>
        <v>273942004.78908002</v>
      </c>
      <c r="V96" s="224">
        <f t="shared" si="39"/>
        <v>273942004.78908002</v>
      </c>
      <c r="W96" s="224">
        <f t="shared" si="39"/>
        <v>273942004.78908002</v>
      </c>
      <c r="X96" s="224">
        <f t="shared" si="39"/>
        <v>273942004.78908002</v>
      </c>
      <c r="Y96" s="224">
        <f t="shared" si="39"/>
        <v>273942004.78908002</v>
      </c>
      <c r="Z96" s="224">
        <f t="shared" si="39"/>
        <v>273942004.78908002</v>
      </c>
      <c r="AA96" s="224">
        <f t="shared" si="39"/>
        <v>273942004.78908002</v>
      </c>
      <c r="AB96" s="224">
        <f t="shared" si="39"/>
        <v>273942004.78908002</v>
      </c>
      <c r="AC96" s="224">
        <f t="shared" si="39"/>
        <v>273942004.78908002</v>
      </c>
      <c r="AD96" s="224">
        <f t="shared" si="39"/>
        <v>273942004.78908002</v>
      </c>
      <c r="AE96" s="224">
        <f t="shared" si="39"/>
        <v>273942004.78908002</v>
      </c>
      <c r="AF96" s="224">
        <f t="shared" si="39"/>
        <v>273942004.78908002</v>
      </c>
      <c r="AG96" s="224">
        <f t="shared" si="39"/>
        <v>273942004.78908002</v>
      </c>
      <c r="AH96" s="224">
        <f t="shared" si="39"/>
        <v>273942004.78908002</v>
      </c>
      <c r="AI96" s="224">
        <f t="shared" si="39"/>
        <v>273942004.78908002</v>
      </c>
      <c r="AJ96" s="224">
        <f t="shared" si="39"/>
        <v>273942004.78908002</v>
      </c>
      <c r="AK96" s="224">
        <f t="shared" si="39"/>
        <v>273942004.78908002</v>
      </c>
      <c r="AL96" s="224">
        <f t="shared" si="39"/>
        <v>273942004.78908002</v>
      </c>
      <c r="AM96" s="224">
        <f t="shared" si="39"/>
        <v>273942004.78908002</v>
      </c>
      <c r="AN96" s="224">
        <f t="shared" si="39"/>
        <v>273942004.78908002</v>
      </c>
      <c r="AO96" s="224">
        <f t="shared" si="39"/>
        <v>273942004.78908002</v>
      </c>
      <c r="AP96" s="224">
        <f t="shared" si="39"/>
        <v>273942004.78908002</v>
      </c>
      <c r="AQ96" s="224">
        <f t="shared" si="39"/>
        <v>273942004.78908002</v>
      </c>
      <c r="AR96" s="224">
        <f t="shared" si="39"/>
        <v>273942004.78908002</v>
      </c>
      <c r="AS96" s="224">
        <f t="shared" si="39"/>
        <v>273942004.78908002</v>
      </c>
      <c r="AT96" s="224">
        <f t="shared" si="39"/>
        <v>273942004.78908002</v>
      </c>
      <c r="AU96" s="224">
        <f t="shared" si="39"/>
        <v>273942004.78908002</v>
      </c>
      <c r="AV96" s="224">
        <f t="shared" si="39"/>
        <v>273942004.78908002</v>
      </c>
      <c r="AW96" s="224">
        <f t="shared" si="39"/>
        <v>273942004.78908002</v>
      </c>
      <c r="AX96" s="224">
        <f t="shared" si="39"/>
        <v>273942004.78908002</v>
      </c>
      <c r="AY96" s="224">
        <f t="shared" si="39"/>
        <v>273942004.78908002</v>
      </c>
      <c r="AZ96" s="224">
        <f t="shared" si="39"/>
        <v>273942004.78908002</v>
      </c>
      <c r="BA96" s="224">
        <f t="shared" si="39"/>
        <v>273942004.78908002</v>
      </c>
      <c r="BB96" s="224">
        <f t="shared" si="39"/>
        <v>273942004.78908002</v>
      </c>
      <c r="BC96" s="224">
        <f t="shared" si="39"/>
        <v>273942004.78908002</v>
      </c>
      <c r="BD96" s="224">
        <f t="shared" si="39"/>
        <v>273942004.78908002</v>
      </c>
      <c r="BE96" s="224">
        <f t="shared" si="39"/>
        <v>273942004.78908002</v>
      </c>
      <c r="BF96" s="224">
        <f t="shared" si="39"/>
        <v>273942004.78908002</v>
      </c>
      <c r="BG96" s="224">
        <f t="shared" si="39"/>
        <v>273942004.78908002</v>
      </c>
      <c r="BH96" s="224">
        <f t="shared" si="39"/>
        <v>273942004.78908002</v>
      </c>
      <c r="BI96" s="224">
        <f t="shared" si="39"/>
        <v>273942004.78908002</v>
      </c>
      <c r="BJ96" s="224">
        <f t="shared" si="39"/>
        <v>273942004.78908002</v>
      </c>
      <c r="BK96" s="224">
        <f t="shared" si="39"/>
        <v>273942004.78908002</v>
      </c>
      <c r="BL96" s="224">
        <f t="shared" si="39"/>
        <v>273942004.78908002</v>
      </c>
      <c r="BM96" s="224">
        <f t="shared" si="39"/>
        <v>273942004.78908002</v>
      </c>
      <c r="BN96" s="224">
        <f t="shared" si="39"/>
        <v>273942004.78908002</v>
      </c>
      <c r="BO96" s="224">
        <f t="shared" si="39"/>
        <v>273942004.78908002</v>
      </c>
    </row>
    <row r="97" spans="1:67" ht="30">
      <c r="A97" s="223">
        <f t="shared" si="38"/>
        <v>5</v>
      </c>
      <c r="B97" s="228" t="s">
        <v>187</v>
      </c>
      <c r="C97" s="223">
        <v>95</v>
      </c>
      <c r="D97" s="224">
        <v>461830897</v>
      </c>
      <c r="E97" s="224">
        <v>461830897</v>
      </c>
      <c r="F97" s="224">
        <v>461830897</v>
      </c>
      <c r="G97" s="224">
        <v>461830897</v>
      </c>
      <c r="H97" s="224">
        <v>461830897</v>
      </c>
      <c r="I97" s="224">
        <v>461830897</v>
      </c>
      <c r="J97" s="224">
        <v>461830897</v>
      </c>
      <c r="K97" s="224">
        <v>461830897</v>
      </c>
      <c r="L97" s="224">
        <v>461830897</v>
      </c>
      <c r="M97" s="224">
        <v>461830897</v>
      </c>
      <c r="N97" s="224">
        <v>461830897</v>
      </c>
      <c r="O97" s="224">
        <v>461830897</v>
      </c>
      <c r="P97" s="224">
        <v>461830897</v>
      </c>
      <c r="Q97" s="224">
        <v>461830897</v>
      </c>
      <c r="R97" s="224">
        <v>461830897</v>
      </c>
      <c r="S97" s="224">
        <v>461830897</v>
      </c>
      <c r="T97" s="224">
        <v>461830897</v>
      </c>
      <c r="U97" s="224">
        <v>461830897</v>
      </c>
      <c r="V97" s="224">
        <v>461830897</v>
      </c>
      <c r="W97" s="224">
        <v>461830897</v>
      </c>
      <c r="X97" s="224">
        <v>461830897</v>
      </c>
      <c r="Y97" s="224">
        <v>461830897</v>
      </c>
      <c r="Z97" s="224">
        <v>461830897</v>
      </c>
      <c r="AA97" s="224">
        <v>461830897</v>
      </c>
      <c r="AB97" s="224">
        <v>461830897</v>
      </c>
      <c r="AC97" s="224">
        <v>461830897</v>
      </c>
      <c r="AD97" s="224">
        <v>461830897</v>
      </c>
      <c r="AE97" s="224">
        <v>461830897</v>
      </c>
      <c r="AF97" s="224">
        <v>461830897</v>
      </c>
      <c r="AG97" s="224">
        <v>461830897</v>
      </c>
      <c r="AH97" s="224">
        <v>461830897</v>
      </c>
      <c r="AI97" s="224">
        <v>461830897</v>
      </c>
      <c r="AJ97" s="224">
        <v>461830897</v>
      </c>
      <c r="AK97" s="224">
        <v>461830897</v>
      </c>
      <c r="AL97" s="224">
        <v>461830897</v>
      </c>
      <c r="AM97" s="224">
        <v>461830897</v>
      </c>
      <c r="AN97" s="224">
        <v>461830897</v>
      </c>
      <c r="AO97" s="224">
        <v>461830897</v>
      </c>
      <c r="AP97" s="224">
        <v>461830897</v>
      </c>
      <c r="AQ97" s="224">
        <v>461830897</v>
      </c>
      <c r="AR97" s="224">
        <v>461830897</v>
      </c>
      <c r="AS97" s="224">
        <v>461830897</v>
      </c>
      <c r="AT97" s="224">
        <v>461830897</v>
      </c>
      <c r="AU97" s="224">
        <v>461830897</v>
      </c>
      <c r="AV97" s="224">
        <v>461830897</v>
      </c>
      <c r="AW97" s="224">
        <v>461830897</v>
      </c>
      <c r="AX97" s="224">
        <v>461830897</v>
      </c>
      <c r="AY97" s="224">
        <v>461830897</v>
      </c>
      <c r="AZ97" s="224">
        <v>461830897</v>
      </c>
      <c r="BA97" s="224">
        <v>461830897</v>
      </c>
      <c r="BB97" s="224">
        <v>461830897</v>
      </c>
      <c r="BC97" s="224">
        <v>461830897</v>
      </c>
      <c r="BD97" s="224">
        <v>461830897</v>
      </c>
      <c r="BE97" s="224">
        <v>461830897</v>
      </c>
      <c r="BF97" s="224">
        <v>461830897</v>
      </c>
      <c r="BG97" s="224">
        <v>461830897</v>
      </c>
      <c r="BH97" s="224">
        <v>461830897</v>
      </c>
      <c r="BI97" s="224">
        <v>461830897</v>
      </c>
      <c r="BJ97" s="224">
        <v>461830897</v>
      </c>
      <c r="BK97" s="224">
        <v>461830897</v>
      </c>
      <c r="BL97" s="224">
        <v>461830897</v>
      </c>
      <c r="BM97" s="224">
        <v>461830897</v>
      </c>
      <c r="BN97" s="224">
        <v>461830897</v>
      </c>
      <c r="BO97" s="224">
        <v>461830897</v>
      </c>
    </row>
    <row r="98" spans="1:67" ht="30">
      <c r="A98" s="223">
        <f t="shared" si="38"/>
        <v>6</v>
      </c>
      <c r="B98" s="228" t="s">
        <v>188</v>
      </c>
      <c r="C98" s="223">
        <v>96</v>
      </c>
      <c r="D98" s="224">
        <v>461830897</v>
      </c>
      <c r="E98" s="224">
        <v>461830897</v>
      </c>
      <c r="F98" s="224">
        <v>461830897</v>
      </c>
      <c r="G98" s="224">
        <v>461830897</v>
      </c>
      <c r="H98" s="224">
        <v>461830897</v>
      </c>
      <c r="I98" s="224">
        <v>461830897</v>
      </c>
      <c r="J98" s="224">
        <v>461830897</v>
      </c>
      <c r="K98" s="224">
        <v>461830897</v>
      </c>
      <c r="L98" s="224">
        <v>461830897</v>
      </c>
      <c r="M98" s="224">
        <v>461830897</v>
      </c>
      <c r="N98" s="224">
        <v>461830897</v>
      </c>
      <c r="O98" s="224">
        <v>461830897</v>
      </c>
      <c r="P98" s="224">
        <v>461830897</v>
      </c>
      <c r="Q98" s="224">
        <v>461830897</v>
      </c>
      <c r="R98" s="224">
        <v>461830897</v>
      </c>
      <c r="S98" s="224">
        <v>461830897</v>
      </c>
      <c r="T98" s="224">
        <v>461830897</v>
      </c>
      <c r="U98" s="224">
        <v>461830897</v>
      </c>
      <c r="V98" s="224">
        <v>461830897</v>
      </c>
      <c r="W98" s="224">
        <v>461830897</v>
      </c>
      <c r="X98" s="224">
        <v>461830897</v>
      </c>
      <c r="Y98" s="224">
        <v>461830897</v>
      </c>
      <c r="Z98" s="224">
        <v>461830897</v>
      </c>
      <c r="AA98" s="224">
        <v>461830897</v>
      </c>
      <c r="AB98" s="224">
        <v>461830897</v>
      </c>
      <c r="AC98" s="224">
        <v>461830897</v>
      </c>
      <c r="AD98" s="224">
        <v>461830897</v>
      </c>
      <c r="AE98" s="224">
        <v>461830897</v>
      </c>
      <c r="AF98" s="224">
        <v>461830897</v>
      </c>
      <c r="AG98" s="224">
        <v>461830897</v>
      </c>
      <c r="AH98" s="224">
        <v>461830897</v>
      </c>
      <c r="AI98" s="224">
        <v>461830897</v>
      </c>
      <c r="AJ98" s="224">
        <v>461830897</v>
      </c>
      <c r="AK98" s="224">
        <v>461830897</v>
      </c>
      <c r="AL98" s="224">
        <v>461830897</v>
      </c>
      <c r="AM98" s="224">
        <v>461830897</v>
      </c>
      <c r="AN98" s="224">
        <v>461830897</v>
      </c>
      <c r="AO98" s="224">
        <v>461830897</v>
      </c>
      <c r="AP98" s="224">
        <v>461830897</v>
      </c>
      <c r="AQ98" s="224">
        <v>461830897</v>
      </c>
      <c r="AR98" s="224">
        <v>461830897</v>
      </c>
      <c r="AS98" s="224">
        <v>461830897</v>
      </c>
      <c r="AT98" s="224">
        <v>461830897</v>
      </c>
      <c r="AU98" s="224">
        <v>461830897</v>
      </c>
      <c r="AV98" s="224">
        <v>461830897</v>
      </c>
      <c r="AW98" s="224">
        <v>461830897</v>
      </c>
      <c r="AX98" s="224">
        <v>461830897</v>
      </c>
      <c r="AY98" s="224">
        <v>461830897</v>
      </c>
      <c r="AZ98" s="224">
        <v>461830897</v>
      </c>
      <c r="BA98" s="224">
        <v>461830897</v>
      </c>
      <c r="BB98" s="224">
        <v>461830897</v>
      </c>
      <c r="BC98" s="224">
        <v>461830897</v>
      </c>
      <c r="BD98" s="224">
        <v>461830897</v>
      </c>
      <c r="BE98" s="224">
        <v>461830897</v>
      </c>
      <c r="BF98" s="224">
        <v>461830897</v>
      </c>
      <c r="BG98" s="224">
        <v>461830897</v>
      </c>
      <c r="BH98" s="224">
        <v>461830897</v>
      </c>
      <c r="BI98" s="224">
        <v>461830897</v>
      </c>
      <c r="BJ98" s="224">
        <v>461830897</v>
      </c>
      <c r="BK98" s="224">
        <v>461830897</v>
      </c>
      <c r="BL98" s="224">
        <v>461830897</v>
      </c>
      <c r="BM98" s="224">
        <v>461830897</v>
      </c>
      <c r="BN98" s="224">
        <v>461830897</v>
      </c>
      <c r="BO98" s="224">
        <v>461830897</v>
      </c>
    </row>
    <row r="99" spans="1:67">
      <c r="A99" s="223">
        <f t="shared" si="38"/>
        <v>7</v>
      </c>
      <c r="B99" s="228" t="s">
        <v>143</v>
      </c>
      <c r="C99" s="223">
        <v>97</v>
      </c>
      <c r="D99" s="224">
        <f>262565642.86668+11376361.9224</f>
        <v>273942004.78908002</v>
      </c>
      <c r="E99" s="224">
        <f t="shared" ref="E99:BO99" si="40">262565642.86668+11376361.9224</f>
        <v>273942004.78908002</v>
      </c>
      <c r="F99" s="224">
        <f t="shared" si="40"/>
        <v>273942004.78908002</v>
      </c>
      <c r="G99" s="224">
        <f t="shared" si="40"/>
        <v>273942004.78908002</v>
      </c>
      <c r="H99" s="224">
        <f t="shared" si="40"/>
        <v>273942004.78908002</v>
      </c>
      <c r="I99" s="224">
        <f t="shared" si="40"/>
        <v>273942004.78908002</v>
      </c>
      <c r="J99" s="224">
        <f t="shared" si="40"/>
        <v>273942004.78908002</v>
      </c>
      <c r="K99" s="224">
        <f t="shared" si="40"/>
        <v>273942004.78908002</v>
      </c>
      <c r="L99" s="224">
        <f t="shared" si="40"/>
        <v>273942004.78908002</v>
      </c>
      <c r="M99" s="224">
        <f t="shared" si="40"/>
        <v>273942004.78908002</v>
      </c>
      <c r="N99" s="224">
        <f t="shared" si="40"/>
        <v>273942004.78908002</v>
      </c>
      <c r="O99" s="224">
        <f t="shared" si="40"/>
        <v>273942004.78908002</v>
      </c>
      <c r="P99" s="224">
        <f t="shared" si="40"/>
        <v>273942004.78908002</v>
      </c>
      <c r="Q99" s="224">
        <f t="shared" si="40"/>
        <v>273942004.78908002</v>
      </c>
      <c r="R99" s="224">
        <f t="shared" si="40"/>
        <v>273942004.78908002</v>
      </c>
      <c r="S99" s="224">
        <f t="shared" si="40"/>
        <v>273942004.78908002</v>
      </c>
      <c r="T99" s="224">
        <f t="shared" si="40"/>
        <v>273942004.78908002</v>
      </c>
      <c r="U99" s="224">
        <f t="shared" si="40"/>
        <v>273942004.78908002</v>
      </c>
      <c r="V99" s="224">
        <f t="shared" si="40"/>
        <v>273942004.78908002</v>
      </c>
      <c r="W99" s="224">
        <f t="shared" si="40"/>
        <v>273942004.78908002</v>
      </c>
      <c r="X99" s="224">
        <f t="shared" si="40"/>
        <v>273942004.78908002</v>
      </c>
      <c r="Y99" s="224">
        <f t="shared" si="40"/>
        <v>273942004.78908002</v>
      </c>
      <c r="Z99" s="224">
        <f t="shared" si="40"/>
        <v>273942004.78908002</v>
      </c>
      <c r="AA99" s="224">
        <f t="shared" si="40"/>
        <v>273942004.78908002</v>
      </c>
      <c r="AB99" s="224">
        <f t="shared" si="40"/>
        <v>273942004.78908002</v>
      </c>
      <c r="AC99" s="224">
        <f t="shared" si="40"/>
        <v>273942004.78908002</v>
      </c>
      <c r="AD99" s="224">
        <f t="shared" si="40"/>
        <v>273942004.78908002</v>
      </c>
      <c r="AE99" s="224">
        <f t="shared" si="40"/>
        <v>273942004.78908002</v>
      </c>
      <c r="AF99" s="224">
        <f t="shared" si="40"/>
        <v>273942004.78908002</v>
      </c>
      <c r="AG99" s="224">
        <f t="shared" si="40"/>
        <v>273942004.78908002</v>
      </c>
      <c r="AH99" s="224">
        <f t="shared" si="40"/>
        <v>273942004.78908002</v>
      </c>
      <c r="AI99" s="224">
        <f t="shared" si="40"/>
        <v>273942004.78908002</v>
      </c>
      <c r="AJ99" s="224">
        <f t="shared" si="40"/>
        <v>273942004.78908002</v>
      </c>
      <c r="AK99" s="224">
        <f t="shared" si="40"/>
        <v>273942004.78908002</v>
      </c>
      <c r="AL99" s="224">
        <f t="shared" si="40"/>
        <v>273942004.78908002</v>
      </c>
      <c r="AM99" s="224">
        <f t="shared" si="40"/>
        <v>273942004.78908002</v>
      </c>
      <c r="AN99" s="224">
        <f t="shared" si="40"/>
        <v>273942004.78908002</v>
      </c>
      <c r="AO99" s="224">
        <f t="shared" si="40"/>
        <v>273942004.78908002</v>
      </c>
      <c r="AP99" s="224">
        <f t="shared" si="40"/>
        <v>273942004.78908002</v>
      </c>
      <c r="AQ99" s="224">
        <f t="shared" si="40"/>
        <v>273942004.78908002</v>
      </c>
      <c r="AR99" s="224">
        <f t="shared" si="40"/>
        <v>273942004.78908002</v>
      </c>
      <c r="AS99" s="224">
        <f t="shared" si="40"/>
        <v>273942004.78908002</v>
      </c>
      <c r="AT99" s="224">
        <f t="shared" si="40"/>
        <v>273942004.78908002</v>
      </c>
      <c r="AU99" s="224">
        <f t="shared" si="40"/>
        <v>273942004.78908002</v>
      </c>
      <c r="AV99" s="224">
        <f t="shared" si="40"/>
        <v>273942004.78908002</v>
      </c>
      <c r="AW99" s="224">
        <f t="shared" si="40"/>
        <v>273942004.78908002</v>
      </c>
      <c r="AX99" s="224">
        <f t="shared" si="40"/>
        <v>273942004.78908002</v>
      </c>
      <c r="AY99" s="224">
        <f t="shared" si="40"/>
        <v>273942004.78908002</v>
      </c>
      <c r="AZ99" s="224">
        <f t="shared" si="40"/>
        <v>273942004.78908002</v>
      </c>
      <c r="BA99" s="224">
        <f t="shared" si="40"/>
        <v>273942004.78908002</v>
      </c>
      <c r="BB99" s="224">
        <f t="shared" si="40"/>
        <v>273942004.78908002</v>
      </c>
      <c r="BC99" s="224">
        <f t="shared" si="40"/>
        <v>273942004.78908002</v>
      </c>
      <c r="BD99" s="224">
        <f t="shared" si="40"/>
        <v>273942004.78908002</v>
      </c>
      <c r="BE99" s="224">
        <f t="shared" si="40"/>
        <v>273942004.78908002</v>
      </c>
      <c r="BF99" s="224">
        <f t="shared" si="40"/>
        <v>273942004.78908002</v>
      </c>
      <c r="BG99" s="224">
        <f t="shared" si="40"/>
        <v>273942004.78908002</v>
      </c>
      <c r="BH99" s="224">
        <f t="shared" si="40"/>
        <v>273942004.78908002</v>
      </c>
      <c r="BI99" s="224">
        <f t="shared" si="40"/>
        <v>273942004.78908002</v>
      </c>
      <c r="BJ99" s="224">
        <f t="shared" si="40"/>
        <v>273942004.78908002</v>
      </c>
      <c r="BK99" s="224">
        <f t="shared" si="40"/>
        <v>273942004.78908002</v>
      </c>
      <c r="BL99" s="224">
        <f t="shared" si="40"/>
        <v>273942004.78908002</v>
      </c>
      <c r="BM99" s="224">
        <f t="shared" si="40"/>
        <v>273942004.78908002</v>
      </c>
      <c r="BN99" s="224">
        <f t="shared" si="40"/>
        <v>273942004.78908002</v>
      </c>
      <c r="BO99" s="224">
        <f t="shared" si="40"/>
        <v>273942004.78908002</v>
      </c>
    </row>
    <row r="100" spans="1:67" ht="30">
      <c r="A100" s="223">
        <f t="shared" si="38"/>
        <v>8</v>
      </c>
      <c r="B100" s="245" t="s">
        <v>208</v>
      </c>
      <c r="C100" s="223">
        <v>98</v>
      </c>
      <c r="D100" s="224">
        <v>270950000</v>
      </c>
      <c r="E100" s="224">
        <v>270950000</v>
      </c>
      <c r="F100" s="224">
        <v>270950000</v>
      </c>
      <c r="G100" s="224">
        <v>270950000</v>
      </c>
      <c r="H100" s="224">
        <v>270950000</v>
      </c>
      <c r="I100" s="224">
        <v>270950000</v>
      </c>
      <c r="J100" s="224">
        <v>270950000</v>
      </c>
      <c r="K100" s="224">
        <v>270950000</v>
      </c>
      <c r="L100" s="224">
        <v>270950000</v>
      </c>
      <c r="M100" s="224">
        <v>270950000</v>
      </c>
      <c r="N100" s="224">
        <v>270950000</v>
      </c>
      <c r="O100" s="224">
        <v>270950000</v>
      </c>
      <c r="P100" s="224">
        <v>270950000</v>
      </c>
      <c r="Q100" s="224">
        <v>270950000</v>
      </c>
      <c r="R100" s="224">
        <v>270950000</v>
      </c>
      <c r="S100" s="224">
        <v>270950000</v>
      </c>
      <c r="T100" s="224">
        <v>270950000</v>
      </c>
      <c r="U100" s="224">
        <v>270950000</v>
      </c>
      <c r="V100" s="224">
        <v>270950000</v>
      </c>
      <c r="W100" s="224">
        <v>270950000</v>
      </c>
      <c r="X100" s="224">
        <v>270950000</v>
      </c>
      <c r="Y100" s="224">
        <v>270950000</v>
      </c>
      <c r="Z100" s="224">
        <v>270950000</v>
      </c>
      <c r="AA100" s="224">
        <v>270950000</v>
      </c>
      <c r="AB100" s="224">
        <v>270950000</v>
      </c>
      <c r="AC100" s="224">
        <v>270950000</v>
      </c>
      <c r="AD100" s="224">
        <v>270950000</v>
      </c>
      <c r="AE100" s="224">
        <v>270950000</v>
      </c>
      <c r="AF100" s="224">
        <v>270950000</v>
      </c>
      <c r="AG100" s="224">
        <v>270950000</v>
      </c>
      <c r="AH100" s="224">
        <v>270950000</v>
      </c>
      <c r="AI100" s="224">
        <v>270950000</v>
      </c>
      <c r="AJ100" s="224">
        <v>270950000</v>
      </c>
      <c r="AK100" s="224">
        <v>270950000</v>
      </c>
      <c r="AL100" s="224">
        <v>270950000</v>
      </c>
      <c r="AM100" s="224">
        <v>270950000</v>
      </c>
      <c r="AN100" s="224">
        <v>270950000</v>
      </c>
      <c r="AO100" s="224">
        <v>270950000</v>
      </c>
      <c r="AP100" s="224">
        <v>270950000</v>
      </c>
      <c r="AQ100" s="224">
        <v>270950000</v>
      </c>
      <c r="AR100" s="224">
        <v>270950000</v>
      </c>
      <c r="AS100" s="224">
        <v>270950000</v>
      </c>
      <c r="AT100" s="224">
        <v>270950000</v>
      </c>
      <c r="AU100" s="224">
        <v>270950000</v>
      </c>
      <c r="AV100" s="224">
        <v>270950000</v>
      </c>
      <c r="AW100" s="224">
        <v>270950000</v>
      </c>
      <c r="AX100" s="224">
        <v>270950000</v>
      </c>
      <c r="AY100" s="224">
        <v>270950000</v>
      </c>
      <c r="AZ100" s="224">
        <v>270950000</v>
      </c>
      <c r="BA100" s="224">
        <v>270950000</v>
      </c>
      <c r="BB100" s="224">
        <v>270950000</v>
      </c>
      <c r="BC100" s="224">
        <v>270950000</v>
      </c>
      <c r="BD100" s="224">
        <v>270950000</v>
      </c>
      <c r="BE100" s="224">
        <v>270950000</v>
      </c>
      <c r="BF100" s="224">
        <v>270950000</v>
      </c>
      <c r="BG100" s="224">
        <v>270950000</v>
      </c>
      <c r="BH100" s="224">
        <v>270950000</v>
      </c>
      <c r="BI100" s="224">
        <v>270950000</v>
      </c>
      <c r="BJ100" s="224">
        <v>270950000</v>
      </c>
      <c r="BK100" s="224">
        <v>270950000</v>
      </c>
      <c r="BL100" s="224">
        <v>270950000</v>
      </c>
      <c r="BM100" s="224">
        <v>270950000</v>
      </c>
      <c r="BN100" s="224">
        <v>270950000</v>
      </c>
      <c r="BO100" s="224">
        <v>270950000</v>
      </c>
    </row>
    <row r="101" spans="1:67">
      <c r="A101" s="223">
        <f t="shared" si="38"/>
        <v>9</v>
      </c>
      <c r="B101" s="151" t="s">
        <v>141</v>
      </c>
      <c r="C101" s="223">
        <v>99</v>
      </c>
      <c r="D101" s="224">
        <f>262565642.86668+11376361.9224</f>
        <v>273942004.78908002</v>
      </c>
      <c r="E101" s="224">
        <f t="shared" ref="E101:BO101" si="41">262565642.86668+11376361.9224</f>
        <v>273942004.78908002</v>
      </c>
      <c r="F101" s="224">
        <f t="shared" si="41"/>
        <v>273942004.78908002</v>
      </c>
      <c r="G101" s="224">
        <f t="shared" si="41"/>
        <v>273942004.78908002</v>
      </c>
      <c r="H101" s="224">
        <f t="shared" si="41"/>
        <v>273942004.78908002</v>
      </c>
      <c r="I101" s="224">
        <f t="shared" si="41"/>
        <v>273942004.78908002</v>
      </c>
      <c r="J101" s="224">
        <f t="shared" si="41"/>
        <v>273942004.78908002</v>
      </c>
      <c r="K101" s="224">
        <f t="shared" si="41"/>
        <v>273942004.78908002</v>
      </c>
      <c r="L101" s="224">
        <f t="shared" si="41"/>
        <v>273942004.78908002</v>
      </c>
      <c r="M101" s="224">
        <f t="shared" si="41"/>
        <v>273942004.78908002</v>
      </c>
      <c r="N101" s="224">
        <f t="shared" si="41"/>
        <v>273942004.78908002</v>
      </c>
      <c r="O101" s="224">
        <f t="shared" si="41"/>
        <v>273942004.78908002</v>
      </c>
      <c r="P101" s="224">
        <f t="shared" si="41"/>
        <v>273942004.78908002</v>
      </c>
      <c r="Q101" s="224">
        <f t="shared" si="41"/>
        <v>273942004.78908002</v>
      </c>
      <c r="R101" s="224">
        <f t="shared" si="41"/>
        <v>273942004.78908002</v>
      </c>
      <c r="S101" s="224">
        <f t="shared" si="41"/>
        <v>273942004.78908002</v>
      </c>
      <c r="T101" s="224">
        <f t="shared" si="41"/>
        <v>273942004.78908002</v>
      </c>
      <c r="U101" s="224">
        <f t="shared" si="41"/>
        <v>273942004.78908002</v>
      </c>
      <c r="V101" s="224">
        <f t="shared" si="41"/>
        <v>273942004.78908002</v>
      </c>
      <c r="W101" s="224">
        <f t="shared" si="41"/>
        <v>273942004.78908002</v>
      </c>
      <c r="X101" s="224">
        <f t="shared" si="41"/>
        <v>273942004.78908002</v>
      </c>
      <c r="Y101" s="224">
        <f t="shared" si="41"/>
        <v>273942004.78908002</v>
      </c>
      <c r="Z101" s="224">
        <f t="shared" si="41"/>
        <v>273942004.78908002</v>
      </c>
      <c r="AA101" s="224">
        <f t="shared" si="41"/>
        <v>273942004.78908002</v>
      </c>
      <c r="AB101" s="224">
        <f t="shared" si="41"/>
        <v>273942004.78908002</v>
      </c>
      <c r="AC101" s="224">
        <f t="shared" si="41"/>
        <v>273942004.78908002</v>
      </c>
      <c r="AD101" s="224">
        <f t="shared" si="41"/>
        <v>273942004.78908002</v>
      </c>
      <c r="AE101" s="224">
        <f t="shared" si="41"/>
        <v>273942004.78908002</v>
      </c>
      <c r="AF101" s="224">
        <f t="shared" si="41"/>
        <v>273942004.78908002</v>
      </c>
      <c r="AG101" s="224">
        <f t="shared" si="41"/>
        <v>273942004.78908002</v>
      </c>
      <c r="AH101" s="224">
        <f t="shared" si="41"/>
        <v>273942004.78908002</v>
      </c>
      <c r="AI101" s="224">
        <f t="shared" si="41"/>
        <v>273942004.78908002</v>
      </c>
      <c r="AJ101" s="224">
        <f t="shared" si="41"/>
        <v>273942004.78908002</v>
      </c>
      <c r="AK101" s="224">
        <f t="shared" si="41"/>
        <v>273942004.78908002</v>
      </c>
      <c r="AL101" s="224">
        <f t="shared" si="41"/>
        <v>273942004.78908002</v>
      </c>
      <c r="AM101" s="224">
        <f t="shared" si="41"/>
        <v>273942004.78908002</v>
      </c>
      <c r="AN101" s="224">
        <f t="shared" si="41"/>
        <v>273942004.78908002</v>
      </c>
      <c r="AO101" s="224">
        <f t="shared" si="41"/>
        <v>273942004.78908002</v>
      </c>
      <c r="AP101" s="224">
        <f t="shared" si="41"/>
        <v>273942004.78908002</v>
      </c>
      <c r="AQ101" s="224">
        <f t="shared" si="41"/>
        <v>273942004.78908002</v>
      </c>
      <c r="AR101" s="224">
        <f t="shared" si="41"/>
        <v>273942004.78908002</v>
      </c>
      <c r="AS101" s="224">
        <f t="shared" si="41"/>
        <v>273942004.78908002</v>
      </c>
      <c r="AT101" s="224">
        <f t="shared" si="41"/>
        <v>273942004.78908002</v>
      </c>
      <c r="AU101" s="224">
        <f t="shared" si="41"/>
        <v>273942004.78908002</v>
      </c>
      <c r="AV101" s="224">
        <f t="shared" si="41"/>
        <v>273942004.78908002</v>
      </c>
      <c r="AW101" s="224">
        <f t="shared" si="41"/>
        <v>273942004.78908002</v>
      </c>
      <c r="AX101" s="224">
        <f t="shared" si="41"/>
        <v>273942004.78908002</v>
      </c>
      <c r="AY101" s="224">
        <f t="shared" si="41"/>
        <v>273942004.78908002</v>
      </c>
      <c r="AZ101" s="224">
        <f t="shared" si="41"/>
        <v>273942004.78908002</v>
      </c>
      <c r="BA101" s="224">
        <f t="shared" si="41"/>
        <v>273942004.78908002</v>
      </c>
      <c r="BB101" s="224">
        <f t="shared" si="41"/>
        <v>273942004.78908002</v>
      </c>
      <c r="BC101" s="224">
        <f t="shared" si="41"/>
        <v>273942004.78908002</v>
      </c>
      <c r="BD101" s="224">
        <f t="shared" si="41"/>
        <v>273942004.78908002</v>
      </c>
      <c r="BE101" s="224">
        <f t="shared" si="41"/>
        <v>273942004.78908002</v>
      </c>
      <c r="BF101" s="224">
        <f t="shared" si="41"/>
        <v>273942004.78908002</v>
      </c>
      <c r="BG101" s="224">
        <f t="shared" si="41"/>
        <v>273942004.78908002</v>
      </c>
      <c r="BH101" s="224">
        <f t="shared" si="41"/>
        <v>273942004.78908002</v>
      </c>
      <c r="BI101" s="224">
        <f t="shared" si="41"/>
        <v>273942004.78908002</v>
      </c>
      <c r="BJ101" s="224">
        <f t="shared" si="41"/>
        <v>273942004.78908002</v>
      </c>
      <c r="BK101" s="224">
        <f t="shared" si="41"/>
        <v>273942004.78908002</v>
      </c>
      <c r="BL101" s="224">
        <f t="shared" si="41"/>
        <v>273942004.78908002</v>
      </c>
      <c r="BM101" s="224">
        <f t="shared" si="41"/>
        <v>273942004.78908002</v>
      </c>
      <c r="BN101" s="224">
        <f t="shared" si="41"/>
        <v>273942004.78908002</v>
      </c>
      <c r="BO101" s="224">
        <f t="shared" si="41"/>
        <v>273942004.78908002</v>
      </c>
    </row>
    <row r="102" spans="1:67">
      <c r="A102" s="223">
        <f t="shared" si="38"/>
        <v>10</v>
      </c>
      <c r="B102" s="151" t="s">
        <v>142</v>
      </c>
      <c r="C102" s="223">
        <v>100</v>
      </c>
      <c r="D102" s="224">
        <v>270950000</v>
      </c>
      <c r="E102" s="224">
        <v>270950000</v>
      </c>
      <c r="F102" s="224">
        <v>270950000</v>
      </c>
      <c r="G102" s="224">
        <v>270950000</v>
      </c>
      <c r="H102" s="224">
        <v>270950000</v>
      </c>
      <c r="I102" s="224">
        <v>270950000</v>
      </c>
      <c r="J102" s="224">
        <v>270950000</v>
      </c>
      <c r="K102" s="224">
        <v>270950000</v>
      </c>
      <c r="L102" s="224">
        <v>270950000</v>
      </c>
      <c r="M102" s="224">
        <v>270950000</v>
      </c>
      <c r="N102" s="224">
        <v>270950000</v>
      </c>
      <c r="O102" s="224">
        <v>270950000</v>
      </c>
      <c r="P102" s="224">
        <v>270950000</v>
      </c>
      <c r="Q102" s="224">
        <v>270950000</v>
      </c>
      <c r="R102" s="224">
        <v>270950000</v>
      </c>
      <c r="S102" s="224">
        <v>270950000</v>
      </c>
      <c r="T102" s="224">
        <v>270950000</v>
      </c>
      <c r="U102" s="224">
        <v>270950000</v>
      </c>
      <c r="V102" s="224">
        <v>270950000</v>
      </c>
      <c r="W102" s="224">
        <v>270950000</v>
      </c>
      <c r="X102" s="224">
        <v>270950000</v>
      </c>
      <c r="Y102" s="224">
        <v>270950000</v>
      </c>
      <c r="Z102" s="224">
        <v>270950000</v>
      </c>
      <c r="AA102" s="224">
        <v>270950000</v>
      </c>
      <c r="AB102" s="224">
        <v>270950000</v>
      </c>
      <c r="AC102" s="224">
        <v>270950000</v>
      </c>
      <c r="AD102" s="224">
        <v>270950000</v>
      </c>
      <c r="AE102" s="224">
        <v>270950000</v>
      </c>
      <c r="AF102" s="224">
        <v>270950000</v>
      </c>
      <c r="AG102" s="224">
        <v>270950000</v>
      </c>
      <c r="AH102" s="224">
        <v>270950000</v>
      </c>
      <c r="AI102" s="224">
        <v>270950000</v>
      </c>
      <c r="AJ102" s="224">
        <v>270950000</v>
      </c>
      <c r="AK102" s="224">
        <v>270950000</v>
      </c>
      <c r="AL102" s="224">
        <v>270950000</v>
      </c>
      <c r="AM102" s="224">
        <v>270950000</v>
      </c>
      <c r="AN102" s="224">
        <v>270950000</v>
      </c>
      <c r="AO102" s="224">
        <v>270950000</v>
      </c>
      <c r="AP102" s="224">
        <v>270950000</v>
      </c>
      <c r="AQ102" s="224">
        <v>270950000</v>
      </c>
      <c r="AR102" s="224">
        <v>270950000</v>
      </c>
      <c r="AS102" s="224">
        <v>270950000</v>
      </c>
      <c r="AT102" s="224">
        <v>270950000</v>
      </c>
      <c r="AU102" s="224">
        <v>270950000</v>
      </c>
      <c r="AV102" s="224">
        <v>270950000</v>
      </c>
      <c r="AW102" s="224">
        <v>270950000</v>
      </c>
      <c r="AX102" s="224">
        <v>270950000</v>
      </c>
      <c r="AY102" s="224">
        <v>270950000</v>
      </c>
      <c r="AZ102" s="224">
        <v>270950000</v>
      </c>
      <c r="BA102" s="224">
        <v>270950000</v>
      </c>
      <c r="BB102" s="224">
        <v>270950000</v>
      </c>
      <c r="BC102" s="224">
        <v>270950000</v>
      </c>
      <c r="BD102" s="224">
        <v>270950000</v>
      </c>
      <c r="BE102" s="224">
        <v>270950000</v>
      </c>
      <c r="BF102" s="224">
        <v>270950000</v>
      </c>
      <c r="BG102" s="224">
        <v>270950000</v>
      </c>
      <c r="BH102" s="224">
        <v>270950000</v>
      </c>
      <c r="BI102" s="224">
        <v>270950000</v>
      </c>
      <c r="BJ102" s="224">
        <v>270950000</v>
      </c>
      <c r="BK102" s="224">
        <v>270950000</v>
      </c>
      <c r="BL102" s="224">
        <v>270950000</v>
      </c>
      <c r="BM102" s="224">
        <v>270950000</v>
      </c>
      <c r="BN102" s="224">
        <v>270950000</v>
      </c>
      <c r="BO102" s="224">
        <v>270950000</v>
      </c>
    </row>
    <row r="103" spans="1:67">
      <c r="A103" s="223" t="s">
        <v>31</v>
      </c>
      <c r="B103" s="230" t="s">
        <v>442</v>
      </c>
      <c r="C103" s="223">
        <v>101</v>
      </c>
      <c r="D103" s="224"/>
      <c r="E103" s="225">
        <f t="shared" ref="E103:J106" si="42">D103</f>
        <v>0</v>
      </c>
      <c r="F103" s="225">
        <f t="shared" si="42"/>
        <v>0</v>
      </c>
      <c r="G103" s="225">
        <f t="shared" si="42"/>
        <v>0</v>
      </c>
      <c r="H103" s="225">
        <f t="shared" si="42"/>
        <v>0</v>
      </c>
      <c r="I103" s="225">
        <f t="shared" si="42"/>
        <v>0</v>
      </c>
      <c r="J103" s="225">
        <f t="shared" si="42"/>
        <v>0</v>
      </c>
      <c r="K103" s="237"/>
      <c r="L103" s="237">
        <f t="shared" ref="K103:S106" si="43">K103</f>
        <v>0</v>
      </c>
      <c r="M103" s="237">
        <f t="shared" si="43"/>
        <v>0</v>
      </c>
      <c r="N103" s="237">
        <f t="shared" si="43"/>
        <v>0</v>
      </c>
      <c r="O103" s="237">
        <f t="shared" si="43"/>
        <v>0</v>
      </c>
      <c r="P103" s="237">
        <f t="shared" si="43"/>
        <v>0</v>
      </c>
      <c r="Q103" s="237">
        <f t="shared" si="43"/>
        <v>0</v>
      </c>
      <c r="R103" s="237">
        <f t="shared" si="43"/>
        <v>0</v>
      </c>
      <c r="S103" s="237">
        <f t="shared" si="43"/>
        <v>0</v>
      </c>
      <c r="T103" s="224"/>
      <c r="U103" s="224">
        <f t="shared" ref="U103:W109" si="44">T103</f>
        <v>0</v>
      </c>
      <c r="V103" s="224">
        <f t="shared" si="44"/>
        <v>0</v>
      </c>
      <c r="W103" s="224">
        <f t="shared" si="44"/>
        <v>0</v>
      </c>
      <c r="X103" s="226"/>
      <c r="Y103" s="226">
        <f t="shared" ref="Y103:Z108" si="45">X103</f>
        <v>0</v>
      </c>
      <c r="Z103" s="226">
        <f t="shared" si="45"/>
        <v>0</v>
      </c>
      <c r="AA103" s="224"/>
      <c r="AB103" s="224"/>
      <c r="AC103" s="224"/>
      <c r="AD103" s="224">
        <f t="shared" ref="AD103:AD164" si="46">AC103</f>
        <v>0</v>
      </c>
      <c r="AE103" s="224"/>
      <c r="AF103" s="224"/>
      <c r="AG103" s="224">
        <f t="shared" ref="AG103:AG164" si="47">AF103</f>
        <v>0</v>
      </c>
      <c r="AH103" s="226"/>
      <c r="AI103" s="226">
        <f t="shared" ref="AI103:AM108" si="48">AH103</f>
        <v>0</v>
      </c>
      <c r="AJ103" s="226">
        <f t="shared" si="48"/>
        <v>0</v>
      </c>
      <c r="AK103" s="226">
        <f t="shared" si="48"/>
        <v>0</v>
      </c>
      <c r="AL103" s="226">
        <f t="shared" si="48"/>
        <v>0</v>
      </c>
      <c r="AM103" s="226">
        <f t="shared" si="48"/>
        <v>0</v>
      </c>
      <c r="AN103" s="235"/>
      <c r="AO103" s="235">
        <f t="shared" ref="AO103:AV108" si="49">AN103</f>
        <v>0</v>
      </c>
      <c r="AP103" s="235">
        <f t="shared" si="49"/>
        <v>0</v>
      </c>
      <c r="AQ103" s="236">
        <f t="shared" si="49"/>
        <v>0</v>
      </c>
      <c r="AR103" s="236">
        <f t="shared" si="49"/>
        <v>0</v>
      </c>
      <c r="AS103" s="236">
        <f t="shared" si="49"/>
        <v>0</v>
      </c>
      <c r="AT103" s="236">
        <f t="shared" si="49"/>
        <v>0</v>
      </c>
      <c r="AU103" s="236">
        <f t="shared" si="49"/>
        <v>0</v>
      </c>
      <c r="AV103" s="236">
        <f t="shared" si="49"/>
        <v>0</v>
      </c>
      <c r="AW103" s="226"/>
      <c r="AX103" s="226">
        <f t="shared" ref="AX103:BB109" si="50">AW103</f>
        <v>0</v>
      </c>
      <c r="AY103" s="226">
        <f t="shared" si="50"/>
        <v>0</v>
      </c>
      <c r="AZ103" s="226">
        <f t="shared" si="50"/>
        <v>0</v>
      </c>
      <c r="BA103" s="226">
        <f t="shared" si="50"/>
        <v>0</v>
      </c>
      <c r="BB103" s="226">
        <f t="shared" si="50"/>
        <v>0</v>
      </c>
      <c r="BC103" s="224"/>
      <c r="BD103" s="224">
        <f t="shared" ref="BD103:BO109" si="51">BC103</f>
        <v>0</v>
      </c>
      <c r="BE103" s="224">
        <f t="shared" si="51"/>
        <v>0</v>
      </c>
      <c r="BF103" s="224">
        <f t="shared" si="51"/>
        <v>0</v>
      </c>
      <c r="BG103" s="224">
        <f t="shared" si="51"/>
        <v>0</v>
      </c>
      <c r="BH103" s="224">
        <f t="shared" si="51"/>
        <v>0</v>
      </c>
      <c r="BI103" s="224">
        <f t="shared" si="51"/>
        <v>0</v>
      </c>
      <c r="BJ103" s="224">
        <f t="shared" si="51"/>
        <v>0</v>
      </c>
      <c r="BK103" s="224">
        <f t="shared" si="51"/>
        <v>0</v>
      </c>
      <c r="BL103" s="224">
        <f t="shared" si="51"/>
        <v>0</v>
      </c>
      <c r="BM103" s="224">
        <f t="shared" si="51"/>
        <v>0</v>
      </c>
      <c r="BN103" s="224">
        <f t="shared" si="51"/>
        <v>0</v>
      </c>
      <c r="BO103" s="224">
        <f t="shared" si="51"/>
        <v>0</v>
      </c>
    </row>
    <row r="104" spans="1:67" ht="45">
      <c r="A104" s="223">
        <v>1</v>
      </c>
      <c r="B104" s="228" t="s">
        <v>319</v>
      </c>
      <c r="C104" s="223">
        <v>102</v>
      </c>
      <c r="D104" s="224">
        <f>(2523000*1.092+400000*1.092)+(2523000*1.092+400000*1.092)*10%</f>
        <v>3511107.6</v>
      </c>
      <c r="E104" s="225">
        <f t="shared" si="42"/>
        <v>3511107.6</v>
      </c>
      <c r="F104" s="225">
        <f t="shared" si="42"/>
        <v>3511107.6</v>
      </c>
      <c r="G104" s="225">
        <f t="shared" si="42"/>
        <v>3511107.6</v>
      </c>
      <c r="H104" s="225">
        <f t="shared" si="42"/>
        <v>3511107.6</v>
      </c>
      <c r="I104" s="225">
        <f t="shared" si="42"/>
        <v>3511107.6</v>
      </c>
      <c r="J104" s="225">
        <f t="shared" si="42"/>
        <v>3511107.6</v>
      </c>
      <c r="K104" s="237">
        <f t="shared" si="43"/>
        <v>3511107.6</v>
      </c>
      <c r="L104" s="237">
        <f t="shared" si="43"/>
        <v>3511107.6</v>
      </c>
      <c r="M104" s="237">
        <f t="shared" si="43"/>
        <v>3511107.6</v>
      </c>
      <c r="N104" s="237">
        <f t="shared" si="43"/>
        <v>3511107.6</v>
      </c>
      <c r="O104" s="237">
        <f t="shared" si="43"/>
        <v>3511107.6</v>
      </c>
      <c r="P104" s="237">
        <f t="shared" si="43"/>
        <v>3511107.6</v>
      </c>
      <c r="Q104" s="237">
        <f t="shared" si="43"/>
        <v>3511107.6</v>
      </c>
      <c r="R104" s="237">
        <f t="shared" si="43"/>
        <v>3511107.6</v>
      </c>
      <c r="S104" s="237">
        <f t="shared" si="43"/>
        <v>3511107.6</v>
      </c>
      <c r="T104" s="224">
        <f>(2523000*1.092+400000*1.092)+(2523000*1.092+400000*1.092)*10%</f>
        <v>3511107.6</v>
      </c>
      <c r="U104" s="224">
        <f t="shared" si="44"/>
        <v>3511107.6</v>
      </c>
      <c r="V104" s="224">
        <f t="shared" si="44"/>
        <v>3511107.6</v>
      </c>
      <c r="W104" s="224">
        <f t="shared" si="44"/>
        <v>3511107.6</v>
      </c>
      <c r="X104" s="226">
        <f>(2523000*1.092+400000*1.092)+(2523000*1.092+400000*1.092)*10%</f>
        <v>3511107.6</v>
      </c>
      <c r="Y104" s="226">
        <f t="shared" si="45"/>
        <v>3511107.6</v>
      </c>
      <c r="Z104" s="226">
        <f t="shared" si="45"/>
        <v>3511107.6</v>
      </c>
      <c r="AA104" s="224">
        <f>(2523000*1.092+400000*1.092)+(2523000*1.092+400000*1.092)*10%</f>
        <v>3511107.6</v>
      </c>
      <c r="AB104" s="224">
        <f>(2523000*1.092+400000*1.092)+(2523000*1.092+400000*1.092)*10%</f>
        <v>3511107.6</v>
      </c>
      <c r="AC104" s="224">
        <f>(2523000*1.092+400000*1.092)+(2523000*1.092+400000*1.092)*10%</f>
        <v>3511107.6</v>
      </c>
      <c r="AD104" s="224">
        <f t="shared" si="46"/>
        <v>3511107.6</v>
      </c>
      <c r="AE104" s="224">
        <f>(2523000*1.092+400000*1.092)+(2523000*1.092+400000*1.092)*10%</f>
        <v>3511107.6</v>
      </c>
      <c r="AF104" s="224">
        <f>(2523000*1.092+400000*1.092)+(2523000*1.092+400000*1.092)*10%</f>
        <v>3511107.6</v>
      </c>
      <c r="AG104" s="224">
        <f t="shared" si="47"/>
        <v>3511107.6</v>
      </c>
      <c r="AH104" s="226">
        <f>(2523000*1.092+400000*1.092)+(2523000*1.092+400000*1.092)*10%</f>
        <v>3511107.6</v>
      </c>
      <c r="AI104" s="226">
        <f t="shared" si="48"/>
        <v>3511107.6</v>
      </c>
      <c r="AJ104" s="226">
        <f t="shared" si="48"/>
        <v>3511107.6</v>
      </c>
      <c r="AK104" s="226">
        <f t="shared" si="48"/>
        <v>3511107.6</v>
      </c>
      <c r="AL104" s="226">
        <f t="shared" si="48"/>
        <v>3511107.6</v>
      </c>
      <c r="AM104" s="226">
        <f t="shared" si="48"/>
        <v>3511107.6</v>
      </c>
      <c r="AN104" s="235">
        <f>(2523000*1.092+400000*1.092)+(2523000*1.092+400000*1.092)*10%</f>
        <v>3511107.6</v>
      </c>
      <c r="AO104" s="235">
        <f t="shared" si="49"/>
        <v>3511107.6</v>
      </c>
      <c r="AP104" s="235">
        <f t="shared" si="49"/>
        <v>3511107.6</v>
      </c>
      <c r="AQ104" s="236">
        <f t="shared" si="49"/>
        <v>3511107.6</v>
      </c>
      <c r="AR104" s="236">
        <f t="shared" si="49"/>
        <v>3511107.6</v>
      </c>
      <c r="AS104" s="236">
        <f t="shared" si="49"/>
        <v>3511107.6</v>
      </c>
      <c r="AT104" s="236">
        <f t="shared" si="49"/>
        <v>3511107.6</v>
      </c>
      <c r="AU104" s="236">
        <f t="shared" si="49"/>
        <v>3511107.6</v>
      </c>
      <c r="AV104" s="236">
        <f t="shared" si="49"/>
        <v>3511107.6</v>
      </c>
      <c r="AW104" s="226">
        <f>(2523000*1.092+400000*1.092)+(2523000*1.092+400000*1.092)*10%</f>
        <v>3511107.6</v>
      </c>
      <c r="AX104" s="226">
        <f t="shared" si="50"/>
        <v>3511107.6</v>
      </c>
      <c r="AY104" s="226">
        <f t="shared" si="50"/>
        <v>3511107.6</v>
      </c>
      <c r="AZ104" s="226">
        <f t="shared" si="50"/>
        <v>3511107.6</v>
      </c>
      <c r="BA104" s="226">
        <f t="shared" si="50"/>
        <v>3511107.6</v>
      </c>
      <c r="BB104" s="226">
        <f t="shared" si="50"/>
        <v>3511107.6</v>
      </c>
      <c r="BC104" s="224">
        <f>(2523000*1.092+400000*1.092)+(2523000*1.092+400000*1.092)*10%</f>
        <v>3511107.6</v>
      </c>
      <c r="BD104" s="224">
        <f t="shared" si="51"/>
        <v>3511107.6</v>
      </c>
      <c r="BE104" s="224">
        <f t="shared" si="51"/>
        <v>3511107.6</v>
      </c>
      <c r="BF104" s="224">
        <f t="shared" si="51"/>
        <v>3511107.6</v>
      </c>
      <c r="BG104" s="224">
        <f t="shared" si="51"/>
        <v>3511107.6</v>
      </c>
      <c r="BH104" s="224">
        <f t="shared" si="51"/>
        <v>3511107.6</v>
      </c>
      <c r="BI104" s="224">
        <f t="shared" si="51"/>
        <v>3511107.6</v>
      </c>
      <c r="BJ104" s="224">
        <f t="shared" si="51"/>
        <v>3511107.6</v>
      </c>
      <c r="BK104" s="224">
        <f t="shared" si="51"/>
        <v>3511107.6</v>
      </c>
      <c r="BL104" s="224">
        <f t="shared" si="51"/>
        <v>3511107.6</v>
      </c>
      <c r="BM104" s="224">
        <f t="shared" si="51"/>
        <v>3511107.6</v>
      </c>
      <c r="BN104" s="224">
        <f t="shared" si="51"/>
        <v>3511107.6</v>
      </c>
      <c r="BO104" s="224">
        <f t="shared" si="51"/>
        <v>3511107.6</v>
      </c>
    </row>
    <row r="105" spans="1:67" ht="45">
      <c r="A105" s="223">
        <f>A104+1</f>
        <v>2</v>
      </c>
      <c r="B105" s="228" t="s">
        <v>320</v>
      </c>
      <c r="C105" s="223">
        <v>103</v>
      </c>
      <c r="D105" s="224">
        <f>(3396000*1.092+400000*1.092)+(3396000*1.092+400000*1.092)*10%</f>
        <v>4559755.2</v>
      </c>
      <c r="E105" s="225">
        <f t="shared" si="42"/>
        <v>4559755.2</v>
      </c>
      <c r="F105" s="225">
        <f t="shared" si="42"/>
        <v>4559755.2</v>
      </c>
      <c r="G105" s="225">
        <f t="shared" si="42"/>
        <v>4559755.2</v>
      </c>
      <c r="H105" s="225">
        <f t="shared" si="42"/>
        <v>4559755.2</v>
      </c>
      <c r="I105" s="225">
        <f t="shared" si="42"/>
        <v>4559755.2</v>
      </c>
      <c r="J105" s="225">
        <f t="shared" si="42"/>
        <v>4559755.2</v>
      </c>
      <c r="K105" s="237">
        <f t="shared" si="43"/>
        <v>4559755.2</v>
      </c>
      <c r="L105" s="237">
        <f t="shared" si="43"/>
        <v>4559755.2</v>
      </c>
      <c r="M105" s="237">
        <f t="shared" si="43"/>
        <v>4559755.2</v>
      </c>
      <c r="N105" s="237">
        <f t="shared" si="43"/>
        <v>4559755.2</v>
      </c>
      <c r="O105" s="237">
        <f t="shared" si="43"/>
        <v>4559755.2</v>
      </c>
      <c r="P105" s="237">
        <f t="shared" si="43"/>
        <v>4559755.2</v>
      </c>
      <c r="Q105" s="237">
        <f t="shared" si="43"/>
        <v>4559755.2</v>
      </c>
      <c r="R105" s="237">
        <f t="shared" si="43"/>
        <v>4559755.2</v>
      </c>
      <c r="S105" s="237">
        <f t="shared" si="43"/>
        <v>4559755.2</v>
      </c>
      <c r="T105" s="224">
        <f>(3396000*1.092+400000*1.092)+(3396000*1.092+400000*1.092)*10%</f>
        <v>4559755.2</v>
      </c>
      <c r="U105" s="224">
        <f t="shared" si="44"/>
        <v>4559755.2</v>
      </c>
      <c r="V105" s="224">
        <f t="shared" si="44"/>
        <v>4559755.2</v>
      </c>
      <c r="W105" s="224">
        <f t="shared" si="44"/>
        <v>4559755.2</v>
      </c>
      <c r="X105" s="226">
        <f>(3396000*1.092+400000*1.092)+(3396000*1.092+400000*1.092)*10%</f>
        <v>4559755.2</v>
      </c>
      <c r="Y105" s="226">
        <f t="shared" si="45"/>
        <v>4559755.2</v>
      </c>
      <c r="Z105" s="226">
        <f t="shared" si="45"/>
        <v>4559755.2</v>
      </c>
      <c r="AA105" s="224">
        <f>(3396000*1.092+400000*1.092)+(3396000*1.092+400000*1.092)*10%</f>
        <v>4559755.2</v>
      </c>
      <c r="AB105" s="224">
        <f>(3396000*1.092+400000*1.092)+(3396000*1.092+400000*1.092)*10%</f>
        <v>4559755.2</v>
      </c>
      <c r="AC105" s="224">
        <f>(3396000*1.092+400000*1.092)+(3396000*1.092+400000*1.092)*10%</f>
        <v>4559755.2</v>
      </c>
      <c r="AD105" s="224">
        <f t="shared" si="46"/>
        <v>4559755.2</v>
      </c>
      <c r="AE105" s="224">
        <f>(3396000*1.092+400000*1.092)+(3396000*1.092+400000*1.092)*10%</f>
        <v>4559755.2</v>
      </c>
      <c r="AF105" s="224">
        <f>(3396000*1.092+400000*1.092)+(3396000*1.092+400000*1.092)*10%</f>
        <v>4559755.2</v>
      </c>
      <c r="AG105" s="224">
        <f t="shared" si="47"/>
        <v>4559755.2</v>
      </c>
      <c r="AH105" s="226">
        <f>(3396000*1.092+400000*1.092)+(3396000*1.092+400000*1.092)*10%</f>
        <v>4559755.2</v>
      </c>
      <c r="AI105" s="226">
        <f t="shared" si="48"/>
        <v>4559755.2</v>
      </c>
      <c r="AJ105" s="226">
        <f t="shared" si="48"/>
        <v>4559755.2</v>
      </c>
      <c r="AK105" s="226">
        <f t="shared" si="48"/>
        <v>4559755.2</v>
      </c>
      <c r="AL105" s="226">
        <f t="shared" si="48"/>
        <v>4559755.2</v>
      </c>
      <c r="AM105" s="226">
        <f t="shared" si="48"/>
        <v>4559755.2</v>
      </c>
      <c r="AN105" s="235">
        <f>(3396000*1.092+400000*1.092)+(3396000*1.092+400000*1.092)*10%</f>
        <v>4559755.2</v>
      </c>
      <c r="AO105" s="235">
        <f t="shared" si="49"/>
        <v>4559755.2</v>
      </c>
      <c r="AP105" s="235">
        <f t="shared" si="49"/>
        <v>4559755.2</v>
      </c>
      <c r="AQ105" s="236">
        <f t="shared" si="49"/>
        <v>4559755.2</v>
      </c>
      <c r="AR105" s="236">
        <f t="shared" si="49"/>
        <v>4559755.2</v>
      </c>
      <c r="AS105" s="236">
        <f t="shared" si="49"/>
        <v>4559755.2</v>
      </c>
      <c r="AT105" s="236">
        <f t="shared" si="49"/>
        <v>4559755.2</v>
      </c>
      <c r="AU105" s="236">
        <f t="shared" si="49"/>
        <v>4559755.2</v>
      </c>
      <c r="AV105" s="236">
        <f t="shared" si="49"/>
        <v>4559755.2</v>
      </c>
      <c r="AW105" s="226">
        <f>(3396000*1.092+400000*1.092)+(3396000*1.092+400000*1.092)*10%</f>
        <v>4559755.2</v>
      </c>
      <c r="AX105" s="226">
        <f t="shared" si="50"/>
        <v>4559755.2</v>
      </c>
      <c r="AY105" s="226">
        <f t="shared" si="50"/>
        <v>4559755.2</v>
      </c>
      <c r="AZ105" s="226">
        <f t="shared" si="50"/>
        <v>4559755.2</v>
      </c>
      <c r="BA105" s="226">
        <f t="shared" si="50"/>
        <v>4559755.2</v>
      </c>
      <c r="BB105" s="226">
        <f t="shared" si="50"/>
        <v>4559755.2</v>
      </c>
      <c r="BC105" s="224">
        <f>(3396000*1.092+400000*1.092)+(3396000*1.092+400000*1.092)*10%</f>
        <v>4559755.2</v>
      </c>
      <c r="BD105" s="224">
        <f t="shared" si="51"/>
        <v>4559755.2</v>
      </c>
      <c r="BE105" s="224">
        <f t="shared" si="51"/>
        <v>4559755.2</v>
      </c>
      <c r="BF105" s="224">
        <f t="shared" si="51"/>
        <v>4559755.2</v>
      </c>
      <c r="BG105" s="224">
        <f t="shared" si="51"/>
        <v>4559755.2</v>
      </c>
      <c r="BH105" s="224">
        <f t="shared" si="51"/>
        <v>4559755.2</v>
      </c>
      <c r="BI105" s="224">
        <f t="shared" si="51"/>
        <v>4559755.2</v>
      </c>
      <c r="BJ105" s="224">
        <f t="shared" si="51"/>
        <v>4559755.2</v>
      </c>
      <c r="BK105" s="224">
        <f t="shared" si="51"/>
        <v>4559755.2</v>
      </c>
      <c r="BL105" s="224">
        <f t="shared" si="51"/>
        <v>4559755.2</v>
      </c>
      <c r="BM105" s="224">
        <f t="shared" si="51"/>
        <v>4559755.2</v>
      </c>
      <c r="BN105" s="224">
        <f t="shared" si="51"/>
        <v>4559755.2</v>
      </c>
      <c r="BO105" s="224">
        <f t="shared" si="51"/>
        <v>4559755.2</v>
      </c>
    </row>
    <row r="106" spans="1:67" ht="45">
      <c r="A106" s="223">
        <f t="shared" ref="A106:A111" si="52">A105+1</f>
        <v>3</v>
      </c>
      <c r="B106" s="228" t="s">
        <v>321</v>
      </c>
      <c r="C106" s="223">
        <v>104</v>
      </c>
      <c r="D106" s="224">
        <f>(4909000*1.092+400000*1.092)+(4909000*1.092+400000*1.092)*10%</f>
        <v>6377170.7999999998</v>
      </c>
      <c r="E106" s="225">
        <f t="shared" si="42"/>
        <v>6377170.7999999998</v>
      </c>
      <c r="F106" s="225">
        <f t="shared" si="42"/>
        <v>6377170.7999999998</v>
      </c>
      <c r="G106" s="225">
        <f t="shared" si="42"/>
        <v>6377170.7999999998</v>
      </c>
      <c r="H106" s="225">
        <f t="shared" si="42"/>
        <v>6377170.7999999998</v>
      </c>
      <c r="I106" s="225">
        <f t="shared" si="42"/>
        <v>6377170.7999999998</v>
      </c>
      <c r="J106" s="225">
        <f t="shared" si="42"/>
        <v>6377170.7999999998</v>
      </c>
      <c r="K106" s="237">
        <f t="shared" si="43"/>
        <v>6377170.7999999998</v>
      </c>
      <c r="L106" s="237">
        <f t="shared" si="43"/>
        <v>6377170.7999999998</v>
      </c>
      <c r="M106" s="237">
        <f t="shared" si="43"/>
        <v>6377170.7999999998</v>
      </c>
      <c r="N106" s="237">
        <f t="shared" si="43"/>
        <v>6377170.7999999998</v>
      </c>
      <c r="O106" s="237">
        <f t="shared" si="43"/>
        <v>6377170.7999999998</v>
      </c>
      <c r="P106" s="237">
        <f t="shared" si="43"/>
        <v>6377170.7999999998</v>
      </c>
      <c r="Q106" s="237">
        <f t="shared" si="43"/>
        <v>6377170.7999999998</v>
      </c>
      <c r="R106" s="237">
        <f t="shared" si="43"/>
        <v>6377170.7999999998</v>
      </c>
      <c r="S106" s="237">
        <f t="shared" si="43"/>
        <v>6377170.7999999998</v>
      </c>
      <c r="T106" s="224">
        <f>(4909000*1.092+400000*1.092)+(4909000*1.092+400000*1.092)*10%</f>
        <v>6377170.7999999998</v>
      </c>
      <c r="U106" s="224">
        <f t="shared" si="44"/>
        <v>6377170.7999999998</v>
      </c>
      <c r="V106" s="224">
        <f t="shared" si="44"/>
        <v>6377170.7999999998</v>
      </c>
      <c r="W106" s="224">
        <f t="shared" si="44"/>
        <v>6377170.7999999998</v>
      </c>
      <c r="X106" s="226">
        <f>(4909000*1.092+400000*1.092)+(4909000*1.092+400000*1.092)*10%</f>
        <v>6377170.7999999998</v>
      </c>
      <c r="Y106" s="226">
        <f t="shared" si="45"/>
        <v>6377170.7999999998</v>
      </c>
      <c r="Z106" s="226">
        <f t="shared" si="45"/>
        <v>6377170.7999999998</v>
      </c>
      <c r="AA106" s="224">
        <f>(4909000*1.092+400000*1.092)+(4909000*1.092+400000*1.092)*10%</f>
        <v>6377170.7999999998</v>
      </c>
      <c r="AB106" s="224">
        <f>(4909000*1.092+400000*1.092)+(4909000*1.092+400000*1.092)*10%</f>
        <v>6377170.7999999998</v>
      </c>
      <c r="AC106" s="224">
        <f>(4909000*1.092+400000*1.092)+(4909000*1.092+400000*1.092)*10%</f>
        <v>6377170.7999999998</v>
      </c>
      <c r="AD106" s="224">
        <f t="shared" si="46"/>
        <v>6377170.7999999998</v>
      </c>
      <c r="AE106" s="224">
        <f>(4909000*1.092+400000*1.092)+(4909000*1.092+400000*1.092)*10%</f>
        <v>6377170.7999999998</v>
      </c>
      <c r="AF106" s="224">
        <f>(4909000*1.092+400000*1.092)+(4909000*1.092+400000*1.092)*10%</f>
        <v>6377170.7999999998</v>
      </c>
      <c r="AG106" s="224">
        <f t="shared" si="47"/>
        <v>6377170.7999999998</v>
      </c>
      <c r="AH106" s="226">
        <f>(4909000*1.092+400000*1.092)+(4909000*1.092+400000*1.092)*10%</f>
        <v>6377170.7999999998</v>
      </c>
      <c r="AI106" s="226">
        <f t="shared" si="48"/>
        <v>6377170.7999999998</v>
      </c>
      <c r="AJ106" s="226">
        <f t="shared" si="48"/>
        <v>6377170.7999999998</v>
      </c>
      <c r="AK106" s="226">
        <f t="shared" si="48"/>
        <v>6377170.7999999998</v>
      </c>
      <c r="AL106" s="226">
        <f t="shared" si="48"/>
        <v>6377170.7999999998</v>
      </c>
      <c r="AM106" s="226">
        <f t="shared" si="48"/>
        <v>6377170.7999999998</v>
      </c>
      <c r="AN106" s="235">
        <f>(4909000*1.092+400000*1.092)+(4909000*1.092+400000*1.092)*10%</f>
        <v>6377170.7999999998</v>
      </c>
      <c r="AO106" s="235">
        <f t="shared" si="49"/>
        <v>6377170.7999999998</v>
      </c>
      <c r="AP106" s="235">
        <f t="shared" si="49"/>
        <v>6377170.7999999998</v>
      </c>
      <c r="AQ106" s="236">
        <f t="shared" si="49"/>
        <v>6377170.7999999998</v>
      </c>
      <c r="AR106" s="236">
        <f t="shared" si="49"/>
        <v>6377170.7999999998</v>
      </c>
      <c r="AS106" s="236">
        <f t="shared" si="49"/>
        <v>6377170.7999999998</v>
      </c>
      <c r="AT106" s="236">
        <f t="shared" si="49"/>
        <v>6377170.7999999998</v>
      </c>
      <c r="AU106" s="236">
        <f t="shared" si="49"/>
        <v>6377170.7999999998</v>
      </c>
      <c r="AV106" s="236">
        <f t="shared" si="49"/>
        <v>6377170.7999999998</v>
      </c>
      <c r="AW106" s="226">
        <f>(4909000*1.092+400000*1.092)+(4909000*1.092+400000*1.092)*10%</f>
        <v>6377170.7999999998</v>
      </c>
      <c r="AX106" s="226">
        <f t="shared" si="50"/>
        <v>6377170.7999999998</v>
      </c>
      <c r="AY106" s="226">
        <f t="shared" si="50"/>
        <v>6377170.7999999998</v>
      </c>
      <c r="AZ106" s="226">
        <f t="shared" si="50"/>
        <v>6377170.7999999998</v>
      </c>
      <c r="BA106" s="226">
        <f t="shared" si="50"/>
        <v>6377170.7999999998</v>
      </c>
      <c r="BB106" s="226">
        <f t="shared" si="50"/>
        <v>6377170.7999999998</v>
      </c>
      <c r="BC106" s="224">
        <f>(4909000*1.092+400000*1.092)+(4909000*1.092+400000*1.092)*10%</f>
        <v>6377170.7999999998</v>
      </c>
      <c r="BD106" s="224">
        <f t="shared" si="51"/>
        <v>6377170.7999999998</v>
      </c>
      <c r="BE106" s="224">
        <f t="shared" si="51"/>
        <v>6377170.7999999998</v>
      </c>
      <c r="BF106" s="224">
        <f t="shared" si="51"/>
        <v>6377170.7999999998</v>
      </c>
      <c r="BG106" s="224">
        <f t="shared" si="51"/>
        <v>6377170.7999999998</v>
      </c>
      <c r="BH106" s="224">
        <f t="shared" si="51"/>
        <v>6377170.7999999998</v>
      </c>
      <c r="BI106" s="224">
        <f t="shared" si="51"/>
        <v>6377170.7999999998</v>
      </c>
      <c r="BJ106" s="224">
        <f t="shared" si="51"/>
        <v>6377170.7999999998</v>
      </c>
      <c r="BK106" s="224">
        <f t="shared" si="51"/>
        <v>6377170.7999999998</v>
      </c>
      <c r="BL106" s="224">
        <f t="shared" si="51"/>
        <v>6377170.7999999998</v>
      </c>
      <c r="BM106" s="224">
        <f t="shared" si="51"/>
        <v>6377170.7999999998</v>
      </c>
      <c r="BN106" s="224">
        <f t="shared" si="51"/>
        <v>6377170.7999999998</v>
      </c>
      <c r="BO106" s="224">
        <f t="shared" si="51"/>
        <v>6377170.7999999998</v>
      </c>
    </row>
    <row r="107" spans="1:67" ht="45">
      <c r="A107" s="223">
        <f t="shared" si="52"/>
        <v>4</v>
      </c>
      <c r="B107" s="228" t="s">
        <v>322</v>
      </c>
      <c r="C107" s="223">
        <v>105</v>
      </c>
      <c r="D107" s="224">
        <f>(6203000*1.092+400000*1.092)+(6203000*1.092+400000*1.092)*10%</f>
        <v>7931523.6000000015</v>
      </c>
      <c r="E107" s="225">
        <f t="shared" ref="E107:J111" si="53">D107</f>
        <v>7931523.6000000015</v>
      </c>
      <c r="F107" s="225">
        <f t="shared" si="53"/>
        <v>7931523.6000000015</v>
      </c>
      <c r="G107" s="225">
        <f t="shared" si="53"/>
        <v>7931523.6000000015</v>
      </c>
      <c r="H107" s="225">
        <f t="shared" si="53"/>
        <v>7931523.6000000015</v>
      </c>
      <c r="I107" s="225">
        <f t="shared" si="53"/>
        <v>7931523.6000000015</v>
      </c>
      <c r="J107" s="225">
        <f t="shared" si="53"/>
        <v>7931523.6000000015</v>
      </c>
      <c r="K107" s="237">
        <f t="shared" ref="K107:S107" si="54">J107</f>
        <v>7931523.6000000015</v>
      </c>
      <c r="L107" s="237">
        <f t="shared" si="54"/>
        <v>7931523.6000000015</v>
      </c>
      <c r="M107" s="237">
        <f t="shared" si="54"/>
        <v>7931523.6000000015</v>
      </c>
      <c r="N107" s="237">
        <f t="shared" si="54"/>
        <v>7931523.6000000015</v>
      </c>
      <c r="O107" s="237">
        <f t="shared" si="54"/>
        <v>7931523.6000000015</v>
      </c>
      <c r="P107" s="237">
        <f t="shared" si="54"/>
        <v>7931523.6000000015</v>
      </c>
      <c r="Q107" s="237">
        <f t="shared" si="54"/>
        <v>7931523.6000000015</v>
      </c>
      <c r="R107" s="237">
        <f t="shared" si="54"/>
        <v>7931523.6000000015</v>
      </c>
      <c r="S107" s="237">
        <f t="shared" si="54"/>
        <v>7931523.6000000015</v>
      </c>
      <c r="T107" s="224">
        <f>(6203000*1.092+400000*1.092)+(6203000*1.092+400000*1.092)*10%</f>
        <v>7931523.6000000015</v>
      </c>
      <c r="U107" s="224">
        <f t="shared" si="44"/>
        <v>7931523.6000000015</v>
      </c>
      <c r="V107" s="224">
        <f t="shared" si="44"/>
        <v>7931523.6000000015</v>
      </c>
      <c r="W107" s="224">
        <f t="shared" si="44"/>
        <v>7931523.6000000015</v>
      </c>
      <c r="X107" s="226">
        <f>(6203000*1.092+400000*1.092)+(6203000*1.092+400000*1.092)*10%</f>
        <v>7931523.6000000015</v>
      </c>
      <c r="Y107" s="226">
        <f t="shared" si="45"/>
        <v>7931523.6000000015</v>
      </c>
      <c r="Z107" s="226">
        <f t="shared" si="45"/>
        <v>7931523.6000000015</v>
      </c>
      <c r="AA107" s="224">
        <f>(6203000*1.092+400000*1.092)+(6203000*1.092+400000*1.092)*10%</f>
        <v>7931523.6000000015</v>
      </c>
      <c r="AB107" s="224">
        <f>(6203000*1.092+400000*1.092)+(6203000*1.092+400000*1.092)*10%</f>
        <v>7931523.6000000015</v>
      </c>
      <c r="AC107" s="224">
        <f>(6203000*1.092+400000*1.092)+(6203000*1.092+400000*1.092)*10%</f>
        <v>7931523.6000000015</v>
      </c>
      <c r="AD107" s="224">
        <f t="shared" si="46"/>
        <v>7931523.6000000015</v>
      </c>
      <c r="AE107" s="224">
        <f>(6203000*1.092+400000*1.092)+(6203000*1.092+400000*1.092)*10%</f>
        <v>7931523.6000000015</v>
      </c>
      <c r="AF107" s="224">
        <f>(6203000*1.092+400000*1.092)+(6203000*1.092+400000*1.092)*10%</f>
        <v>7931523.6000000015</v>
      </c>
      <c r="AG107" s="224">
        <f t="shared" si="47"/>
        <v>7931523.6000000015</v>
      </c>
      <c r="AH107" s="226">
        <f>(6203000*1.092+400000*1.092)+(6203000*1.092+400000*1.092)*10%</f>
        <v>7931523.6000000015</v>
      </c>
      <c r="AI107" s="226">
        <f t="shared" si="48"/>
        <v>7931523.6000000015</v>
      </c>
      <c r="AJ107" s="226">
        <f t="shared" si="48"/>
        <v>7931523.6000000015</v>
      </c>
      <c r="AK107" s="226">
        <f t="shared" si="48"/>
        <v>7931523.6000000015</v>
      </c>
      <c r="AL107" s="226">
        <f t="shared" si="48"/>
        <v>7931523.6000000015</v>
      </c>
      <c r="AM107" s="226">
        <f t="shared" si="48"/>
        <v>7931523.6000000015</v>
      </c>
      <c r="AN107" s="235">
        <f>(6203000*1.092+400000*1.092)+(6203000*1.092+400000*1.092)*10%</f>
        <v>7931523.6000000015</v>
      </c>
      <c r="AO107" s="235">
        <f t="shared" si="49"/>
        <v>7931523.6000000015</v>
      </c>
      <c r="AP107" s="235">
        <f t="shared" si="49"/>
        <v>7931523.6000000015</v>
      </c>
      <c r="AQ107" s="236">
        <f t="shared" si="49"/>
        <v>7931523.6000000015</v>
      </c>
      <c r="AR107" s="236">
        <f t="shared" si="49"/>
        <v>7931523.6000000015</v>
      </c>
      <c r="AS107" s="236">
        <f t="shared" si="49"/>
        <v>7931523.6000000015</v>
      </c>
      <c r="AT107" s="236">
        <f t="shared" si="49"/>
        <v>7931523.6000000015</v>
      </c>
      <c r="AU107" s="236">
        <f t="shared" si="49"/>
        <v>7931523.6000000015</v>
      </c>
      <c r="AV107" s="236">
        <f t="shared" si="49"/>
        <v>7931523.6000000015</v>
      </c>
      <c r="AW107" s="226">
        <f>(6203000*1.092+400000*1.092)+(6203000*1.092+400000*1.092)*10%</f>
        <v>7931523.6000000015</v>
      </c>
      <c r="AX107" s="226">
        <f t="shared" si="50"/>
        <v>7931523.6000000015</v>
      </c>
      <c r="AY107" s="226">
        <f t="shared" si="50"/>
        <v>7931523.6000000015</v>
      </c>
      <c r="AZ107" s="226">
        <f t="shared" si="50"/>
        <v>7931523.6000000015</v>
      </c>
      <c r="BA107" s="226">
        <f t="shared" si="50"/>
        <v>7931523.6000000015</v>
      </c>
      <c r="BB107" s="226">
        <f t="shared" si="50"/>
        <v>7931523.6000000015</v>
      </c>
      <c r="BC107" s="224">
        <f>(6203000*1.092+400000*1.092)+(6203000*1.092+400000*1.092)*10%</f>
        <v>7931523.6000000015</v>
      </c>
      <c r="BD107" s="224">
        <f t="shared" si="51"/>
        <v>7931523.6000000015</v>
      </c>
      <c r="BE107" s="224">
        <f t="shared" si="51"/>
        <v>7931523.6000000015</v>
      </c>
      <c r="BF107" s="224">
        <f t="shared" si="51"/>
        <v>7931523.6000000015</v>
      </c>
      <c r="BG107" s="224">
        <f t="shared" si="51"/>
        <v>7931523.6000000015</v>
      </c>
      <c r="BH107" s="224">
        <f t="shared" si="51"/>
        <v>7931523.6000000015</v>
      </c>
      <c r="BI107" s="224">
        <f t="shared" si="51"/>
        <v>7931523.6000000015</v>
      </c>
      <c r="BJ107" s="224">
        <f t="shared" si="51"/>
        <v>7931523.6000000015</v>
      </c>
      <c r="BK107" s="224">
        <f t="shared" si="51"/>
        <v>7931523.6000000015</v>
      </c>
      <c r="BL107" s="224">
        <f t="shared" si="51"/>
        <v>7931523.6000000015</v>
      </c>
      <c r="BM107" s="224">
        <f t="shared" si="51"/>
        <v>7931523.6000000015</v>
      </c>
      <c r="BN107" s="224">
        <f t="shared" si="51"/>
        <v>7931523.6000000015</v>
      </c>
      <c r="BO107" s="224">
        <f t="shared" si="51"/>
        <v>7931523.6000000015</v>
      </c>
    </row>
    <row r="108" spans="1:67" ht="45">
      <c r="A108" s="223">
        <f t="shared" si="52"/>
        <v>5</v>
      </c>
      <c r="B108" s="228" t="s">
        <v>323</v>
      </c>
      <c r="C108" s="223">
        <v>106</v>
      </c>
      <c r="D108" s="224">
        <f>(11324000*1.092+1300000*1.092)+(11324000*1.092+1300000*1.092)*10%</f>
        <v>15163948.800000001</v>
      </c>
      <c r="E108" s="225">
        <f t="shared" si="53"/>
        <v>15163948.800000001</v>
      </c>
      <c r="F108" s="225">
        <f t="shared" si="53"/>
        <v>15163948.800000001</v>
      </c>
      <c r="G108" s="225">
        <f t="shared" si="53"/>
        <v>15163948.800000001</v>
      </c>
      <c r="H108" s="225">
        <f t="shared" si="53"/>
        <v>15163948.800000001</v>
      </c>
      <c r="I108" s="225">
        <f t="shared" si="53"/>
        <v>15163948.800000001</v>
      </c>
      <c r="J108" s="225">
        <f t="shared" si="53"/>
        <v>15163948.800000001</v>
      </c>
      <c r="K108" s="237">
        <f t="shared" ref="K108:S108" si="55">J108</f>
        <v>15163948.800000001</v>
      </c>
      <c r="L108" s="237">
        <f t="shared" si="55"/>
        <v>15163948.800000001</v>
      </c>
      <c r="M108" s="237">
        <f t="shared" si="55"/>
        <v>15163948.800000001</v>
      </c>
      <c r="N108" s="237">
        <f t="shared" si="55"/>
        <v>15163948.800000001</v>
      </c>
      <c r="O108" s="237">
        <f t="shared" si="55"/>
        <v>15163948.800000001</v>
      </c>
      <c r="P108" s="237">
        <f t="shared" si="55"/>
        <v>15163948.800000001</v>
      </c>
      <c r="Q108" s="237">
        <f t="shared" si="55"/>
        <v>15163948.800000001</v>
      </c>
      <c r="R108" s="237">
        <f t="shared" si="55"/>
        <v>15163948.800000001</v>
      </c>
      <c r="S108" s="237">
        <f t="shared" si="55"/>
        <v>15163948.800000001</v>
      </c>
      <c r="T108" s="224">
        <f>(11324000*1.092+1300000*1.092)+(11324000*1.092+1300000*1.092)*10%</f>
        <v>15163948.800000001</v>
      </c>
      <c r="U108" s="224">
        <f t="shared" si="44"/>
        <v>15163948.800000001</v>
      </c>
      <c r="V108" s="224">
        <f t="shared" si="44"/>
        <v>15163948.800000001</v>
      </c>
      <c r="W108" s="224">
        <f t="shared" si="44"/>
        <v>15163948.800000001</v>
      </c>
      <c r="X108" s="226">
        <f>(11324000*1.092+1300000*1.092)+(11324000*1.092+1300000*1.092)*10%</f>
        <v>15163948.800000001</v>
      </c>
      <c r="Y108" s="226">
        <f t="shared" si="45"/>
        <v>15163948.800000001</v>
      </c>
      <c r="Z108" s="226">
        <f t="shared" si="45"/>
        <v>15163948.800000001</v>
      </c>
      <c r="AA108" s="224">
        <f>(11324000*1.092+1300000*1.092)+(11324000*1.092+1300000*1.092)*10%</f>
        <v>15163948.800000001</v>
      </c>
      <c r="AB108" s="224">
        <f>(11324000*1.092+1300000*1.092)+(11324000*1.092+1300000*1.092)*10%</f>
        <v>15163948.800000001</v>
      </c>
      <c r="AC108" s="224">
        <f>(11324000*1.092+1300000*1.092)+(11324000*1.092+1300000*1.092)*10%</f>
        <v>15163948.800000001</v>
      </c>
      <c r="AD108" s="224">
        <f t="shared" si="46"/>
        <v>15163948.800000001</v>
      </c>
      <c r="AE108" s="224">
        <f>(11324000*1.092+1300000*1.092)+(11324000*1.092+1300000*1.092)*10%</f>
        <v>15163948.800000001</v>
      </c>
      <c r="AF108" s="224">
        <f>(11324000*1.092+1300000*1.092)+(11324000*1.092+1300000*1.092)*10%</f>
        <v>15163948.800000001</v>
      </c>
      <c r="AG108" s="224">
        <f t="shared" si="47"/>
        <v>15163948.800000001</v>
      </c>
      <c r="AH108" s="226">
        <f>(11324000*1.092+1300000*1.092)+(11324000*1.092+1300000*1.092)*10%</f>
        <v>15163948.800000001</v>
      </c>
      <c r="AI108" s="226">
        <f t="shared" si="48"/>
        <v>15163948.800000001</v>
      </c>
      <c r="AJ108" s="226">
        <f t="shared" si="48"/>
        <v>15163948.800000001</v>
      </c>
      <c r="AK108" s="226">
        <f t="shared" si="48"/>
        <v>15163948.800000001</v>
      </c>
      <c r="AL108" s="226">
        <f t="shared" si="48"/>
        <v>15163948.800000001</v>
      </c>
      <c r="AM108" s="226">
        <f t="shared" si="48"/>
        <v>15163948.800000001</v>
      </c>
      <c r="AN108" s="235">
        <f>(11324000*1.092+1300000*1.092)+(11324000*1.092+1300000*1.092)*10%</f>
        <v>15163948.800000001</v>
      </c>
      <c r="AO108" s="235">
        <f t="shared" si="49"/>
        <v>15163948.800000001</v>
      </c>
      <c r="AP108" s="235">
        <f t="shared" si="49"/>
        <v>15163948.800000001</v>
      </c>
      <c r="AQ108" s="236">
        <f t="shared" si="49"/>
        <v>15163948.800000001</v>
      </c>
      <c r="AR108" s="236">
        <f t="shared" si="49"/>
        <v>15163948.800000001</v>
      </c>
      <c r="AS108" s="236">
        <f t="shared" si="49"/>
        <v>15163948.800000001</v>
      </c>
      <c r="AT108" s="236">
        <f t="shared" si="49"/>
        <v>15163948.800000001</v>
      </c>
      <c r="AU108" s="236">
        <f t="shared" si="49"/>
        <v>15163948.800000001</v>
      </c>
      <c r="AV108" s="236">
        <f t="shared" si="49"/>
        <v>15163948.800000001</v>
      </c>
      <c r="AW108" s="226">
        <f>(11324000*1.092+1300000*1.092)+(11324000*1.092+1300000*1.092)*10%</f>
        <v>15163948.800000001</v>
      </c>
      <c r="AX108" s="226">
        <f t="shared" si="50"/>
        <v>15163948.800000001</v>
      </c>
      <c r="AY108" s="226">
        <f t="shared" si="50"/>
        <v>15163948.800000001</v>
      </c>
      <c r="AZ108" s="226">
        <f t="shared" si="50"/>
        <v>15163948.800000001</v>
      </c>
      <c r="BA108" s="226">
        <f t="shared" si="50"/>
        <v>15163948.800000001</v>
      </c>
      <c r="BB108" s="226">
        <f t="shared" si="50"/>
        <v>15163948.800000001</v>
      </c>
      <c r="BC108" s="224">
        <f>(11324000*1.092+1300000*1.092)+(11324000*1.092+1300000*1.092)*10%</f>
        <v>15163948.800000001</v>
      </c>
      <c r="BD108" s="224">
        <f t="shared" si="51"/>
        <v>15163948.800000001</v>
      </c>
      <c r="BE108" s="224">
        <f t="shared" si="51"/>
        <v>15163948.800000001</v>
      </c>
      <c r="BF108" s="224">
        <f t="shared" si="51"/>
        <v>15163948.800000001</v>
      </c>
      <c r="BG108" s="224">
        <f t="shared" si="51"/>
        <v>15163948.800000001</v>
      </c>
      <c r="BH108" s="224">
        <f t="shared" si="51"/>
        <v>15163948.800000001</v>
      </c>
      <c r="BI108" s="224">
        <f t="shared" si="51"/>
        <v>15163948.800000001</v>
      </c>
      <c r="BJ108" s="224">
        <f t="shared" si="51"/>
        <v>15163948.800000001</v>
      </c>
      <c r="BK108" s="224">
        <f t="shared" si="51"/>
        <v>15163948.800000001</v>
      </c>
      <c r="BL108" s="224">
        <f t="shared" si="51"/>
        <v>15163948.800000001</v>
      </c>
      <c r="BM108" s="224">
        <f t="shared" si="51"/>
        <v>15163948.800000001</v>
      </c>
      <c r="BN108" s="224">
        <f t="shared" si="51"/>
        <v>15163948.800000001</v>
      </c>
      <c r="BO108" s="224">
        <f t="shared" si="51"/>
        <v>15163948.800000001</v>
      </c>
    </row>
    <row r="109" spans="1:67" ht="45">
      <c r="A109" s="223">
        <f t="shared" si="52"/>
        <v>6</v>
      </c>
      <c r="B109" s="228" t="s">
        <v>324</v>
      </c>
      <c r="C109" s="223">
        <v>107</v>
      </c>
      <c r="D109" s="224">
        <f>(15366000*1.092+1300000*1.092)+(15366000*1.092+1300000*1.092)*10%</f>
        <v>20019199.199999999</v>
      </c>
      <c r="E109" s="225">
        <f t="shared" si="53"/>
        <v>20019199.199999999</v>
      </c>
      <c r="F109" s="225">
        <f t="shared" si="53"/>
        <v>20019199.199999999</v>
      </c>
      <c r="G109" s="225">
        <f t="shared" si="53"/>
        <v>20019199.199999999</v>
      </c>
      <c r="H109" s="225">
        <f t="shared" si="53"/>
        <v>20019199.199999999</v>
      </c>
      <c r="I109" s="225">
        <f t="shared" si="53"/>
        <v>20019199.199999999</v>
      </c>
      <c r="J109" s="225">
        <f t="shared" si="53"/>
        <v>20019199.199999999</v>
      </c>
      <c r="K109" s="237">
        <f t="shared" ref="K109:S109" si="56">J109</f>
        <v>20019199.199999999</v>
      </c>
      <c r="L109" s="237">
        <f t="shared" si="56"/>
        <v>20019199.199999999</v>
      </c>
      <c r="M109" s="237">
        <f t="shared" si="56"/>
        <v>20019199.199999999</v>
      </c>
      <c r="N109" s="237">
        <f t="shared" si="56"/>
        <v>20019199.199999999</v>
      </c>
      <c r="O109" s="237">
        <f t="shared" si="56"/>
        <v>20019199.199999999</v>
      </c>
      <c r="P109" s="237">
        <f t="shared" si="56"/>
        <v>20019199.199999999</v>
      </c>
      <c r="Q109" s="237">
        <f t="shared" si="56"/>
        <v>20019199.199999999</v>
      </c>
      <c r="R109" s="237">
        <f t="shared" si="56"/>
        <v>20019199.199999999</v>
      </c>
      <c r="S109" s="237">
        <f t="shared" si="56"/>
        <v>20019199.199999999</v>
      </c>
      <c r="T109" s="224">
        <f>(15366000*1.092+1300000*1.092)+(15366000*1.092+1300000*1.092)*10%</f>
        <v>20019199.199999999</v>
      </c>
      <c r="U109" s="224">
        <f t="shared" si="44"/>
        <v>20019199.199999999</v>
      </c>
      <c r="V109" s="224">
        <f t="shared" si="44"/>
        <v>20019199.199999999</v>
      </c>
      <c r="W109" s="224">
        <f t="shared" si="44"/>
        <v>20019199.199999999</v>
      </c>
      <c r="X109" s="226">
        <f>(15366000*1.092+1300000*1.092)+(15366000*1.092+1300000*1.092)*10%</f>
        <v>20019199.199999999</v>
      </c>
      <c r="Y109" s="226">
        <f t="shared" ref="Y109:Z131" si="57">X109</f>
        <v>20019199.199999999</v>
      </c>
      <c r="Z109" s="226">
        <f t="shared" si="57"/>
        <v>20019199.199999999</v>
      </c>
      <c r="AA109" s="224">
        <f>(15366000*1.092+1300000*1.092)+(15366000*1.092+1300000*1.092)*10%</f>
        <v>20019199.199999999</v>
      </c>
      <c r="AB109" s="224">
        <f>(15366000*1.092+1300000*1.092)+(15366000*1.092+1300000*1.092)*10%</f>
        <v>20019199.199999999</v>
      </c>
      <c r="AC109" s="224">
        <f>(15366000*1.092+1300000*1.092)+(15366000*1.092+1300000*1.092)*10%</f>
        <v>20019199.199999999</v>
      </c>
      <c r="AD109" s="224">
        <f t="shared" si="46"/>
        <v>20019199.199999999</v>
      </c>
      <c r="AE109" s="224">
        <f>(15366000*1.092+1300000*1.092)+(15366000*1.092+1300000*1.092)*10%</f>
        <v>20019199.199999999</v>
      </c>
      <c r="AF109" s="224">
        <f>(15366000*1.092+1300000*1.092)+(15366000*1.092+1300000*1.092)*10%</f>
        <v>20019199.199999999</v>
      </c>
      <c r="AG109" s="224">
        <f t="shared" si="47"/>
        <v>20019199.199999999</v>
      </c>
      <c r="AH109" s="226">
        <f>(15366000*1.092+1300000*1.092)+(15366000*1.092+1300000*1.092)*10%</f>
        <v>20019199.199999999</v>
      </c>
      <c r="AI109" s="226">
        <f t="shared" ref="AI109:AM114" si="58">AH109</f>
        <v>20019199.199999999</v>
      </c>
      <c r="AJ109" s="226">
        <f t="shared" si="58"/>
        <v>20019199.199999999</v>
      </c>
      <c r="AK109" s="226">
        <f t="shared" si="58"/>
        <v>20019199.199999999</v>
      </c>
      <c r="AL109" s="226">
        <f t="shared" si="58"/>
        <v>20019199.199999999</v>
      </c>
      <c r="AM109" s="226">
        <f t="shared" si="58"/>
        <v>20019199.199999999</v>
      </c>
      <c r="AN109" s="235">
        <f>(15366000*1.092+1300000*1.092)+(15366000*1.092+1300000*1.092)*10%</f>
        <v>20019199.199999999</v>
      </c>
      <c r="AO109" s="235">
        <f t="shared" ref="AO109:AV131" si="59">AN109</f>
        <v>20019199.199999999</v>
      </c>
      <c r="AP109" s="235">
        <f t="shared" si="59"/>
        <v>20019199.199999999</v>
      </c>
      <c r="AQ109" s="236">
        <f t="shared" si="59"/>
        <v>20019199.199999999</v>
      </c>
      <c r="AR109" s="236">
        <f t="shared" si="59"/>
        <v>20019199.199999999</v>
      </c>
      <c r="AS109" s="236">
        <f t="shared" si="59"/>
        <v>20019199.199999999</v>
      </c>
      <c r="AT109" s="236">
        <f t="shared" si="59"/>
        <v>20019199.199999999</v>
      </c>
      <c r="AU109" s="236">
        <f t="shared" si="59"/>
        <v>20019199.199999999</v>
      </c>
      <c r="AV109" s="236">
        <f t="shared" si="59"/>
        <v>20019199.199999999</v>
      </c>
      <c r="AW109" s="226">
        <f>(15366000*1.092+1300000*1.092)+(15366000*1.092+1300000*1.092)*10%</f>
        <v>20019199.199999999</v>
      </c>
      <c r="AX109" s="226">
        <f t="shared" si="50"/>
        <v>20019199.199999999</v>
      </c>
      <c r="AY109" s="226">
        <f t="shared" si="50"/>
        <v>20019199.199999999</v>
      </c>
      <c r="AZ109" s="226">
        <f t="shared" si="50"/>
        <v>20019199.199999999</v>
      </c>
      <c r="BA109" s="226">
        <f t="shared" si="50"/>
        <v>20019199.199999999</v>
      </c>
      <c r="BB109" s="226">
        <f t="shared" si="50"/>
        <v>20019199.199999999</v>
      </c>
      <c r="BC109" s="224">
        <f>(15366000*1.092+1300000*1.092)+(15366000*1.092+1300000*1.092)*10%</f>
        <v>20019199.199999999</v>
      </c>
      <c r="BD109" s="224">
        <f t="shared" si="51"/>
        <v>20019199.199999999</v>
      </c>
      <c r="BE109" s="224">
        <f t="shared" si="51"/>
        <v>20019199.199999999</v>
      </c>
      <c r="BF109" s="224">
        <f t="shared" si="51"/>
        <v>20019199.199999999</v>
      </c>
      <c r="BG109" s="224">
        <f t="shared" si="51"/>
        <v>20019199.199999999</v>
      </c>
      <c r="BH109" s="224">
        <f t="shared" si="51"/>
        <v>20019199.199999999</v>
      </c>
      <c r="BI109" s="224">
        <f t="shared" si="51"/>
        <v>20019199.199999999</v>
      </c>
      <c r="BJ109" s="224">
        <f t="shared" si="51"/>
        <v>20019199.199999999</v>
      </c>
      <c r="BK109" s="224">
        <f t="shared" si="51"/>
        <v>20019199.199999999</v>
      </c>
      <c r="BL109" s="224">
        <f t="shared" si="51"/>
        <v>20019199.199999999</v>
      </c>
      <c r="BM109" s="224">
        <f t="shared" si="51"/>
        <v>20019199.199999999</v>
      </c>
      <c r="BN109" s="224">
        <f t="shared" si="51"/>
        <v>20019199.199999999</v>
      </c>
      <c r="BO109" s="224">
        <f t="shared" si="51"/>
        <v>20019199.199999999</v>
      </c>
    </row>
    <row r="110" spans="1:67" ht="30">
      <c r="A110" s="223">
        <f t="shared" si="52"/>
        <v>7</v>
      </c>
      <c r="B110" s="228" t="s">
        <v>307</v>
      </c>
      <c r="C110" s="223">
        <v>108</v>
      </c>
      <c r="D110" s="227">
        <f>11797500*1.2+10000000</f>
        <v>24157000</v>
      </c>
      <c r="E110" s="225">
        <f t="shared" si="53"/>
        <v>24157000</v>
      </c>
      <c r="F110" s="225">
        <f t="shared" si="53"/>
        <v>24157000</v>
      </c>
      <c r="G110" s="225">
        <f t="shared" si="53"/>
        <v>24157000</v>
      </c>
      <c r="H110" s="225">
        <f t="shared" si="53"/>
        <v>24157000</v>
      </c>
      <c r="I110" s="225">
        <f t="shared" si="53"/>
        <v>24157000</v>
      </c>
      <c r="J110" s="225">
        <f t="shared" si="53"/>
        <v>24157000</v>
      </c>
      <c r="K110" s="237">
        <f t="shared" ref="K110:S110" si="60">J110</f>
        <v>24157000</v>
      </c>
      <c r="L110" s="237">
        <f t="shared" si="60"/>
        <v>24157000</v>
      </c>
      <c r="M110" s="237">
        <f t="shared" si="60"/>
        <v>24157000</v>
      </c>
      <c r="N110" s="237">
        <f t="shared" si="60"/>
        <v>24157000</v>
      </c>
      <c r="O110" s="237">
        <f t="shared" si="60"/>
        <v>24157000</v>
      </c>
      <c r="P110" s="237">
        <f t="shared" si="60"/>
        <v>24157000</v>
      </c>
      <c r="Q110" s="237">
        <f t="shared" si="60"/>
        <v>24157000</v>
      </c>
      <c r="R110" s="237">
        <f t="shared" si="60"/>
        <v>24157000</v>
      </c>
      <c r="S110" s="237">
        <f t="shared" si="60"/>
        <v>24157000</v>
      </c>
      <c r="T110" s="227">
        <f>11797500*1.2+10000000</f>
        <v>24157000</v>
      </c>
      <c r="U110" s="224">
        <f t="shared" ref="U110:W114" si="61">T110</f>
        <v>24157000</v>
      </c>
      <c r="V110" s="224">
        <f t="shared" si="61"/>
        <v>24157000</v>
      </c>
      <c r="W110" s="224">
        <f t="shared" si="61"/>
        <v>24157000</v>
      </c>
      <c r="X110" s="226">
        <f>11797500*1.2+10000000</f>
        <v>24157000</v>
      </c>
      <c r="Y110" s="226">
        <f t="shared" si="57"/>
        <v>24157000</v>
      </c>
      <c r="Z110" s="226">
        <f t="shared" si="57"/>
        <v>24157000</v>
      </c>
      <c r="AA110" s="227">
        <f>11797500*1.2+10000000</f>
        <v>24157000</v>
      </c>
      <c r="AB110" s="227">
        <f>11797500*1.2+10000000</f>
        <v>24157000</v>
      </c>
      <c r="AC110" s="227">
        <f>11797500*1.2+10000000</f>
        <v>24157000</v>
      </c>
      <c r="AD110" s="224">
        <f t="shared" si="46"/>
        <v>24157000</v>
      </c>
      <c r="AE110" s="227">
        <f>11797500*1.2+10000000</f>
        <v>24157000</v>
      </c>
      <c r="AF110" s="227">
        <f>11797500*1.2+10000000</f>
        <v>24157000</v>
      </c>
      <c r="AG110" s="224">
        <f t="shared" si="47"/>
        <v>24157000</v>
      </c>
      <c r="AH110" s="226">
        <f>11797500*1.2+10000000</f>
        <v>24157000</v>
      </c>
      <c r="AI110" s="226">
        <f t="shared" si="58"/>
        <v>24157000</v>
      </c>
      <c r="AJ110" s="226">
        <f t="shared" si="58"/>
        <v>24157000</v>
      </c>
      <c r="AK110" s="226">
        <f t="shared" si="58"/>
        <v>24157000</v>
      </c>
      <c r="AL110" s="226">
        <f t="shared" si="58"/>
        <v>24157000</v>
      </c>
      <c r="AM110" s="226">
        <f t="shared" si="58"/>
        <v>24157000</v>
      </c>
      <c r="AN110" s="235">
        <f>11797500*1.2+10000000</f>
        <v>24157000</v>
      </c>
      <c r="AO110" s="235">
        <f t="shared" si="59"/>
        <v>24157000</v>
      </c>
      <c r="AP110" s="235">
        <f t="shared" si="59"/>
        <v>24157000</v>
      </c>
      <c r="AQ110" s="236">
        <f t="shared" si="59"/>
        <v>24157000</v>
      </c>
      <c r="AR110" s="236">
        <f t="shared" si="59"/>
        <v>24157000</v>
      </c>
      <c r="AS110" s="236">
        <f t="shared" si="59"/>
        <v>24157000</v>
      </c>
      <c r="AT110" s="236">
        <f t="shared" si="59"/>
        <v>24157000</v>
      </c>
      <c r="AU110" s="236">
        <f t="shared" si="59"/>
        <v>24157000</v>
      </c>
      <c r="AV110" s="236">
        <f t="shared" si="59"/>
        <v>24157000</v>
      </c>
      <c r="AW110" s="243">
        <f>11797500*1.2+10000000</f>
        <v>24157000</v>
      </c>
      <c r="AX110" s="226">
        <f t="shared" ref="AX110:BB114" si="62">AW110</f>
        <v>24157000</v>
      </c>
      <c r="AY110" s="226">
        <f t="shared" si="62"/>
        <v>24157000</v>
      </c>
      <c r="AZ110" s="226">
        <f t="shared" si="62"/>
        <v>24157000</v>
      </c>
      <c r="BA110" s="226">
        <f t="shared" si="62"/>
        <v>24157000</v>
      </c>
      <c r="BB110" s="226">
        <f t="shared" si="62"/>
        <v>24157000</v>
      </c>
      <c r="BC110" s="227">
        <f>11797500*1.2+10000000</f>
        <v>24157000</v>
      </c>
      <c r="BD110" s="224">
        <f t="shared" ref="BD110:BO132" si="63">BC110</f>
        <v>24157000</v>
      </c>
      <c r="BE110" s="224">
        <f t="shared" si="63"/>
        <v>24157000</v>
      </c>
      <c r="BF110" s="224">
        <f t="shared" si="63"/>
        <v>24157000</v>
      </c>
      <c r="BG110" s="224">
        <f t="shared" si="63"/>
        <v>24157000</v>
      </c>
      <c r="BH110" s="224">
        <f t="shared" si="63"/>
        <v>24157000</v>
      </c>
      <c r="BI110" s="224">
        <f t="shared" si="63"/>
        <v>24157000</v>
      </c>
      <c r="BJ110" s="224">
        <f t="shared" si="63"/>
        <v>24157000</v>
      </c>
      <c r="BK110" s="224">
        <f t="shared" si="63"/>
        <v>24157000</v>
      </c>
      <c r="BL110" s="224">
        <f t="shared" si="63"/>
        <v>24157000</v>
      </c>
      <c r="BM110" s="224">
        <f t="shared" si="63"/>
        <v>24157000</v>
      </c>
      <c r="BN110" s="224">
        <f t="shared" si="63"/>
        <v>24157000</v>
      </c>
      <c r="BO110" s="224">
        <f t="shared" si="63"/>
        <v>24157000</v>
      </c>
    </row>
    <row r="111" spans="1:67" ht="30">
      <c r="A111" s="223">
        <f t="shared" si="52"/>
        <v>8</v>
      </c>
      <c r="B111" s="228" t="s">
        <v>308</v>
      </c>
      <c r="C111" s="223">
        <v>109</v>
      </c>
      <c r="D111" s="227">
        <f>15015000*1.3+10000000</f>
        <v>29519500</v>
      </c>
      <c r="E111" s="225">
        <f t="shared" si="53"/>
        <v>29519500</v>
      </c>
      <c r="F111" s="225">
        <f t="shared" si="53"/>
        <v>29519500</v>
      </c>
      <c r="G111" s="225">
        <f t="shared" si="53"/>
        <v>29519500</v>
      </c>
      <c r="H111" s="225">
        <f t="shared" si="53"/>
        <v>29519500</v>
      </c>
      <c r="I111" s="225">
        <f t="shared" si="53"/>
        <v>29519500</v>
      </c>
      <c r="J111" s="225">
        <f t="shared" si="53"/>
        <v>29519500</v>
      </c>
      <c r="K111" s="237">
        <f t="shared" ref="K111:S111" si="64">J111</f>
        <v>29519500</v>
      </c>
      <c r="L111" s="237">
        <f t="shared" si="64"/>
        <v>29519500</v>
      </c>
      <c r="M111" s="237">
        <f t="shared" si="64"/>
        <v>29519500</v>
      </c>
      <c r="N111" s="237">
        <f t="shared" si="64"/>
        <v>29519500</v>
      </c>
      <c r="O111" s="237">
        <f t="shared" si="64"/>
        <v>29519500</v>
      </c>
      <c r="P111" s="237">
        <f t="shared" si="64"/>
        <v>29519500</v>
      </c>
      <c r="Q111" s="237">
        <f t="shared" si="64"/>
        <v>29519500</v>
      </c>
      <c r="R111" s="237">
        <f t="shared" si="64"/>
        <v>29519500</v>
      </c>
      <c r="S111" s="237">
        <f t="shared" si="64"/>
        <v>29519500</v>
      </c>
      <c r="T111" s="227">
        <f>15015000*1.3+10000000</f>
        <v>29519500</v>
      </c>
      <c r="U111" s="224">
        <f t="shared" si="61"/>
        <v>29519500</v>
      </c>
      <c r="V111" s="224">
        <f t="shared" si="61"/>
        <v>29519500</v>
      </c>
      <c r="W111" s="224">
        <f t="shared" si="61"/>
        <v>29519500</v>
      </c>
      <c r="X111" s="226">
        <f>15015000*1.3+10000000</f>
        <v>29519500</v>
      </c>
      <c r="Y111" s="226">
        <f t="shared" si="57"/>
        <v>29519500</v>
      </c>
      <c r="Z111" s="226">
        <f t="shared" si="57"/>
        <v>29519500</v>
      </c>
      <c r="AA111" s="227">
        <f>15015000*1.3+10000000</f>
        <v>29519500</v>
      </c>
      <c r="AB111" s="227">
        <f>15015000*1.3+10000000</f>
        <v>29519500</v>
      </c>
      <c r="AC111" s="227">
        <f>15015000*1.3+10000000</f>
        <v>29519500</v>
      </c>
      <c r="AD111" s="224">
        <f t="shared" si="46"/>
        <v>29519500</v>
      </c>
      <c r="AE111" s="227">
        <f>15015000*1.3+10000000</f>
        <v>29519500</v>
      </c>
      <c r="AF111" s="227">
        <f>15015000*1.3+10000000</f>
        <v>29519500</v>
      </c>
      <c r="AG111" s="224">
        <f t="shared" si="47"/>
        <v>29519500</v>
      </c>
      <c r="AH111" s="226">
        <f>15015000*1.3+10000000</f>
        <v>29519500</v>
      </c>
      <c r="AI111" s="226">
        <f t="shared" si="58"/>
        <v>29519500</v>
      </c>
      <c r="AJ111" s="226">
        <f t="shared" si="58"/>
        <v>29519500</v>
      </c>
      <c r="AK111" s="226">
        <f t="shared" si="58"/>
        <v>29519500</v>
      </c>
      <c r="AL111" s="226">
        <f t="shared" si="58"/>
        <v>29519500</v>
      </c>
      <c r="AM111" s="226">
        <f t="shared" si="58"/>
        <v>29519500</v>
      </c>
      <c r="AN111" s="235">
        <f>15015000*1.3+10000000</f>
        <v>29519500</v>
      </c>
      <c r="AO111" s="235">
        <f t="shared" si="59"/>
        <v>29519500</v>
      </c>
      <c r="AP111" s="235">
        <f t="shared" si="59"/>
        <v>29519500</v>
      </c>
      <c r="AQ111" s="236">
        <f t="shared" si="59"/>
        <v>29519500</v>
      </c>
      <c r="AR111" s="236">
        <f t="shared" si="59"/>
        <v>29519500</v>
      </c>
      <c r="AS111" s="236">
        <f t="shared" si="59"/>
        <v>29519500</v>
      </c>
      <c r="AT111" s="236">
        <f t="shared" si="59"/>
        <v>29519500</v>
      </c>
      <c r="AU111" s="236">
        <f t="shared" si="59"/>
        <v>29519500</v>
      </c>
      <c r="AV111" s="236">
        <f t="shared" si="59"/>
        <v>29519500</v>
      </c>
      <c r="AW111" s="243">
        <f>15015000*1.3+10000000</f>
        <v>29519500</v>
      </c>
      <c r="AX111" s="226">
        <f t="shared" si="62"/>
        <v>29519500</v>
      </c>
      <c r="AY111" s="226">
        <f t="shared" si="62"/>
        <v>29519500</v>
      </c>
      <c r="AZ111" s="226">
        <f t="shared" si="62"/>
        <v>29519500</v>
      </c>
      <c r="BA111" s="226">
        <f t="shared" si="62"/>
        <v>29519500</v>
      </c>
      <c r="BB111" s="226">
        <f t="shared" si="62"/>
        <v>29519500</v>
      </c>
      <c r="BC111" s="227">
        <f>15015000*1.3+10000000</f>
        <v>29519500</v>
      </c>
      <c r="BD111" s="224">
        <f t="shared" si="63"/>
        <v>29519500</v>
      </c>
      <c r="BE111" s="224">
        <f t="shared" si="63"/>
        <v>29519500</v>
      </c>
      <c r="BF111" s="224">
        <f t="shared" si="63"/>
        <v>29519500</v>
      </c>
      <c r="BG111" s="224">
        <f t="shared" si="63"/>
        <v>29519500</v>
      </c>
      <c r="BH111" s="224">
        <f t="shared" si="63"/>
        <v>29519500</v>
      </c>
      <c r="BI111" s="224">
        <f t="shared" si="63"/>
        <v>29519500</v>
      </c>
      <c r="BJ111" s="224">
        <f t="shared" si="63"/>
        <v>29519500</v>
      </c>
      <c r="BK111" s="224">
        <f t="shared" si="63"/>
        <v>29519500</v>
      </c>
      <c r="BL111" s="224">
        <f t="shared" si="63"/>
        <v>29519500</v>
      </c>
      <c r="BM111" s="224">
        <f t="shared" si="63"/>
        <v>29519500</v>
      </c>
      <c r="BN111" s="224">
        <f t="shared" si="63"/>
        <v>29519500</v>
      </c>
      <c r="BO111" s="224">
        <f t="shared" si="63"/>
        <v>29519500</v>
      </c>
    </row>
    <row r="112" spans="1:67">
      <c r="A112" s="223"/>
      <c r="B112" s="230" t="s">
        <v>325</v>
      </c>
      <c r="C112" s="223">
        <v>110</v>
      </c>
      <c r="D112" s="227"/>
      <c r="E112" s="225"/>
      <c r="F112" s="225"/>
      <c r="G112" s="225"/>
      <c r="H112" s="225"/>
      <c r="I112" s="225"/>
      <c r="J112" s="225"/>
      <c r="K112" s="237"/>
      <c r="L112" s="237"/>
      <c r="M112" s="237"/>
      <c r="N112" s="237"/>
      <c r="O112" s="237"/>
      <c r="P112" s="237"/>
      <c r="Q112" s="237"/>
      <c r="R112" s="237"/>
      <c r="S112" s="237"/>
      <c r="T112" s="224"/>
      <c r="U112" s="224">
        <f t="shared" si="61"/>
        <v>0</v>
      </c>
      <c r="V112" s="224">
        <f t="shared" si="61"/>
        <v>0</v>
      </c>
      <c r="W112" s="224">
        <f t="shared" si="61"/>
        <v>0</v>
      </c>
      <c r="X112" s="226"/>
      <c r="Y112" s="226">
        <f t="shared" si="57"/>
        <v>0</v>
      </c>
      <c r="Z112" s="226">
        <f t="shared" si="57"/>
        <v>0</v>
      </c>
      <c r="AA112" s="227"/>
      <c r="AB112" s="227"/>
      <c r="AC112" s="224"/>
      <c r="AD112" s="224">
        <f t="shared" si="46"/>
        <v>0</v>
      </c>
      <c r="AE112" s="227"/>
      <c r="AF112" s="227"/>
      <c r="AG112" s="224">
        <f t="shared" si="47"/>
        <v>0</v>
      </c>
      <c r="AH112" s="226"/>
      <c r="AI112" s="226">
        <f t="shared" si="58"/>
        <v>0</v>
      </c>
      <c r="AJ112" s="226">
        <f t="shared" si="58"/>
        <v>0</v>
      </c>
      <c r="AK112" s="226">
        <f t="shared" si="58"/>
        <v>0</v>
      </c>
      <c r="AL112" s="226">
        <f t="shared" si="58"/>
        <v>0</v>
      </c>
      <c r="AM112" s="226">
        <f t="shared" si="58"/>
        <v>0</v>
      </c>
      <c r="AN112" s="235"/>
      <c r="AO112" s="235">
        <f t="shared" si="59"/>
        <v>0</v>
      </c>
      <c r="AP112" s="235">
        <f t="shared" si="59"/>
        <v>0</v>
      </c>
      <c r="AQ112" s="236">
        <f t="shared" si="59"/>
        <v>0</v>
      </c>
      <c r="AR112" s="236">
        <f t="shared" si="59"/>
        <v>0</v>
      </c>
      <c r="AS112" s="236">
        <f t="shared" si="59"/>
        <v>0</v>
      </c>
      <c r="AT112" s="236">
        <f t="shared" si="59"/>
        <v>0</v>
      </c>
      <c r="AU112" s="236">
        <f t="shared" si="59"/>
        <v>0</v>
      </c>
      <c r="AV112" s="236">
        <f t="shared" si="59"/>
        <v>0</v>
      </c>
      <c r="AW112" s="226"/>
      <c r="AX112" s="226">
        <f t="shared" si="62"/>
        <v>0</v>
      </c>
      <c r="AY112" s="226">
        <f t="shared" si="62"/>
        <v>0</v>
      </c>
      <c r="AZ112" s="226">
        <f t="shared" si="62"/>
        <v>0</v>
      </c>
      <c r="BA112" s="226">
        <f t="shared" si="62"/>
        <v>0</v>
      </c>
      <c r="BB112" s="226">
        <f t="shared" si="62"/>
        <v>0</v>
      </c>
      <c r="BC112" s="224"/>
      <c r="BD112" s="224">
        <f t="shared" si="63"/>
        <v>0</v>
      </c>
      <c r="BE112" s="224">
        <f t="shared" si="63"/>
        <v>0</v>
      </c>
      <c r="BF112" s="224">
        <f t="shared" si="63"/>
        <v>0</v>
      </c>
      <c r="BG112" s="224">
        <f t="shared" si="63"/>
        <v>0</v>
      </c>
      <c r="BH112" s="224">
        <f t="shared" si="63"/>
        <v>0</v>
      </c>
      <c r="BI112" s="224">
        <f t="shared" si="63"/>
        <v>0</v>
      </c>
      <c r="BJ112" s="224">
        <f t="shared" si="63"/>
        <v>0</v>
      </c>
      <c r="BK112" s="224">
        <f t="shared" si="63"/>
        <v>0</v>
      </c>
      <c r="BL112" s="224">
        <f t="shared" si="63"/>
        <v>0</v>
      </c>
      <c r="BM112" s="224">
        <f t="shared" si="63"/>
        <v>0</v>
      </c>
      <c r="BN112" s="224">
        <f t="shared" si="63"/>
        <v>0</v>
      </c>
      <c r="BO112" s="224">
        <f t="shared" si="63"/>
        <v>0</v>
      </c>
    </row>
    <row r="113" spans="1:67">
      <c r="A113" s="256"/>
      <c r="B113" s="696" t="s">
        <v>1785</v>
      </c>
      <c r="C113" s="223">
        <v>111</v>
      </c>
      <c r="D113" s="667">
        <v>59805231</v>
      </c>
      <c r="E113" s="259">
        <f>D113</f>
        <v>59805231</v>
      </c>
      <c r="F113" s="259">
        <f t="shared" ref="F113:T113" si="65">E113</f>
        <v>59805231</v>
      </c>
      <c r="G113" s="259">
        <f t="shared" si="65"/>
        <v>59805231</v>
      </c>
      <c r="H113" s="259">
        <f t="shared" si="65"/>
        <v>59805231</v>
      </c>
      <c r="I113" s="259">
        <f t="shared" si="65"/>
        <v>59805231</v>
      </c>
      <c r="J113" s="259">
        <f t="shared" si="65"/>
        <v>59805231</v>
      </c>
      <c r="K113" s="259">
        <f t="shared" si="65"/>
        <v>59805231</v>
      </c>
      <c r="L113" s="259">
        <f t="shared" si="65"/>
        <v>59805231</v>
      </c>
      <c r="M113" s="259">
        <f t="shared" si="65"/>
        <v>59805231</v>
      </c>
      <c r="N113" s="259">
        <f t="shared" si="65"/>
        <v>59805231</v>
      </c>
      <c r="O113" s="259">
        <f t="shared" si="65"/>
        <v>59805231</v>
      </c>
      <c r="P113" s="259">
        <f t="shared" si="65"/>
        <v>59805231</v>
      </c>
      <c r="Q113" s="259">
        <f t="shared" si="65"/>
        <v>59805231</v>
      </c>
      <c r="R113" s="259">
        <f t="shared" si="65"/>
        <v>59805231</v>
      </c>
      <c r="S113" s="259">
        <f t="shared" si="65"/>
        <v>59805231</v>
      </c>
      <c r="T113" s="259">
        <f t="shared" si="65"/>
        <v>59805231</v>
      </c>
      <c r="U113" s="259">
        <f t="shared" si="61"/>
        <v>59805231</v>
      </c>
      <c r="V113" s="259">
        <f t="shared" si="61"/>
        <v>59805231</v>
      </c>
      <c r="W113" s="259">
        <f t="shared" si="61"/>
        <v>59805231</v>
      </c>
      <c r="X113" s="259">
        <f>W113</f>
        <v>59805231</v>
      </c>
      <c r="Y113" s="259">
        <f t="shared" si="57"/>
        <v>59805231</v>
      </c>
      <c r="Z113" s="259">
        <f t="shared" si="57"/>
        <v>59805231</v>
      </c>
      <c r="AA113" s="259">
        <f t="shared" ref="AA113:AC114" si="66">Z113</f>
        <v>59805231</v>
      </c>
      <c r="AB113" s="259">
        <f t="shared" si="66"/>
        <v>59805231</v>
      </c>
      <c r="AC113" s="259">
        <f t="shared" si="66"/>
        <v>59805231</v>
      </c>
      <c r="AD113" s="259">
        <f t="shared" si="46"/>
        <v>59805231</v>
      </c>
      <c r="AE113" s="259">
        <f>AD113</f>
        <v>59805231</v>
      </c>
      <c r="AF113" s="259">
        <f>AE113</f>
        <v>59805231</v>
      </c>
      <c r="AG113" s="259">
        <f t="shared" si="47"/>
        <v>59805231</v>
      </c>
      <c r="AH113" s="259">
        <f>AG113</f>
        <v>59805231</v>
      </c>
      <c r="AI113" s="259">
        <f t="shared" si="58"/>
        <v>59805231</v>
      </c>
      <c r="AJ113" s="259">
        <f t="shared" si="58"/>
        <v>59805231</v>
      </c>
      <c r="AK113" s="259">
        <f t="shared" si="58"/>
        <v>59805231</v>
      </c>
      <c r="AL113" s="259">
        <f t="shared" si="58"/>
        <v>59805231</v>
      </c>
      <c r="AM113" s="259">
        <f t="shared" si="58"/>
        <v>59805231</v>
      </c>
      <c r="AN113" s="259">
        <f>AM113</f>
        <v>59805231</v>
      </c>
      <c r="AO113" s="259">
        <f t="shared" si="59"/>
        <v>59805231</v>
      </c>
      <c r="AP113" s="259">
        <f t="shared" si="59"/>
        <v>59805231</v>
      </c>
      <c r="AQ113" s="259">
        <f t="shared" si="59"/>
        <v>59805231</v>
      </c>
      <c r="AR113" s="259">
        <f t="shared" si="59"/>
        <v>59805231</v>
      </c>
      <c r="AS113" s="259">
        <f t="shared" si="59"/>
        <v>59805231</v>
      </c>
      <c r="AT113" s="259">
        <f t="shared" si="59"/>
        <v>59805231</v>
      </c>
      <c r="AU113" s="259">
        <f t="shared" si="59"/>
        <v>59805231</v>
      </c>
      <c r="AV113" s="259">
        <f t="shared" si="59"/>
        <v>59805231</v>
      </c>
      <c r="AW113" s="259">
        <f>AV113</f>
        <v>59805231</v>
      </c>
      <c r="AX113" s="259">
        <f t="shared" si="62"/>
        <v>59805231</v>
      </c>
      <c r="AY113" s="259">
        <f t="shared" si="62"/>
        <v>59805231</v>
      </c>
      <c r="AZ113" s="259">
        <f t="shared" si="62"/>
        <v>59805231</v>
      </c>
      <c r="BA113" s="259">
        <f t="shared" si="62"/>
        <v>59805231</v>
      </c>
      <c r="BB113" s="259">
        <f t="shared" si="62"/>
        <v>59805231</v>
      </c>
      <c r="BC113" s="259">
        <f>BB113</f>
        <v>59805231</v>
      </c>
      <c r="BD113" s="259">
        <f t="shared" si="63"/>
        <v>59805231</v>
      </c>
      <c r="BE113" s="259">
        <f t="shared" si="63"/>
        <v>59805231</v>
      </c>
      <c r="BF113" s="259">
        <f t="shared" si="63"/>
        <v>59805231</v>
      </c>
      <c r="BG113" s="259">
        <f t="shared" si="63"/>
        <v>59805231</v>
      </c>
      <c r="BH113" s="259">
        <f t="shared" si="63"/>
        <v>59805231</v>
      </c>
      <c r="BI113" s="259">
        <f t="shared" si="63"/>
        <v>59805231</v>
      </c>
      <c r="BJ113" s="259">
        <f t="shared" si="63"/>
        <v>59805231</v>
      </c>
      <c r="BK113" s="259">
        <f t="shared" si="63"/>
        <v>59805231</v>
      </c>
      <c r="BL113" s="259">
        <f t="shared" si="63"/>
        <v>59805231</v>
      </c>
      <c r="BM113" s="259">
        <f t="shared" si="63"/>
        <v>59805231</v>
      </c>
      <c r="BN113" s="259">
        <f t="shared" si="63"/>
        <v>59805231</v>
      </c>
      <c r="BO113" s="259">
        <f t="shared" si="63"/>
        <v>59805231</v>
      </c>
    </row>
    <row r="114" spans="1:67">
      <c r="A114" s="256"/>
      <c r="B114" s="696" t="s">
        <v>1786</v>
      </c>
      <c r="C114" s="223">
        <v>112</v>
      </c>
      <c r="D114" s="667">
        <v>68265375</v>
      </c>
      <c r="E114" s="259">
        <f>D114</f>
        <v>68265375</v>
      </c>
      <c r="F114" s="259">
        <f t="shared" ref="F114:T114" si="67">E114</f>
        <v>68265375</v>
      </c>
      <c r="G114" s="259">
        <f t="shared" si="67"/>
        <v>68265375</v>
      </c>
      <c r="H114" s="259">
        <f t="shared" si="67"/>
        <v>68265375</v>
      </c>
      <c r="I114" s="259">
        <f t="shared" si="67"/>
        <v>68265375</v>
      </c>
      <c r="J114" s="259">
        <f t="shared" si="67"/>
        <v>68265375</v>
      </c>
      <c r="K114" s="259">
        <f t="shared" si="67"/>
        <v>68265375</v>
      </c>
      <c r="L114" s="259">
        <f t="shared" si="67"/>
        <v>68265375</v>
      </c>
      <c r="M114" s="259">
        <f t="shared" si="67"/>
        <v>68265375</v>
      </c>
      <c r="N114" s="259">
        <f t="shared" si="67"/>
        <v>68265375</v>
      </c>
      <c r="O114" s="259">
        <f t="shared" si="67"/>
        <v>68265375</v>
      </c>
      <c r="P114" s="259">
        <f t="shared" si="67"/>
        <v>68265375</v>
      </c>
      <c r="Q114" s="259">
        <f t="shared" si="67"/>
        <v>68265375</v>
      </c>
      <c r="R114" s="259">
        <f t="shared" si="67"/>
        <v>68265375</v>
      </c>
      <c r="S114" s="259">
        <f t="shared" si="67"/>
        <v>68265375</v>
      </c>
      <c r="T114" s="259">
        <f t="shared" si="67"/>
        <v>68265375</v>
      </c>
      <c r="U114" s="259">
        <f t="shared" si="61"/>
        <v>68265375</v>
      </c>
      <c r="V114" s="259">
        <f t="shared" si="61"/>
        <v>68265375</v>
      </c>
      <c r="W114" s="259">
        <f t="shared" si="61"/>
        <v>68265375</v>
      </c>
      <c r="X114" s="259">
        <f>W114</f>
        <v>68265375</v>
      </c>
      <c r="Y114" s="259">
        <f>X114</f>
        <v>68265375</v>
      </c>
      <c r="Z114" s="259">
        <f>Y114</f>
        <v>68265375</v>
      </c>
      <c r="AA114" s="259">
        <f t="shared" si="66"/>
        <v>68265375</v>
      </c>
      <c r="AB114" s="259">
        <f t="shared" si="66"/>
        <v>68265375</v>
      </c>
      <c r="AC114" s="259">
        <f t="shared" si="66"/>
        <v>68265375</v>
      </c>
      <c r="AD114" s="259">
        <f>AC114</f>
        <v>68265375</v>
      </c>
      <c r="AE114" s="259">
        <f>AD114</f>
        <v>68265375</v>
      </c>
      <c r="AF114" s="259">
        <f>AE114</f>
        <v>68265375</v>
      </c>
      <c r="AG114" s="259">
        <f>AF114</f>
        <v>68265375</v>
      </c>
      <c r="AH114" s="259">
        <f>AG114</f>
        <v>68265375</v>
      </c>
      <c r="AI114" s="259">
        <f t="shared" si="58"/>
        <v>68265375</v>
      </c>
      <c r="AJ114" s="259">
        <f t="shared" si="58"/>
        <v>68265375</v>
      </c>
      <c r="AK114" s="259">
        <f t="shared" si="58"/>
        <v>68265375</v>
      </c>
      <c r="AL114" s="259">
        <f t="shared" si="58"/>
        <v>68265375</v>
      </c>
      <c r="AM114" s="259">
        <f t="shared" si="58"/>
        <v>68265375</v>
      </c>
      <c r="AN114" s="259">
        <f>AM114</f>
        <v>68265375</v>
      </c>
      <c r="AO114" s="259">
        <f t="shared" ref="AO114:AV114" si="68">AN114</f>
        <v>68265375</v>
      </c>
      <c r="AP114" s="259">
        <f t="shared" si="68"/>
        <v>68265375</v>
      </c>
      <c r="AQ114" s="259">
        <f t="shared" si="68"/>
        <v>68265375</v>
      </c>
      <c r="AR114" s="259">
        <f t="shared" si="68"/>
        <v>68265375</v>
      </c>
      <c r="AS114" s="259">
        <f t="shared" si="68"/>
        <v>68265375</v>
      </c>
      <c r="AT114" s="259">
        <f t="shared" si="68"/>
        <v>68265375</v>
      </c>
      <c r="AU114" s="259">
        <f t="shared" si="68"/>
        <v>68265375</v>
      </c>
      <c r="AV114" s="259">
        <f t="shared" si="68"/>
        <v>68265375</v>
      </c>
      <c r="AW114" s="259">
        <f>AV114</f>
        <v>68265375</v>
      </c>
      <c r="AX114" s="259">
        <f t="shared" si="62"/>
        <v>68265375</v>
      </c>
      <c r="AY114" s="259">
        <f t="shared" si="62"/>
        <v>68265375</v>
      </c>
      <c r="AZ114" s="259">
        <f t="shared" si="62"/>
        <v>68265375</v>
      </c>
      <c r="BA114" s="259">
        <f t="shared" si="62"/>
        <v>68265375</v>
      </c>
      <c r="BB114" s="259">
        <f t="shared" si="62"/>
        <v>68265375</v>
      </c>
      <c r="BC114" s="259">
        <f>BB114</f>
        <v>68265375</v>
      </c>
      <c r="BD114" s="259">
        <f t="shared" ref="BD114:BM114" si="69">BC114</f>
        <v>68265375</v>
      </c>
      <c r="BE114" s="259">
        <f t="shared" si="69"/>
        <v>68265375</v>
      </c>
      <c r="BF114" s="259">
        <f t="shared" si="69"/>
        <v>68265375</v>
      </c>
      <c r="BG114" s="259">
        <f t="shared" si="69"/>
        <v>68265375</v>
      </c>
      <c r="BH114" s="259">
        <f t="shared" si="69"/>
        <v>68265375</v>
      </c>
      <c r="BI114" s="259">
        <f t="shared" si="69"/>
        <v>68265375</v>
      </c>
      <c r="BJ114" s="259">
        <f t="shared" si="69"/>
        <v>68265375</v>
      </c>
      <c r="BK114" s="259">
        <f t="shared" si="69"/>
        <v>68265375</v>
      </c>
      <c r="BL114" s="259">
        <f t="shared" si="69"/>
        <v>68265375</v>
      </c>
      <c r="BM114" s="259">
        <f t="shared" si="69"/>
        <v>68265375</v>
      </c>
      <c r="BN114" s="259">
        <f t="shared" si="63"/>
        <v>68265375</v>
      </c>
      <c r="BO114" s="259">
        <f t="shared" si="63"/>
        <v>68265375</v>
      </c>
    </row>
    <row r="115" spans="1:67">
      <c r="A115" s="223"/>
      <c r="B115" s="151" t="s">
        <v>326</v>
      </c>
      <c r="C115" s="223">
        <v>113</v>
      </c>
      <c r="D115" s="227">
        <v>298856512.94881815</v>
      </c>
      <c r="E115" s="259">
        <f>D115</f>
        <v>298856512.94881815</v>
      </c>
      <c r="F115" s="259">
        <f t="shared" ref="F115:BO117" si="70">E115</f>
        <v>298856512.94881815</v>
      </c>
      <c r="G115" s="259">
        <f t="shared" si="70"/>
        <v>298856512.94881815</v>
      </c>
      <c r="H115" s="259">
        <f t="shared" si="70"/>
        <v>298856512.94881815</v>
      </c>
      <c r="I115" s="259">
        <f t="shared" si="70"/>
        <v>298856512.94881815</v>
      </c>
      <c r="J115" s="259">
        <f t="shared" si="70"/>
        <v>298856512.94881815</v>
      </c>
      <c r="K115" s="259">
        <f t="shared" si="70"/>
        <v>298856512.94881815</v>
      </c>
      <c r="L115" s="259">
        <f t="shared" si="70"/>
        <v>298856512.94881815</v>
      </c>
      <c r="M115" s="259">
        <f t="shared" si="70"/>
        <v>298856512.94881815</v>
      </c>
      <c r="N115" s="259">
        <f t="shared" si="70"/>
        <v>298856512.94881815</v>
      </c>
      <c r="O115" s="259">
        <f t="shared" si="70"/>
        <v>298856512.94881815</v>
      </c>
      <c r="P115" s="259">
        <f t="shared" si="70"/>
        <v>298856512.94881815</v>
      </c>
      <c r="Q115" s="259">
        <f t="shared" si="70"/>
        <v>298856512.94881815</v>
      </c>
      <c r="R115" s="259">
        <f t="shared" si="70"/>
        <v>298856512.94881815</v>
      </c>
      <c r="S115" s="259">
        <f t="shared" si="70"/>
        <v>298856512.94881815</v>
      </c>
      <c r="T115" s="259">
        <f t="shared" si="70"/>
        <v>298856512.94881815</v>
      </c>
      <c r="U115" s="259">
        <f t="shared" si="70"/>
        <v>298856512.94881815</v>
      </c>
      <c r="V115" s="259">
        <f t="shared" si="70"/>
        <v>298856512.94881815</v>
      </c>
      <c r="W115" s="259">
        <f t="shared" si="70"/>
        <v>298856512.94881815</v>
      </c>
      <c r="X115" s="259">
        <f t="shared" si="70"/>
        <v>298856512.94881815</v>
      </c>
      <c r="Y115" s="259">
        <f t="shared" si="70"/>
        <v>298856512.94881815</v>
      </c>
      <c r="Z115" s="259">
        <f t="shared" si="70"/>
        <v>298856512.94881815</v>
      </c>
      <c r="AA115" s="259">
        <f t="shared" si="70"/>
        <v>298856512.94881815</v>
      </c>
      <c r="AB115" s="259">
        <f t="shared" si="70"/>
        <v>298856512.94881815</v>
      </c>
      <c r="AC115" s="259">
        <f t="shared" si="70"/>
        <v>298856512.94881815</v>
      </c>
      <c r="AD115" s="259">
        <f t="shared" si="70"/>
        <v>298856512.94881815</v>
      </c>
      <c r="AE115" s="259">
        <f t="shared" si="70"/>
        <v>298856512.94881815</v>
      </c>
      <c r="AF115" s="259">
        <f t="shared" si="70"/>
        <v>298856512.94881815</v>
      </c>
      <c r="AG115" s="259">
        <f t="shared" si="70"/>
        <v>298856512.94881815</v>
      </c>
      <c r="AH115" s="259">
        <f t="shared" si="70"/>
        <v>298856512.94881815</v>
      </c>
      <c r="AI115" s="259">
        <f t="shared" si="70"/>
        <v>298856512.94881815</v>
      </c>
      <c r="AJ115" s="259">
        <f t="shared" si="70"/>
        <v>298856512.94881815</v>
      </c>
      <c r="AK115" s="259">
        <f t="shared" si="70"/>
        <v>298856512.94881815</v>
      </c>
      <c r="AL115" s="259">
        <f t="shared" si="70"/>
        <v>298856512.94881815</v>
      </c>
      <c r="AM115" s="259">
        <f t="shared" si="70"/>
        <v>298856512.94881815</v>
      </c>
      <c r="AN115" s="259">
        <f t="shared" si="70"/>
        <v>298856512.94881815</v>
      </c>
      <c r="AO115" s="259">
        <f t="shared" si="70"/>
        <v>298856512.94881815</v>
      </c>
      <c r="AP115" s="259">
        <f t="shared" si="70"/>
        <v>298856512.94881815</v>
      </c>
      <c r="AQ115" s="259">
        <f t="shared" si="70"/>
        <v>298856512.94881815</v>
      </c>
      <c r="AR115" s="259">
        <f t="shared" si="70"/>
        <v>298856512.94881815</v>
      </c>
      <c r="AS115" s="259">
        <f t="shared" si="70"/>
        <v>298856512.94881815</v>
      </c>
      <c r="AT115" s="259">
        <f t="shared" si="70"/>
        <v>298856512.94881815</v>
      </c>
      <c r="AU115" s="259">
        <f t="shared" si="70"/>
        <v>298856512.94881815</v>
      </c>
      <c r="AV115" s="259">
        <f t="shared" si="70"/>
        <v>298856512.94881815</v>
      </c>
      <c r="AW115" s="259">
        <f t="shared" si="70"/>
        <v>298856512.94881815</v>
      </c>
      <c r="AX115" s="259">
        <f t="shared" si="70"/>
        <v>298856512.94881815</v>
      </c>
      <c r="AY115" s="259">
        <f t="shared" si="70"/>
        <v>298856512.94881815</v>
      </c>
      <c r="AZ115" s="259">
        <f t="shared" si="70"/>
        <v>298856512.94881815</v>
      </c>
      <c r="BA115" s="259">
        <f t="shared" si="70"/>
        <v>298856512.94881815</v>
      </c>
      <c r="BB115" s="259">
        <f t="shared" si="70"/>
        <v>298856512.94881815</v>
      </c>
      <c r="BC115" s="259">
        <f t="shared" si="70"/>
        <v>298856512.94881815</v>
      </c>
      <c r="BD115" s="259">
        <f t="shared" si="70"/>
        <v>298856512.94881815</v>
      </c>
      <c r="BE115" s="259">
        <f t="shared" si="70"/>
        <v>298856512.94881815</v>
      </c>
      <c r="BF115" s="259">
        <f t="shared" si="70"/>
        <v>298856512.94881815</v>
      </c>
      <c r="BG115" s="259">
        <f t="shared" si="70"/>
        <v>298856512.94881815</v>
      </c>
      <c r="BH115" s="259">
        <f t="shared" si="70"/>
        <v>298856512.94881815</v>
      </c>
      <c r="BI115" s="259">
        <f t="shared" si="70"/>
        <v>298856512.94881815</v>
      </c>
      <c r="BJ115" s="259">
        <f t="shared" si="70"/>
        <v>298856512.94881815</v>
      </c>
      <c r="BK115" s="259">
        <f t="shared" si="70"/>
        <v>298856512.94881815</v>
      </c>
      <c r="BL115" s="259">
        <f t="shared" si="70"/>
        <v>298856512.94881815</v>
      </c>
      <c r="BM115" s="259">
        <f t="shared" si="70"/>
        <v>298856512.94881815</v>
      </c>
      <c r="BN115" s="259">
        <f t="shared" si="70"/>
        <v>298856512.94881815</v>
      </c>
      <c r="BO115" s="259">
        <f t="shared" si="70"/>
        <v>298856512.94881815</v>
      </c>
    </row>
    <row r="116" spans="1:67">
      <c r="A116" s="223"/>
      <c r="B116" s="151" t="s">
        <v>327</v>
      </c>
      <c r="C116" s="223">
        <v>114</v>
      </c>
      <c r="D116" s="227">
        <v>318780000</v>
      </c>
      <c r="E116" s="259">
        <f>D116</f>
        <v>318780000</v>
      </c>
      <c r="F116" s="259">
        <f t="shared" si="70"/>
        <v>318780000</v>
      </c>
      <c r="G116" s="259">
        <f t="shared" si="70"/>
        <v>318780000</v>
      </c>
      <c r="H116" s="259">
        <f t="shared" si="70"/>
        <v>318780000</v>
      </c>
      <c r="I116" s="259">
        <f t="shared" si="70"/>
        <v>318780000</v>
      </c>
      <c r="J116" s="259">
        <f t="shared" si="70"/>
        <v>318780000</v>
      </c>
      <c r="K116" s="259">
        <f t="shared" si="70"/>
        <v>318780000</v>
      </c>
      <c r="L116" s="259">
        <f t="shared" si="70"/>
        <v>318780000</v>
      </c>
      <c r="M116" s="259">
        <f t="shared" si="70"/>
        <v>318780000</v>
      </c>
      <c r="N116" s="259">
        <f t="shared" si="70"/>
        <v>318780000</v>
      </c>
      <c r="O116" s="259">
        <f t="shared" si="70"/>
        <v>318780000</v>
      </c>
      <c r="P116" s="259">
        <f t="shared" si="70"/>
        <v>318780000</v>
      </c>
      <c r="Q116" s="259">
        <f t="shared" si="70"/>
        <v>318780000</v>
      </c>
      <c r="R116" s="259">
        <f t="shared" si="70"/>
        <v>318780000</v>
      </c>
      <c r="S116" s="259">
        <f t="shared" si="70"/>
        <v>318780000</v>
      </c>
      <c r="T116" s="259">
        <f t="shared" si="70"/>
        <v>318780000</v>
      </c>
      <c r="U116" s="259">
        <f t="shared" si="70"/>
        <v>318780000</v>
      </c>
      <c r="V116" s="259">
        <f t="shared" si="70"/>
        <v>318780000</v>
      </c>
      <c r="W116" s="259">
        <f t="shared" si="70"/>
        <v>318780000</v>
      </c>
      <c r="X116" s="259">
        <f t="shared" si="70"/>
        <v>318780000</v>
      </c>
      <c r="Y116" s="259">
        <f t="shared" si="70"/>
        <v>318780000</v>
      </c>
      <c r="Z116" s="259">
        <f t="shared" si="70"/>
        <v>318780000</v>
      </c>
      <c r="AA116" s="259">
        <f t="shared" si="70"/>
        <v>318780000</v>
      </c>
      <c r="AB116" s="259">
        <f t="shared" si="70"/>
        <v>318780000</v>
      </c>
      <c r="AC116" s="259">
        <f t="shared" si="70"/>
        <v>318780000</v>
      </c>
      <c r="AD116" s="259">
        <f t="shared" si="70"/>
        <v>318780000</v>
      </c>
      <c r="AE116" s="259">
        <f t="shared" si="70"/>
        <v>318780000</v>
      </c>
      <c r="AF116" s="259">
        <f t="shared" si="70"/>
        <v>318780000</v>
      </c>
      <c r="AG116" s="259">
        <f t="shared" si="70"/>
        <v>318780000</v>
      </c>
      <c r="AH116" s="259">
        <f t="shared" si="70"/>
        <v>318780000</v>
      </c>
      <c r="AI116" s="259">
        <f t="shared" si="70"/>
        <v>318780000</v>
      </c>
      <c r="AJ116" s="259">
        <f t="shared" si="70"/>
        <v>318780000</v>
      </c>
      <c r="AK116" s="259">
        <f t="shared" si="70"/>
        <v>318780000</v>
      </c>
      <c r="AL116" s="259">
        <f t="shared" si="70"/>
        <v>318780000</v>
      </c>
      <c r="AM116" s="259">
        <f t="shared" si="70"/>
        <v>318780000</v>
      </c>
      <c r="AN116" s="259">
        <f t="shared" si="70"/>
        <v>318780000</v>
      </c>
      <c r="AO116" s="259">
        <f t="shared" si="70"/>
        <v>318780000</v>
      </c>
      <c r="AP116" s="259">
        <f t="shared" si="70"/>
        <v>318780000</v>
      </c>
      <c r="AQ116" s="259">
        <f t="shared" si="70"/>
        <v>318780000</v>
      </c>
      <c r="AR116" s="259">
        <f t="shared" si="70"/>
        <v>318780000</v>
      </c>
      <c r="AS116" s="259">
        <f t="shared" si="70"/>
        <v>318780000</v>
      </c>
      <c r="AT116" s="259">
        <f t="shared" si="70"/>
        <v>318780000</v>
      </c>
      <c r="AU116" s="259">
        <f t="shared" si="70"/>
        <v>318780000</v>
      </c>
      <c r="AV116" s="259">
        <f t="shared" si="70"/>
        <v>318780000</v>
      </c>
      <c r="AW116" s="259">
        <f t="shared" si="70"/>
        <v>318780000</v>
      </c>
      <c r="AX116" s="259">
        <f t="shared" si="70"/>
        <v>318780000</v>
      </c>
      <c r="AY116" s="259">
        <f t="shared" si="70"/>
        <v>318780000</v>
      </c>
      <c r="AZ116" s="259">
        <f t="shared" si="70"/>
        <v>318780000</v>
      </c>
      <c r="BA116" s="259">
        <f t="shared" si="70"/>
        <v>318780000</v>
      </c>
      <c r="BB116" s="259">
        <f t="shared" si="70"/>
        <v>318780000</v>
      </c>
      <c r="BC116" s="259">
        <f t="shared" si="70"/>
        <v>318780000</v>
      </c>
      <c r="BD116" s="259">
        <f t="shared" si="70"/>
        <v>318780000</v>
      </c>
      <c r="BE116" s="259">
        <f t="shared" si="70"/>
        <v>318780000</v>
      </c>
      <c r="BF116" s="259">
        <f t="shared" si="70"/>
        <v>318780000</v>
      </c>
      <c r="BG116" s="259">
        <f t="shared" si="70"/>
        <v>318780000</v>
      </c>
      <c r="BH116" s="259">
        <f t="shared" si="70"/>
        <v>318780000</v>
      </c>
      <c r="BI116" s="259">
        <f t="shared" si="70"/>
        <v>318780000</v>
      </c>
      <c r="BJ116" s="259">
        <f t="shared" si="70"/>
        <v>318780000</v>
      </c>
      <c r="BK116" s="259">
        <f t="shared" si="70"/>
        <v>318780000</v>
      </c>
      <c r="BL116" s="259">
        <f t="shared" si="70"/>
        <v>318780000</v>
      </c>
      <c r="BM116" s="259">
        <f t="shared" si="70"/>
        <v>318780000</v>
      </c>
      <c r="BN116" s="259">
        <f t="shared" si="70"/>
        <v>318780000</v>
      </c>
      <c r="BO116" s="259">
        <f t="shared" si="70"/>
        <v>318780000</v>
      </c>
    </row>
    <row r="117" spans="1:67">
      <c r="A117" s="223"/>
      <c r="B117" s="151" t="s">
        <v>328</v>
      </c>
      <c r="C117" s="223">
        <v>115</v>
      </c>
      <c r="D117" s="227">
        <f>D116</f>
        <v>318780000</v>
      </c>
      <c r="E117" s="259">
        <f>D117</f>
        <v>318780000</v>
      </c>
      <c r="F117" s="259">
        <f t="shared" si="70"/>
        <v>318780000</v>
      </c>
      <c r="G117" s="259">
        <f t="shared" si="70"/>
        <v>318780000</v>
      </c>
      <c r="H117" s="259">
        <f t="shared" si="70"/>
        <v>318780000</v>
      </c>
      <c r="I117" s="259">
        <f t="shared" si="70"/>
        <v>318780000</v>
      </c>
      <c r="J117" s="259">
        <f t="shared" si="70"/>
        <v>318780000</v>
      </c>
      <c r="K117" s="259">
        <f t="shared" si="70"/>
        <v>318780000</v>
      </c>
      <c r="L117" s="259">
        <f t="shared" si="70"/>
        <v>318780000</v>
      </c>
      <c r="M117" s="259">
        <f t="shared" si="70"/>
        <v>318780000</v>
      </c>
      <c r="N117" s="259">
        <f t="shared" si="70"/>
        <v>318780000</v>
      </c>
      <c r="O117" s="259">
        <f t="shared" si="70"/>
        <v>318780000</v>
      </c>
      <c r="P117" s="259">
        <f t="shared" si="70"/>
        <v>318780000</v>
      </c>
      <c r="Q117" s="259">
        <f t="shared" si="70"/>
        <v>318780000</v>
      </c>
      <c r="R117" s="259">
        <f t="shared" si="70"/>
        <v>318780000</v>
      </c>
      <c r="S117" s="259">
        <f t="shared" si="70"/>
        <v>318780000</v>
      </c>
      <c r="T117" s="259">
        <f t="shared" si="70"/>
        <v>318780000</v>
      </c>
      <c r="U117" s="259">
        <f t="shared" si="70"/>
        <v>318780000</v>
      </c>
      <c r="V117" s="259">
        <f t="shared" si="70"/>
        <v>318780000</v>
      </c>
      <c r="W117" s="259">
        <f t="shared" si="70"/>
        <v>318780000</v>
      </c>
      <c r="X117" s="259">
        <f t="shared" si="70"/>
        <v>318780000</v>
      </c>
      <c r="Y117" s="259">
        <f t="shared" si="70"/>
        <v>318780000</v>
      </c>
      <c r="Z117" s="259">
        <f t="shared" si="70"/>
        <v>318780000</v>
      </c>
      <c r="AA117" s="259">
        <f t="shared" si="70"/>
        <v>318780000</v>
      </c>
      <c r="AB117" s="259">
        <f t="shared" si="70"/>
        <v>318780000</v>
      </c>
      <c r="AC117" s="259">
        <f t="shared" si="70"/>
        <v>318780000</v>
      </c>
      <c r="AD117" s="259">
        <f t="shared" si="70"/>
        <v>318780000</v>
      </c>
      <c r="AE117" s="259">
        <f t="shared" si="70"/>
        <v>318780000</v>
      </c>
      <c r="AF117" s="259">
        <f t="shared" si="70"/>
        <v>318780000</v>
      </c>
      <c r="AG117" s="259">
        <f t="shared" si="70"/>
        <v>318780000</v>
      </c>
      <c r="AH117" s="259">
        <f t="shared" si="70"/>
        <v>318780000</v>
      </c>
      <c r="AI117" s="259">
        <f t="shared" si="70"/>
        <v>318780000</v>
      </c>
      <c r="AJ117" s="259">
        <f t="shared" si="70"/>
        <v>318780000</v>
      </c>
      <c r="AK117" s="259">
        <f t="shared" si="70"/>
        <v>318780000</v>
      </c>
      <c r="AL117" s="259">
        <f t="shared" si="70"/>
        <v>318780000</v>
      </c>
      <c r="AM117" s="259">
        <f t="shared" si="70"/>
        <v>318780000</v>
      </c>
      <c r="AN117" s="259">
        <f t="shared" si="70"/>
        <v>318780000</v>
      </c>
      <c r="AO117" s="259">
        <f t="shared" si="70"/>
        <v>318780000</v>
      </c>
      <c r="AP117" s="259">
        <f t="shared" si="70"/>
        <v>318780000</v>
      </c>
      <c r="AQ117" s="259">
        <f t="shared" si="70"/>
        <v>318780000</v>
      </c>
      <c r="AR117" s="259">
        <f t="shared" si="70"/>
        <v>318780000</v>
      </c>
      <c r="AS117" s="259">
        <f t="shared" si="70"/>
        <v>318780000</v>
      </c>
      <c r="AT117" s="259">
        <f t="shared" si="70"/>
        <v>318780000</v>
      </c>
      <c r="AU117" s="259">
        <f t="shared" si="70"/>
        <v>318780000</v>
      </c>
      <c r="AV117" s="259">
        <f t="shared" si="70"/>
        <v>318780000</v>
      </c>
      <c r="AW117" s="259">
        <f t="shared" si="70"/>
        <v>318780000</v>
      </c>
      <c r="AX117" s="259">
        <f t="shared" si="70"/>
        <v>318780000</v>
      </c>
      <c r="AY117" s="259">
        <f t="shared" si="70"/>
        <v>318780000</v>
      </c>
      <c r="AZ117" s="259">
        <f t="shared" si="70"/>
        <v>318780000</v>
      </c>
      <c r="BA117" s="259">
        <f t="shared" si="70"/>
        <v>318780000</v>
      </c>
      <c r="BB117" s="259">
        <f t="shared" si="70"/>
        <v>318780000</v>
      </c>
      <c r="BC117" s="259">
        <f t="shared" si="70"/>
        <v>318780000</v>
      </c>
      <c r="BD117" s="259">
        <f t="shared" si="70"/>
        <v>318780000</v>
      </c>
      <c r="BE117" s="259">
        <f t="shared" si="70"/>
        <v>318780000</v>
      </c>
      <c r="BF117" s="259">
        <f t="shared" si="70"/>
        <v>318780000</v>
      </c>
      <c r="BG117" s="259">
        <f t="shared" si="70"/>
        <v>318780000</v>
      </c>
      <c r="BH117" s="259">
        <f t="shared" si="70"/>
        <v>318780000</v>
      </c>
      <c r="BI117" s="259">
        <f t="shared" si="70"/>
        <v>318780000</v>
      </c>
      <c r="BJ117" s="259">
        <f t="shared" si="70"/>
        <v>318780000</v>
      </c>
      <c r="BK117" s="259">
        <f t="shared" si="70"/>
        <v>318780000</v>
      </c>
      <c r="BL117" s="259">
        <f t="shared" si="70"/>
        <v>318780000</v>
      </c>
      <c r="BM117" s="259">
        <f t="shared" si="70"/>
        <v>318780000</v>
      </c>
      <c r="BN117" s="259">
        <f t="shared" si="70"/>
        <v>318780000</v>
      </c>
      <c r="BO117" s="259">
        <f t="shared" si="70"/>
        <v>318780000</v>
      </c>
    </row>
    <row r="118" spans="1:67">
      <c r="A118" s="223"/>
      <c r="B118" s="151" t="s">
        <v>329</v>
      </c>
      <c r="C118" s="223">
        <v>116</v>
      </c>
      <c r="D118" s="227">
        <v>340725000</v>
      </c>
      <c r="E118" s="225">
        <v>340725000</v>
      </c>
      <c r="F118" s="225">
        <v>340725000</v>
      </c>
      <c r="G118" s="225">
        <v>340725000</v>
      </c>
      <c r="H118" s="225">
        <v>340725000</v>
      </c>
      <c r="I118" s="225">
        <v>340725000</v>
      </c>
      <c r="J118" s="225">
        <v>340725000</v>
      </c>
      <c r="K118" s="237">
        <v>340725000</v>
      </c>
      <c r="L118" s="237">
        <v>340725000</v>
      </c>
      <c r="M118" s="237">
        <v>340725000</v>
      </c>
      <c r="N118" s="237">
        <v>340725000</v>
      </c>
      <c r="O118" s="237">
        <v>340725000</v>
      </c>
      <c r="P118" s="237">
        <v>340725000</v>
      </c>
      <c r="Q118" s="237">
        <v>340725000</v>
      </c>
      <c r="R118" s="237">
        <v>340725000</v>
      </c>
      <c r="S118" s="237">
        <v>340725000</v>
      </c>
      <c r="T118" s="224">
        <v>340725000</v>
      </c>
      <c r="U118" s="224">
        <v>340725000</v>
      </c>
      <c r="V118" s="224">
        <v>340725000</v>
      </c>
      <c r="W118" s="224">
        <v>340725000</v>
      </c>
      <c r="X118" s="226">
        <v>340725000</v>
      </c>
      <c r="Y118" s="226">
        <v>340725000</v>
      </c>
      <c r="Z118" s="226">
        <v>340725000</v>
      </c>
      <c r="AA118" s="227">
        <v>340725000</v>
      </c>
      <c r="AB118" s="227">
        <v>340725000</v>
      </c>
      <c r="AC118" s="224">
        <v>340725000</v>
      </c>
      <c r="AD118" s="224">
        <v>340725000</v>
      </c>
      <c r="AE118" s="227">
        <v>340725000</v>
      </c>
      <c r="AF118" s="227">
        <v>340725000</v>
      </c>
      <c r="AG118" s="224">
        <v>340725000</v>
      </c>
      <c r="AH118" s="226">
        <v>340725000</v>
      </c>
      <c r="AI118" s="226">
        <v>340725000</v>
      </c>
      <c r="AJ118" s="226">
        <v>340725000</v>
      </c>
      <c r="AK118" s="226">
        <v>340725000</v>
      </c>
      <c r="AL118" s="226">
        <v>340725000</v>
      </c>
      <c r="AM118" s="226">
        <v>340725000</v>
      </c>
      <c r="AN118" s="235">
        <v>340725000</v>
      </c>
      <c r="AO118" s="235">
        <v>340725000</v>
      </c>
      <c r="AP118" s="235">
        <v>340725000</v>
      </c>
      <c r="AQ118" s="236">
        <v>340725000</v>
      </c>
      <c r="AR118" s="236">
        <v>340725000</v>
      </c>
      <c r="AS118" s="236">
        <v>340725000</v>
      </c>
      <c r="AT118" s="236">
        <v>340725000</v>
      </c>
      <c r="AU118" s="236">
        <v>340725000</v>
      </c>
      <c r="AV118" s="236">
        <v>340725000</v>
      </c>
      <c r="AW118" s="226">
        <v>340725000</v>
      </c>
      <c r="AX118" s="226">
        <v>340725000</v>
      </c>
      <c r="AY118" s="226">
        <v>340725000</v>
      </c>
      <c r="AZ118" s="226">
        <v>340725000</v>
      </c>
      <c r="BA118" s="226">
        <v>340725000</v>
      </c>
      <c r="BB118" s="226">
        <v>340725000</v>
      </c>
      <c r="BC118" s="227">
        <v>340725000</v>
      </c>
      <c r="BD118" s="224">
        <v>340725000</v>
      </c>
      <c r="BE118" s="224">
        <v>340725000</v>
      </c>
      <c r="BF118" s="224">
        <v>340725000</v>
      </c>
      <c r="BG118" s="224">
        <v>340725000</v>
      </c>
      <c r="BH118" s="224">
        <v>340725000</v>
      </c>
      <c r="BI118" s="224">
        <v>340725000</v>
      </c>
      <c r="BJ118" s="224">
        <v>340725000</v>
      </c>
      <c r="BK118" s="224">
        <v>340725000</v>
      </c>
      <c r="BL118" s="224">
        <v>340725000</v>
      </c>
      <c r="BM118" s="224">
        <v>340725000</v>
      </c>
      <c r="BN118" s="224">
        <v>340725000</v>
      </c>
      <c r="BO118" s="224">
        <v>340725000</v>
      </c>
    </row>
    <row r="119" spans="1:67">
      <c r="A119" s="223"/>
      <c r="B119" s="151" t="s">
        <v>1450</v>
      </c>
      <c r="C119" s="223">
        <v>117</v>
      </c>
      <c r="D119" s="227">
        <v>52466271</v>
      </c>
      <c r="E119" s="227">
        <v>52466271</v>
      </c>
      <c r="F119" s="227">
        <v>52466271</v>
      </c>
      <c r="G119" s="227">
        <v>52466271</v>
      </c>
      <c r="H119" s="227">
        <v>52466271</v>
      </c>
      <c r="I119" s="227">
        <v>52466271</v>
      </c>
      <c r="J119" s="227">
        <v>52466271</v>
      </c>
      <c r="K119" s="237">
        <v>52466271</v>
      </c>
      <c r="L119" s="237">
        <v>52466271</v>
      </c>
      <c r="M119" s="237">
        <v>52466271</v>
      </c>
      <c r="N119" s="237">
        <v>52466271</v>
      </c>
      <c r="O119" s="237">
        <v>52466271</v>
      </c>
      <c r="P119" s="237">
        <v>52466271</v>
      </c>
      <c r="Q119" s="237">
        <v>52466271</v>
      </c>
      <c r="R119" s="237">
        <v>52466271</v>
      </c>
      <c r="S119" s="237">
        <v>52466271</v>
      </c>
      <c r="T119" s="224">
        <v>52466271</v>
      </c>
      <c r="U119" s="224">
        <v>52466271</v>
      </c>
      <c r="V119" s="224">
        <v>52466271</v>
      </c>
      <c r="W119" s="224">
        <v>52466271</v>
      </c>
      <c r="X119" s="246">
        <v>52466271</v>
      </c>
      <c r="Y119" s="246">
        <v>52466271</v>
      </c>
      <c r="Z119" s="246">
        <v>52466271</v>
      </c>
      <c r="AA119" s="246">
        <v>52466271</v>
      </c>
      <c r="AB119" s="246">
        <v>52466271</v>
      </c>
      <c r="AC119" s="246">
        <v>52466271</v>
      </c>
      <c r="AD119" s="246">
        <v>52466271</v>
      </c>
      <c r="AE119" s="246">
        <v>52466271</v>
      </c>
      <c r="AF119" s="246">
        <v>52466271</v>
      </c>
      <c r="AG119" s="246">
        <v>52466271</v>
      </c>
      <c r="AH119" s="226">
        <v>52466271</v>
      </c>
      <c r="AI119" s="246">
        <v>52466271</v>
      </c>
      <c r="AJ119" s="246">
        <v>52466271</v>
      </c>
      <c r="AK119" s="246">
        <v>52466271</v>
      </c>
      <c r="AL119" s="246">
        <v>52466271</v>
      </c>
      <c r="AM119" s="246">
        <v>52466271</v>
      </c>
      <c r="AN119" s="235">
        <v>52466271</v>
      </c>
      <c r="AO119" s="235">
        <v>52466271</v>
      </c>
      <c r="AP119" s="235">
        <v>52466271</v>
      </c>
      <c r="AQ119" s="246">
        <v>52466271</v>
      </c>
      <c r="AR119" s="246">
        <v>52466271</v>
      </c>
      <c r="AS119" s="246">
        <v>52466271</v>
      </c>
      <c r="AT119" s="246">
        <v>52466271</v>
      </c>
      <c r="AU119" s="246">
        <v>52466271</v>
      </c>
      <c r="AV119" s="246">
        <v>52466271</v>
      </c>
      <c r="AW119" s="246">
        <v>52466271</v>
      </c>
      <c r="AX119" s="246">
        <v>52466271</v>
      </c>
      <c r="AY119" s="246">
        <v>52466271</v>
      </c>
      <c r="AZ119" s="246">
        <v>52466271</v>
      </c>
      <c r="BA119" s="246">
        <v>52466271</v>
      </c>
      <c r="BB119" s="246">
        <v>52466271</v>
      </c>
      <c r="BC119" s="246">
        <v>52466271</v>
      </c>
      <c r="BD119" s="246">
        <v>52466271</v>
      </c>
      <c r="BE119" s="246">
        <v>52466271</v>
      </c>
      <c r="BF119" s="246">
        <v>52466271</v>
      </c>
      <c r="BG119" s="246">
        <v>52466271</v>
      </c>
      <c r="BH119" s="246">
        <v>52466271</v>
      </c>
      <c r="BI119" s="246">
        <v>52466271</v>
      </c>
      <c r="BJ119" s="246">
        <v>52466271</v>
      </c>
      <c r="BK119" s="246">
        <v>52466271</v>
      </c>
      <c r="BL119" s="246">
        <v>52466271</v>
      </c>
      <c r="BM119" s="246">
        <v>52466271</v>
      </c>
      <c r="BN119" s="246">
        <v>52466271</v>
      </c>
      <c r="BO119" s="246">
        <v>52466271</v>
      </c>
    </row>
    <row r="120" spans="1:67">
      <c r="A120" s="223"/>
      <c r="B120" s="151" t="s">
        <v>1561</v>
      </c>
      <c r="C120" s="223">
        <v>118</v>
      </c>
      <c r="D120" s="227">
        <v>366273663</v>
      </c>
      <c r="E120" s="227">
        <v>366273663</v>
      </c>
      <c r="F120" s="227">
        <v>366273663</v>
      </c>
      <c r="G120" s="227">
        <v>366273663</v>
      </c>
      <c r="H120" s="227">
        <v>366273663</v>
      </c>
      <c r="I120" s="227">
        <v>366273663</v>
      </c>
      <c r="J120" s="227">
        <v>366273663</v>
      </c>
      <c r="K120" s="227">
        <v>366273663</v>
      </c>
      <c r="L120" s="227">
        <v>366273663</v>
      </c>
      <c r="M120" s="227">
        <v>366273663</v>
      </c>
      <c r="N120" s="227">
        <v>366273663</v>
      </c>
      <c r="O120" s="227">
        <v>366273663</v>
      </c>
      <c r="P120" s="227">
        <v>366273663</v>
      </c>
      <c r="Q120" s="227">
        <v>366273663</v>
      </c>
      <c r="R120" s="227">
        <v>366273663</v>
      </c>
      <c r="S120" s="227">
        <v>366273663</v>
      </c>
      <c r="T120" s="227">
        <v>366273663</v>
      </c>
      <c r="U120" s="227">
        <v>366273663</v>
      </c>
      <c r="V120" s="227">
        <v>366273663</v>
      </c>
      <c r="W120" s="227">
        <v>366273663</v>
      </c>
      <c r="X120" s="227">
        <v>366273663</v>
      </c>
      <c r="Y120" s="227">
        <v>366273663</v>
      </c>
      <c r="Z120" s="227">
        <v>366273663</v>
      </c>
      <c r="AA120" s="227">
        <v>366273663</v>
      </c>
      <c r="AB120" s="227">
        <v>366273663</v>
      </c>
      <c r="AC120" s="227">
        <v>366273663</v>
      </c>
      <c r="AD120" s="227">
        <v>366273663</v>
      </c>
      <c r="AE120" s="227">
        <v>366273663</v>
      </c>
      <c r="AF120" s="227">
        <v>366273663</v>
      </c>
      <c r="AG120" s="227">
        <v>366273663</v>
      </c>
      <c r="AH120" s="227">
        <v>366273663</v>
      </c>
      <c r="AI120" s="227">
        <v>366273663</v>
      </c>
      <c r="AJ120" s="227">
        <v>366273663</v>
      </c>
      <c r="AK120" s="227">
        <v>366273663</v>
      </c>
      <c r="AL120" s="227">
        <v>366273663</v>
      </c>
      <c r="AM120" s="227">
        <v>366273663</v>
      </c>
      <c r="AN120" s="227">
        <v>366273663</v>
      </c>
      <c r="AO120" s="227">
        <v>366273663</v>
      </c>
      <c r="AP120" s="227">
        <v>366273663</v>
      </c>
      <c r="AQ120" s="227">
        <v>366273663</v>
      </c>
      <c r="AR120" s="227">
        <v>366273663</v>
      </c>
      <c r="AS120" s="227">
        <v>366273663</v>
      </c>
      <c r="AT120" s="227">
        <v>366273663</v>
      </c>
      <c r="AU120" s="227">
        <v>366273663</v>
      </c>
      <c r="AV120" s="227">
        <v>366273663</v>
      </c>
      <c r="AW120" s="227">
        <v>366273663</v>
      </c>
      <c r="AX120" s="227">
        <v>366273663</v>
      </c>
      <c r="AY120" s="227">
        <v>366273663</v>
      </c>
      <c r="AZ120" s="227">
        <v>366273663</v>
      </c>
      <c r="BA120" s="227">
        <v>366273663</v>
      </c>
      <c r="BB120" s="227">
        <v>366273663</v>
      </c>
      <c r="BC120" s="227">
        <v>366273663</v>
      </c>
      <c r="BD120" s="227">
        <v>366273663</v>
      </c>
      <c r="BE120" s="227">
        <v>366273663</v>
      </c>
      <c r="BF120" s="227">
        <v>366273663</v>
      </c>
      <c r="BG120" s="227">
        <v>366273663</v>
      </c>
      <c r="BH120" s="227">
        <v>366273663</v>
      </c>
      <c r="BI120" s="227">
        <v>366273663</v>
      </c>
      <c r="BJ120" s="227">
        <v>366273663</v>
      </c>
      <c r="BK120" s="227">
        <v>366273663</v>
      </c>
      <c r="BL120" s="227">
        <v>366273663</v>
      </c>
      <c r="BM120" s="227">
        <v>366273663</v>
      </c>
      <c r="BN120" s="227">
        <v>366273663</v>
      </c>
      <c r="BO120" s="227">
        <v>366273663</v>
      </c>
    </row>
    <row r="121" spans="1:67">
      <c r="A121" s="256"/>
      <c r="B121" s="151" t="s">
        <v>1779</v>
      </c>
      <c r="C121" s="223">
        <v>119</v>
      </c>
      <c r="D121" s="667">
        <v>217800000</v>
      </c>
      <c r="E121" s="667">
        <v>217800000</v>
      </c>
      <c r="F121" s="667">
        <v>217800000</v>
      </c>
      <c r="G121" s="667">
        <v>217800000</v>
      </c>
      <c r="H121" s="667">
        <v>217800000</v>
      </c>
      <c r="I121" s="667">
        <v>217800000</v>
      </c>
      <c r="J121" s="667">
        <v>217800000</v>
      </c>
      <c r="K121" s="667">
        <v>217800000</v>
      </c>
      <c r="L121" s="667">
        <v>217800000</v>
      </c>
      <c r="M121" s="667">
        <v>217800000</v>
      </c>
      <c r="N121" s="667">
        <v>217800000</v>
      </c>
      <c r="O121" s="667">
        <v>217800000</v>
      </c>
      <c r="P121" s="667">
        <v>217800000</v>
      </c>
      <c r="Q121" s="667">
        <v>217800000</v>
      </c>
      <c r="R121" s="667">
        <v>217800000</v>
      </c>
      <c r="S121" s="667">
        <v>217800000</v>
      </c>
      <c r="T121" s="667">
        <v>217800000</v>
      </c>
      <c r="U121" s="667">
        <v>217800000</v>
      </c>
      <c r="V121" s="667">
        <v>217800000</v>
      </c>
      <c r="W121" s="667">
        <v>217800000</v>
      </c>
      <c r="X121" s="667">
        <v>217800000</v>
      </c>
      <c r="Y121" s="667">
        <v>217800000</v>
      </c>
      <c r="Z121" s="667">
        <v>217800000</v>
      </c>
      <c r="AA121" s="667">
        <v>217800000</v>
      </c>
      <c r="AB121" s="667">
        <v>217800000</v>
      </c>
      <c r="AC121" s="667">
        <v>217800000</v>
      </c>
      <c r="AD121" s="667">
        <v>217800000</v>
      </c>
      <c r="AE121" s="667">
        <v>217800000</v>
      </c>
      <c r="AF121" s="667">
        <v>217800000</v>
      </c>
      <c r="AG121" s="667">
        <v>217800000</v>
      </c>
      <c r="AH121" s="667">
        <v>217800000</v>
      </c>
      <c r="AI121" s="667">
        <v>217800000</v>
      </c>
      <c r="AJ121" s="667">
        <v>217800000</v>
      </c>
      <c r="AK121" s="667">
        <v>217800000</v>
      </c>
      <c r="AL121" s="667">
        <v>217800000</v>
      </c>
      <c r="AM121" s="667">
        <v>217800000</v>
      </c>
      <c r="AN121" s="667">
        <v>217800000</v>
      </c>
      <c r="AO121" s="667">
        <v>217800000</v>
      </c>
      <c r="AP121" s="667">
        <v>217800000</v>
      </c>
      <c r="AQ121" s="667">
        <v>217800000</v>
      </c>
      <c r="AR121" s="667">
        <v>217800000</v>
      </c>
      <c r="AS121" s="667">
        <v>217800000</v>
      </c>
      <c r="AT121" s="667">
        <v>217800000</v>
      </c>
      <c r="AU121" s="667">
        <v>217800000</v>
      </c>
      <c r="AV121" s="667">
        <v>217800000</v>
      </c>
      <c r="AW121" s="667">
        <v>217800000</v>
      </c>
      <c r="AX121" s="667">
        <v>217800000</v>
      </c>
      <c r="AY121" s="667">
        <v>217800000</v>
      </c>
      <c r="AZ121" s="667">
        <v>217800000</v>
      </c>
      <c r="BA121" s="667">
        <v>217800000</v>
      </c>
      <c r="BB121" s="667">
        <v>217800000</v>
      </c>
      <c r="BC121" s="667">
        <v>217800000</v>
      </c>
      <c r="BD121" s="667">
        <v>217800000</v>
      </c>
      <c r="BE121" s="667">
        <v>217800000</v>
      </c>
      <c r="BF121" s="667">
        <v>217800000</v>
      </c>
      <c r="BG121" s="667">
        <v>217800000</v>
      </c>
      <c r="BH121" s="667">
        <v>217800000</v>
      </c>
      <c r="BI121" s="667">
        <v>217800000</v>
      </c>
      <c r="BJ121" s="667">
        <v>217800000</v>
      </c>
      <c r="BK121" s="667">
        <v>217800000</v>
      </c>
      <c r="BL121" s="667">
        <v>217800000</v>
      </c>
      <c r="BM121" s="667">
        <v>217800000</v>
      </c>
      <c r="BN121" s="667">
        <v>217800000</v>
      </c>
      <c r="BO121" s="667">
        <v>217800000</v>
      </c>
    </row>
    <row r="122" spans="1:67">
      <c r="A122" s="229" t="s">
        <v>221</v>
      </c>
      <c r="B122" s="230" t="s">
        <v>111</v>
      </c>
      <c r="C122" s="223">
        <v>120</v>
      </c>
      <c r="D122" s="227"/>
      <c r="E122" s="225">
        <f t="shared" ref="E122:J127" si="71">D122</f>
        <v>0</v>
      </c>
      <c r="F122" s="225">
        <f t="shared" si="71"/>
        <v>0</v>
      </c>
      <c r="G122" s="225">
        <f t="shared" si="71"/>
        <v>0</v>
      </c>
      <c r="H122" s="225">
        <f t="shared" si="71"/>
        <v>0</v>
      </c>
      <c r="I122" s="225">
        <f t="shared" si="71"/>
        <v>0</v>
      </c>
      <c r="J122" s="225">
        <f t="shared" si="71"/>
        <v>0</v>
      </c>
      <c r="K122" s="237"/>
      <c r="L122" s="237">
        <f t="shared" ref="L122:S127" si="72">K122</f>
        <v>0</v>
      </c>
      <c r="M122" s="237">
        <f t="shared" si="72"/>
        <v>0</v>
      </c>
      <c r="N122" s="237">
        <f t="shared" si="72"/>
        <v>0</v>
      </c>
      <c r="O122" s="237">
        <f t="shared" si="72"/>
        <v>0</v>
      </c>
      <c r="P122" s="237">
        <f t="shared" si="72"/>
        <v>0</v>
      </c>
      <c r="Q122" s="237">
        <f t="shared" si="72"/>
        <v>0</v>
      </c>
      <c r="R122" s="237">
        <f t="shared" si="72"/>
        <v>0</v>
      </c>
      <c r="S122" s="237">
        <f t="shared" si="72"/>
        <v>0</v>
      </c>
      <c r="T122" s="224"/>
      <c r="U122" s="224">
        <f t="shared" ref="U122:W127" si="73">T122</f>
        <v>0</v>
      </c>
      <c r="V122" s="224">
        <f t="shared" si="73"/>
        <v>0</v>
      </c>
      <c r="W122" s="224">
        <f t="shared" si="73"/>
        <v>0</v>
      </c>
      <c r="X122" s="226"/>
      <c r="Y122" s="226">
        <f t="shared" si="57"/>
        <v>0</v>
      </c>
      <c r="Z122" s="226">
        <f t="shared" si="57"/>
        <v>0</v>
      </c>
      <c r="AA122" s="224"/>
      <c r="AB122" s="224"/>
      <c r="AC122" s="224"/>
      <c r="AD122" s="224">
        <f t="shared" si="46"/>
        <v>0</v>
      </c>
      <c r="AE122" s="224"/>
      <c r="AF122" s="224"/>
      <c r="AG122" s="224">
        <f t="shared" si="47"/>
        <v>0</v>
      </c>
      <c r="AH122" s="226"/>
      <c r="AI122" s="226">
        <f t="shared" ref="AI122:AM127" si="74">AH122</f>
        <v>0</v>
      </c>
      <c r="AJ122" s="226">
        <f t="shared" si="74"/>
        <v>0</v>
      </c>
      <c r="AK122" s="226">
        <f t="shared" si="74"/>
        <v>0</v>
      </c>
      <c r="AL122" s="226">
        <f t="shared" si="74"/>
        <v>0</v>
      </c>
      <c r="AM122" s="226">
        <f t="shared" si="74"/>
        <v>0</v>
      </c>
      <c r="AN122" s="235"/>
      <c r="AO122" s="235">
        <f t="shared" si="59"/>
        <v>0</v>
      </c>
      <c r="AP122" s="235">
        <f t="shared" si="59"/>
        <v>0</v>
      </c>
      <c r="AQ122" s="236">
        <f t="shared" si="59"/>
        <v>0</v>
      </c>
      <c r="AR122" s="236">
        <f t="shared" si="59"/>
        <v>0</v>
      </c>
      <c r="AS122" s="236">
        <f t="shared" si="59"/>
        <v>0</v>
      </c>
      <c r="AT122" s="236">
        <f t="shared" si="59"/>
        <v>0</v>
      </c>
      <c r="AU122" s="236">
        <f t="shared" si="59"/>
        <v>0</v>
      </c>
      <c r="AV122" s="236">
        <f t="shared" si="59"/>
        <v>0</v>
      </c>
      <c r="AW122" s="226"/>
      <c r="AX122" s="226">
        <f t="shared" ref="AX122:BB127" si="75">AW122</f>
        <v>0</v>
      </c>
      <c r="AY122" s="226">
        <f t="shared" si="75"/>
        <v>0</v>
      </c>
      <c r="AZ122" s="226">
        <f t="shared" si="75"/>
        <v>0</v>
      </c>
      <c r="BA122" s="226">
        <f t="shared" si="75"/>
        <v>0</v>
      </c>
      <c r="BB122" s="226">
        <f t="shared" si="75"/>
        <v>0</v>
      </c>
      <c r="BC122" s="224"/>
      <c r="BD122" s="224">
        <f t="shared" si="63"/>
        <v>0</v>
      </c>
      <c r="BE122" s="224">
        <f t="shared" si="63"/>
        <v>0</v>
      </c>
      <c r="BF122" s="224">
        <f t="shared" si="63"/>
        <v>0</v>
      </c>
      <c r="BG122" s="224">
        <f t="shared" si="63"/>
        <v>0</v>
      </c>
      <c r="BH122" s="224">
        <f t="shared" si="63"/>
        <v>0</v>
      </c>
      <c r="BI122" s="224">
        <f t="shared" si="63"/>
        <v>0</v>
      </c>
      <c r="BJ122" s="224">
        <f t="shared" si="63"/>
        <v>0</v>
      </c>
      <c r="BK122" s="224">
        <f t="shared" si="63"/>
        <v>0</v>
      </c>
      <c r="BL122" s="224">
        <f t="shared" si="63"/>
        <v>0</v>
      </c>
      <c r="BM122" s="224">
        <f t="shared" si="63"/>
        <v>0</v>
      </c>
      <c r="BN122" s="224">
        <f t="shared" si="63"/>
        <v>0</v>
      </c>
      <c r="BO122" s="224">
        <f t="shared" si="63"/>
        <v>0</v>
      </c>
    </row>
    <row r="123" spans="1:67">
      <c r="A123" s="223">
        <v>1</v>
      </c>
      <c r="B123" s="151" t="s">
        <v>476</v>
      </c>
      <c r="C123" s="223">
        <v>121</v>
      </c>
      <c r="D123" s="224">
        <v>52144400</v>
      </c>
      <c r="E123" s="225">
        <f t="shared" si="71"/>
        <v>52144400</v>
      </c>
      <c r="F123" s="225">
        <f t="shared" si="71"/>
        <v>52144400</v>
      </c>
      <c r="G123" s="225">
        <f t="shared" si="71"/>
        <v>52144400</v>
      </c>
      <c r="H123" s="225">
        <f t="shared" si="71"/>
        <v>52144400</v>
      </c>
      <c r="I123" s="225">
        <f t="shared" si="71"/>
        <v>52144400</v>
      </c>
      <c r="J123" s="225">
        <f t="shared" si="71"/>
        <v>52144400</v>
      </c>
      <c r="K123" s="237">
        <f>J123</f>
        <v>52144400</v>
      </c>
      <c r="L123" s="237">
        <f t="shared" si="72"/>
        <v>52144400</v>
      </c>
      <c r="M123" s="237">
        <f t="shared" si="72"/>
        <v>52144400</v>
      </c>
      <c r="N123" s="237">
        <f t="shared" si="72"/>
        <v>52144400</v>
      </c>
      <c r="O123" s="237">
        <f t="shared" si="72"/>
        <v>52144400</v>
      </c>
      <c r="P123" s="237">
        <f t="shared" si="72"/>
        <v>52144400</v>
      </c>
      <c r="Q123" s="237">
        <f t="shared" si="72"/>
        <v>52144400</v>
      </c>
      <c r="R123" s="237">
        <f t="shared" si="72"/>
        <v>52144400</v>
      </c>
      <c r="S123" s="237">
        <f t="shared" si="72"/>
        <v>52144400</v>
      </c>
      <c r="T123" s="224">
        <v>52144400</v>
      </c>
      <c r="U123" s="224">
        <f t="shared" si="73"/>
        <v>52144400</v>
      </c>
      <c r="V123" s="224">
        <f t="shared" si="73"/>
        <v>52144400</v>
      </c>
      <c r="W123" s="224">
        <f t="shared" si="73"/>
        <v>52144400</v>
      </c>
      <c r="X123" s="226">
        <v>52144400</v>
      </c>
      <c r="Y123" s="226">
        <f t="shared" si="57"/>
        <v>52144400</v>
      </c>
      <c r="Z123" s="226">
        <f t="shared" si="57"/>
        <v>52144400</v>
      </c>
      <c r="AA123" s="224">
        <v>52144400</v>
      </c>
      <c r="AB123" s="224">
        <v>52144400</v>
      </c>
      <c r="AC123" s="224">
        <v>52144400</v>
      </c>
      <c r="AD123" s="224">
        <f t="shared" si="46"/>
        <v>52144400</v>
      </c>
      <c r="AE123" s="224">
        <v>52144400</v>
      </c>
      <c r="AF123" s="224">
        <v>52144400</v>
      </c>
      <c r="AG123" s="224">
        <f t="shared" si="47"/>
        <v>52144400</v>
      </c>
      <c r="AH123" s="226">
        <v>52144400</v>
      </c>
      <c r="AI123" s="226">
        <f t="shared" si="74"/>
        <v>52144400</v>
      </c>
      <c r="AJ123" s="226">
        <f t="shared" si="74"/>
        <v>52144400</v>
      </c>
      <c r="AK123" s="226">
        <f t="shared" si="74"/>
        <v>52144400</v>
      </c>
      <c r="AL123" s="226">
        <f t="shared" si="74"/>
        <v>52144400</v>
      </c>
      <c r="AM123" s="226">
        <f t="shared" si="74"/>
        <v>52144400</v>
      </c>
      <c r="AN123" s="235">
        <v>52144400</v>
      </c>
      <c r="AO123" s="235">
        <f t="shared" si="59"/>
        <v>52144400</v>
      </c>
      <c r="AP123" s="235">
        <f t="shared" si="59"/>
        <v>52144400</v>
      </c>
      <c r="AQ123" s="236">
        <f t="shared" si="59"/>
        <v>52144400</v>
      </c>
      <c r="AR123" s="236">
        <f t="shared" si="59"/>
        <v>52144400</v>
      </c>
      <c r="AS123" s="236">
        <f t="shared" si="59"/>
        <v>52144400</v>
      </c>
      <c r="AT123" s="236">
        <f t="shared" si="59"/>
        <v>52144400</v>
      </c>
      <c r="AU123" s="236">
        <f t="shared" si="59"/>
        <v>52144400</v>
      </c>
      <c r="AV123" s="236">
        <f t="shared" si="59"/>
        <v>52144400</v>
      </c>
      <c r="AW123" s="226">
        <v>52144400</v>
      </c>
      <c r="AX123" s="226">
        <f t="shared" si="75"/>
        <v>52144400</v>
      </c>
      <c r="AY123" s="226">
        <f t="shared" si="75"/>
        <v>52144400</v>
      </c>
      <c r="AZ123" s="226">
        <f t="shared" si="75"/>
        <v>52144400</v>
      </c>
      <c r="BA123" s="226">
        <f t="shared" si="75"/>
        <v>52144400</v>
      </c>
      <c r="BB123" s="226">
        <f t="shared" si="75"/>
        <v>52144400</v>
      </c>
      <c r="BC123" s="224">
        <v>52144400</v>
      </c>
      <c r="BD123" s="224">
        <f t="shared" si="63"/>
        <v>52144400</v>
      </c>
      <c r="BE123" s="224">
        <f t="shared" si="63"/>
        <v>52144400</v>
      </c>
      <c r="BF123" s="224">
        <f t="shared" si="63"/>
        <v>52144400</v>
      </c>
      <c r="BG123" s="224">
        <f t="shared" si="63"/>
        <v>52144400</v>
      </c>
      <c r="BH123" s="224">
        <f t="shared" si="63"/>
        <v>52144400</v>
      </c>
      <c r="BI123" s="224">
        <f t="shared" si="63"/>
        <v>52144400</v>
      </c>
      <c r="BJ123" s="224">
        <f t="shared" si="63"/>
        <v>52144400</v>
      </c>
      <c r="BK123" s="224">
        <f t="shared" si="63"/>
        <v>52144400</v>
      </c>
      <c r="BL123" s="224">
        <f t="shared" si="63"/>
        <v>52144400</v>
      </c>
      <c r="BM123" s="224">
        <f t="shared" si="63"/>
        <v>52144400</v>
      </c>
      <c r="BN123" s="224">
        <f t="shared" si="63"/>
        <v>52144400</v>
      </c>
      <c r="BO123" s="224">
        <f t="shared" si="63"/>
        <v>52144400</v>
      </c>
    </row>
    <row r="124" spans="1:67">
      <c r="A124" s="223">
        <f>A123+1</f>
        <v>2</v>
      </c>
      <c r="B124" s="151" t="s">
        <v>477</v>
      </c>
      <c r="C124" s="223">
        <v>122</v>
      </c>
      <c r="D124" s="224">
        <v>45500000</v>
      </c>
      <c r="E124" s="225">
        <f t="shared" si="71"/>
        <v>45500000</v>
      </c>
      <c r="F124" s="225">
        <f t="shared" si="71"/>
        <v>45500000</v>
      </c>
      <c r="G124" s="225">
        <f t="shared" si="71"/>
        <v>45500000</v>
      </c>
      <c r="H124" s="225">
        <f t="shared" si="71"/>
        <v>45500000</v>
      </c>
      <c r="I124" s="225">
        <f t="shared" si="71"/>
        <v>45500000</v>
      </c>
      <c r="J124" s="225">
        <f t="shared" si="71"/>
        <v>45500000</v>
      </c>
      <c r="K124" s="237">
        <f>J124</f>
        <v>45500000</v>
      </c>
      <c r="L124" s="237">
        <f t="shared" si="72"/>
        <v>45500000</v>
      </c>
      <c r="M124" s="237">
        <f t="shared" si="72"/>
        <v>45500000</v>
      </c>
      <c r="N124" s="237">
        <f t="shared" si="72"/>
        <v>45500000</v>
      </c>
      <c r="O124" s="237">
        <f t="shared" si="72"/>
        <v>45500000</v>
      </c>
      <c r="P124" s="237">
        <f t="shared" si="72"/>
        <v>45500000</v>
      </c>
      <c r="Q124" s="237">
        <f t="shared" si="72"/>
        <v>45500000</v>
      </c>
      <c r="R124" s="237">
        <f t="shared" si="72"/>
        <v>45500000</v>
      </c>
      <c r="S124" s="237">
        <f t="shared" si="72"/>
        <v>45500000</v>
      </c>
      <c r="T124" s="224">
        <v>45500000</v>
      </c>
      <c r="U124" s="224">
        <f t="shared" si="73"/>
        <v>45500000</v>
      </c>
      <c r="V124" s="224">
        <f t="shared" si="73"/>
        <v>45500000</v>
      </c>
      <c r="W124" s="224">
        <f t="shared" si="73"/>
        <v>45500000</v>
      </c>
      <c r="X124" s="226">
        <v>45500000</v>
      </c>
      <c r="Y124" s="226">
        <f t="shared" si="57"/>
        <v>45500000</v>
      </c>
      <c r="Z124" s="226">
        <f t="shared" si="57"/>
        <v>45500000</v>
      </c>
      <c r="AA124" s="224">
        <v>45500000</v>
      </c>
      <c r="AB124" s="224">
        <v>45500000</v>
      </c>
      <c r="AC124" s="224">
        <v>45500000</v>
      </c>
      <c r="AD124" s="224">
        <f t="shared" si="46"/>
        <v>45500000</v>
      </c>
      <c r="AE124" s="224">
        <v>45500000</v>
      </c>
      <c r="AF124" s="224">
        <v>45500000</v>
      </c>
      <c r="AG124" s="224">
        <f t="shared" si="47"/>
        <v>45500000</v>
      </c>
      <c r="AH124" s="226">
        <v>45500000</v>
      </c>
      <c r="AI124" s="226">
        <f t="shared" si="74"/>
        <v>45500000</v>
      </c>
      <c r="AJ124" s="226">
        <f t="shared" si="74"/>
        <v>45500000</v>
      </c>
      <c r="AK124" s="226">
        <f t="shared" si="74"/>
        <v>45500000</v>
      </c>
      <c r="AL124" s="226">
        <f t="shared" si="74"/>
        <v>45500000</v>
      </c>
      <c r="AM124" s="226">
        <f t="shared" si="74"/>
        <v>45500000</v>
      </c>
      <c r="AN124" s="235">
        <v>45500000</v>
      </c>
      <c r="AO124" s="235">
        <f t="shared" si="59"/>
        <v>45500000</v>
      </c>
      <c r="AP124" s="235">
        <f t="shared" si="59"/>
        <v>45500000</v>
      </c>
      <c r="AQ124" s="236">
        <f t="shared" si="59"/>
        <v>45500000</v>
      </c>
      <c r="AR124" s="236">
        <f t="shared" si="59"/>
        <v>45500000</v>
      </c>
      <c r="AS124" s="236">
        <f t="shared" si="59"/>
        <v>45500000</v>
      </c>
      <c r="AT124" s="236">
        <f t="shared" si="59"/>
        <v>45500000</v>
      </c>
      <c r="AU124" s="236">
        <f t="shared" si="59"/>
        <v>45500000</v>
      </c>
      <c r="AV124" s="236">
        <f t="shared" si="59"/>
        <v>45500000</v>
      </c>
      <c r="AW124" s="226">
        <v>45500000</v>
      </c>
      <c r="AX124" s="226">
        <f t="shared" si="75"/>
        <v>45500000</v>
      </c>
      <c r="AY124" s="226">
        <f t="shared" si="75"/>
        <v>45500000</v>
      </c>
      <c r="AZ124" s="226">
        <f t="shared" si="75"/>
        <v>45500000</v>
      </c>
      <c r="BA124" s="226">
        <f t="shared" si="75"/>
        <v>45500000</v>
      </c>
      <c r="BB124" s="226">
        <f t="shared" si="75"/>
        <v>45500000</v>
      </c>
      <c r="BC124" s="224">
        <v>45500000</v>
      </c>
      <c r="BD124" s="224">
        <f t="shared" si="63"/>
        <v>45500000</v>
      </c>
      <c r="BE124" s="224">
        <f t="shared" si="63"/>
        <v>45500000</v>
      </c>
      <c r="BF124" s="224">
        <f t="shared" si="63"/>
        <v>45500000</v>
      </c>
      <c r="BG124" s="224">
        <f t="shared" si="63"/>
        <v>45500000</v>
      </c>
      <c r="BH124" s="224">
        <f t="shared" si="63"/>
        <v>45500000</v>
      </c>
      <c r="BI124" s="224">
        <f t="shared" si="63"/>
        <v>45500000</v>
      </c>
      <c r="BJ124" s="224">
        <f t="shared" si="63"/>
        <v>45500000</v>
      </c>
      <c r="BK124" s="224">
        <f t="shared" si="63"/>
        <v>45500000</v>
      </c>
      <c r="BL124" s="224">
        <f t="shared" si="63"/>
        <v>45500000</v>
      </c>
      <c r="BM124" s="224">
        <f t="shared" si="63"/>
        <v>45500000</v>
      </c>
      <c r="BN124" s="224">
        <f t="shared" si="63"/>
        <v>45500000</v>
      </c>
      <c r="BO124" s="224">
        <f t="shared" si="63"/>
        <v>45500000</v>
      </c>
    </row>
    <row r="125" spans="1:67" ht="30">
      <c r="A125" s="223">
        <f>A124+1</f>
        <v>3</v>
      </c>
      <c r="B125" s="228" t="s">
        <v>478</v>
      </c>
      <c r="C125" s="223">
        <v>123</v>
      </c>
      <c r="D125" s="224">
        <f>52144400+0.186*36000000</f>
        <v>58840400</v>
      </c>
      <c r="E125" s="225">
        <f t="shared" si="71"/>
        <v>58840400</v>
      </c>
      <c r="F125" s="225">
        <f t="shared" si="71"/>
        <v>58840400</v>
      </c>
      <c r="G125" s="225">
        <f t="shared" si="71"/>
        <v>58840400</v>
      </c>
      <c r="H125" s="225">
        <f t="shared" si="71"/>
        <v>58840400</v>
      </c>
      <c r="I125" s="225">
        <f t="shared" si="71"/>
        <v>58840400</v>
      </c>
      <c r="J125" s="225">
        <f t="shared" si="71"/>
        <v>58840400</v>
      </c>
      <c r="K125" s="237">
        <f>J125</f>
        <v>58840400</v>
      </c>
      <c r="L125" s="237">
        <f t="shared" si="72"/>
        <v>58840400</v>
      </c>
      <c r="M125" s="237">
        <f t="shared" si="72"/>
        <v>58840400</v>
      </c>
      <c r="N125" s="237">
        <f t="shared" si="72"/>
        <v>58840400</v>
      </c>
      <c r="O125" s="237">
        <f t="shared" si="72"/>
        <v>58840400</v>
      </c>
      <c r="P125" s="237">
        <f t="shared" si="72"/>
        <v>58840400</v>
      </c>
      <c r="Q125" s="237">
        <f t="shared" si="72"/>
        <v>58840400</v>
      </c>
      <c r="R125" s="237">
        <f t="shared" si="72"/>
        <v>58840400</v>
      </c>
      <c r="S125" s="237">
        <f t="shared" si="72"/>
        <v>58840400</v>
      </c>
      <c r="T125" s="224">
        <f>52144400+0.186*36000000</f>
        <v>58840400</v>
      </c>
      <c r="U125" s="224">
        <f t="shared" si="73"/>
        <v>58840400</v>
      </c>
      <c r="V125" s="224">
        <f t="shared" si="73"/>
        <v>58840400</v>
      </c>
      <c r="W125" s="224">
        <f t="shared" si="73"/>
        <v>58840400</v>
      </c>
      <c r="X125" s="226">
        <v>58840400</v>
      </c>
      <c r="Y125" s="226">
        <f t="shared" si="57"/>
        <v>58840400</v>
      </c>
      <c r="Z125" s="226">
        <f t="shared" si="57"/>
        <v>58840400</v>
      </c>
      <c r="AA125" s="224">
        <f>52144400+0.186*36000000</f>
        <v>58840400</v>
      </c>
      <c r="AB125" s="224">
        <f>52144400+0.186*36000000</f>
        <v>58840400</v>
      </c>
      <c r="AC125" s="224">
        <f>52144400+0.186*36000000</f>
        <v>58840400</v>
      </c>
      <c r="AD125" s="224">
        <f t="shared" si="46"/>
        <v>58840400</v>
      </c>
      <c r="AE125" s="224">
        <f>52144400+0.186*36000000</f>
        <v>58840400</v>
      </c>
      <c r="AF125" s="224">
        <f>52144400+0.186*36000000</f>
        <v>58840400</v>
      </c>
      <c r="AG125" s="224">
        <f t="shared" si="47"/>
        <v>58840400</v>
      </c>
      <c r="AH125" s="226">
        <f>52144400+0.186*36000000</f>
        <v>58840400</v>
      </c>
      <c r="AI125" s="226">
        <f t="shared" si="74"/>
        <v>58840400</v>
      </c>
      <c r="AJ125" s="226">
        <f t="shared" si="74"/>
        <v>58840400</v>
      </c>
      <c r="AK125" s="226">
        <f t="shared" si="74"/>
        <v>58840400</v>
      </c>
      <c r="AL125" s="226">
        <f t="shared" si="74"/>
        <v>58840400</v>
      </c>
      <c r="AM125" s="226">
        <f t="shared" si="74"/>
        <v>58840400</v>
      </c>
      <c r="AN125" s="235">
        <f>52144400+0.186*36000000</f>
        <v>58840400</v>
      </c>
      <c r="AO125" s="235">
        <f t="shared" si="59"/>
        <v>58840400</v>
      </c>
      <c r="AP125" s="235">
        <f t="shared" si="59"/>
        <v>58840400</v>
      </c>
      <c r="AQ125" s="236">
        <f t="shared" si="59"/>
        <v>58840400</v>
      </c>
      <c r="AR125" s="236">
        <f t="shared" si="59"/>
        <v>58840400</v>
      </c>
      <c r="AS125" s="236">
        <f t="shared" si="59"/>
        <v>58840400</v>
      </c>
      <c r="AT125" s="236">
        <f t="shared" si="59"/>
        <v>58840400</v>
      </c>
      <c r="AU125" s="236">
        <f t="shared" si="59"/>
        <v>58840400</v>
      </c>
      <c r="AV125" s="236">
        <f t="shared" si="59"/>
        <v>58840400</v>
      </c>
      <c r="AW125" s="226">
        <f>52144400+0.186*36000000</f>
        <v>58840400</v>
      </c>
      <c r="AX125" s="226">
        <f t="shared" si="75"/>
        <v>58840400</v>
      </c>
      <c r="AY125" s="226">
        <f t="shared" si="75"/>
        <v>58840400</v>
      </c>
      <c r="AZ125" s="226">
        <f t="shared" si="75"/>
        <v>58840400</v>
      </c>
      <c r="BA125" s="226">
        <f t="shared" si="75"/>
        <v>58840400</v>
      </c>
      <c r="BB125" s="226">
        <f t="shared" si="75"/>
        <v>58840400</v>
      </c>
      <c r="BC125" s="224">
        <f>52144400+0.186*36000000</f>
        <v>58840400</v>
      </c>
      <c r="BD125" s="224">
        <f t="shared" si="63"/>
        <v>58840400</v>
      </c>
      <c r="BE125" s="224">
        <f t="shared" si="63"/>
        <v>58840400</v>
      </c>
      <c r="BF125" s="224">
        <f t="shared" si="63"/>
        <v>58840400</v>
      </c>
      <c r="BG125" s="224">
        <f t="shared" si="63"/>
        <v>58840400</v>
      </c>
      <c r="BH125" s="224">
        <f t="shared" si="63"/>
        <v>58840400</v>
      </c>
      <c r="BI125" s="224">
        <f t="shared" si="63"/>
        <v>58840400</v>
      </c>
      <c r="BJ125" s="224">
        <f t="shared" si="63"/>
        <v>58840400</v>
      </c>
      <c r="BK125" s="224">
        <f t="shared" si="63"/>
        <v>58840400</v>
      </c>
      <c r="BL125" s="224">
        <f t="shared" si="63"/>
        <v>58840400</v>
      </c>
      <c r="BM125" s="224">
        <f t="shared" si="63"/>
        <v>58840400</v>
      </c>
      <c r="BN125" s="224">
        <f t="shared" si="63"/>
        <v>58840400</v>
      </c>
      <c r="BO125" s="224">
        <f t="shared" si="63"/>
        <v>58840400</v>
      </c>
    </row>
    <row r="126" spans="1:67" ht="30">
      <c r="A126" s="223">
        <f>A125+1</f>
        <v>4</v>
      </c>
      <c r="B126" s="228" t="s">
        <v>479</v>
      </c>
      <c r="C126" s="223">
        <v>124</v>
      </c>
      <c r="D126" s="224">
        <v>25223472</v>
      </c>
      <c r="E126" s="225">
        <f t="shared" si="71"/>
        <v>25223472</v>
      </c>
      <c r="F126" s="225">
        <f t="shared" si="71"/>
        <v>25223472</v>
      </c>
      <c r="G126" s="225">
        <f t="shared" si="71"/>
        <v>25223472</v>
      </c>
      <c r="H126" s="225">
        <f t="shared" si="71"/>
        <v>25223472</v>
      </c>
      <c r="I126" s="225">
        <f t="shared" si="71"/>
        <v>25223472</v>
      </c>
      <c r="J126" s="225">
        <f t="shared" si="71"/>
        <v>25223472</v>
      </c>
      <c r="K126" s="237">
        <f>J126</f>
        <v>25223472</v>
      </c>
      <c r="L126" s="237">
        <f t="shared" si="72"/>
        <v>25223472</v>
      </c>
      <c r="M126" s="237">
        <f t="shared" si="72"/>
        <v>25223472</v>
      </c>
      <c r="N126" s="237">
        <f t="shared" si="72"/>
        <v>25223472</v>
      </c>
      <c r="O126" s="237">
        <f t="shared" si="72"/>
        <v>25223472</v>
      </c>
      <c r="P126" s="237">
        <f t="shared" si="72"/>
        <v>25223472</v>
      </c>
      <c r="Q126" s="237">
        <f t="shared" si="72"/>
        <v>25223472</v>
      </c>
      <c r="R126" s="237">
        <f t="shared" si="72"/>
        <v>25223472</v>
      </c>
      <c r="S126" s="237">
        <f t="shared" si="72"/>
        <v>25223472</v>
      </c>
      <c r="T126" s="224">
        <v>25223472</v>
      </c>
      <c r="U126" s="224">
        <f t="shared" si="73"/>
        <v>25223472</v>
      </c>
      <c r="V126" s="224">
        <f t="shared" si="73"/>
        <v>25223472</v>
      </c>
      <c r="W126" s="224">
        <f t="shared" si="73"/>
        <v>25223472</v>
      </c>
      <c r="X126" s="226">
        <v>25223472</v>
      </c>
      <c r="Y126" s="226">
        <f t="shared" si="57"/>
        <v>25223472</v>
      </c>
      <c r="Z126" s="226">
        <f t="shared" si="57"/>
        <v>25223472</v>
      </c>
      <c r="AA126" s="224">
        <v>25223472</v>
      </c>
      <c r="AB126" s="224">
        <v>25223472</v>
      </c>
      <c r="AC126" s="224">
        <v>25223472</v>
      </c>
      <c r="AD126" s="224">
        <f t="shared" si="46"/>
        <v>25223472</v>
      </c>
      <c r="AE126" s="224">
        <v>25223472</v>
      </c>
      <c r="AF126" s="224">
        <v>25223472</v>
      </c>
      <c r="AG126" s="224">
        <f t="shared" si="47"/>
        <v>25223472</v>
      </c>
      <c r="AH126" s="226">
        <v>25223472</v>
      </c>
      <c r="AI126" s="226">
        <f t="shared" si="74"/>
        <v>25223472</v>
      </c>
      <c r="AJ126" s="226">
        <f t="shared" si="74"/>
        <v>25223472</v>
      </c>
      <c r="AK126" s="226">
        <f t="shared" si="74"/>
        <v>25223472</v>
      </c>
      <c r="AL126" s="226">
        <f t="shared" si="74"/>
        <v>25223472</v>
      </c>
      <c r="AM126" s="226">
        <f t="shared" si="74"/>
        <v>25223472</v>
      </c>
      <c r="AN126" s="235">
        <v>25223472</v>
      </c>
      <c r="AO126" s="235">
        <f t="shared" si="59"/>
        <v>25223472</v>
      </c>
      <c r="AP126" s="235">
        <f t="shared" si="59"/>
        <v>25223472</v>
      </c>
      <c r="AQ126" s="236">
        <f t="shared" si="59"/>
        <v>25223472</v>
      </c>
      <c r="AR126" s="236">
        <f t="shared" si="59"/>
        <v>25223472</v>
      </c>
      <c r="AS126" s="236">
        <f t="shared" si="59"/>
        <v>25223472</v>
      </c>
      <c r="AT126" s="236">
        <f t="shared" si="59"/>
        <v>25223472</v>
      </c>
      <c r="AU126" s="236">
        <f t="shared" si="59"/>
        <v>25223472</v>
      </c>
      <c r="AV126" s="236">
        <f t="shared" si="59"/>
        <v>25223472</v>
      </c>
      <c r="AW126" s="226">
        <v>25223472</v>
      </c>
      <c r="AX126" s="226">
        <f t="shared" si="75"/>
        <v>25223472</v>
      </c>
      <c r="AY126" s="226">
        <f t="shared" si="75"/>
        <v>25223472</v>
      </c>
      <c r="AZ126" s="226">
        <f t="shared" si="75"/>
        <v>25223472</v>
      </c>
      <c r="BA126" s="226">
        <f t="shared" si="75"/>
        <v>25223472</v>
      </c>
      <c r="BB126" s="226">
        <f t="shared" si="75"/>
        <v>25223472</v>
      </c>
      <c r="BC126" s="224">
        <v>25223472</v>
      </c>
      <c r="BD126" s="224">
        <f t="shared" si="63"/>
        <v>25223472</v>
      </c>
      <c r="BE126" s="224">
        <f t="shared" si="63"/>
        <v>25223472</v>
      </c>
      <c r="BF126" s="224">
        <f t="shared" si="63"/>
        <v>25223472</v>
      </c>
      <c r="BG126" s="224">
        <f t="shared" si="63"/>
        <v>25223472</v>
      </c>
      <c r="BH126" s="224">
        <f t="shared" si="63"/>
        <v>25223472</v>
      </c>
      <c r="BI126" s="224">
        <f t="shared" si="63"/>
        <v>25223472</v>
      </c>
      <c r="BJ126" s="224">
        <f t="shared" si="63"/>
        <v>25223472</v>
      </c>
      <c r="BK126" s="224">
        <f t="shared" si="63"/>
        <v>25223472</v>
      </c>
      <c r="BL126" s="224">
        <f t="shared" si="63"/>
        <v>25223472</v>
      </c>
      <c r="BM126" s="224">
        <f t="shared" si="63"/>
        <v>25223472</v>
      </c>
      <c r="BN126" s="224">
        <f t="shared" si="63"/>
        <v>25223472</v>
      </c>
      <c r="BO126" s="224">
        <f t="shared" si="63"/>
        <v>25223472</v>
      </c>
    </row>
    <row r="127" spans="1:67" ht="30">
      <c r="A127" s="223">
        <f>A126+1</f>
        <v>5</v>
      </c>
      <c r="B127" s="228" t="s">
        <v>480</v>
      </c>
      <c r="C127" s="223">
        <v>125</v>
      </c>
      <c r="D127" s="224">
        <f>(3*2*4+8)*600000</f>
        <v>19200000</v>
      </c>
      <c r="E127" s="225">
        <f t="shared" si="71"/>
        <v>19200000</v>
      </c>
      <c r="F127" s="225">
        <f t="shared" si="71"/>
        <v>19200000</v>
      </c>
      <c r="G127" s="225">
        <f t="shared" si="71"/>
        <v>19200000</v>
      </c>
      <c r="H127" s="225">
        <f t="shared" si="71"/>
        <v>19200000</v>
      </c>
      <c r="I127" s="225">
        <f t="shared" si="71"/>
        <v>19200000</v>
      </c>
      <c r="J127" s="225">
        <f t="shared" si="71"/>
        <v>19200000</v>
      </c>
      <c r="K127" s="237">
        <f>J127</f>
        <v>19200000</v>
      </c>
      <c r="L127" s="237">
        <f t="shared" si="72"/>
        <v>19200000</v>
      </c>
      <c r="M127" s="237">
        <f t="shared" si="72"/>
        <v>19200000</v>
      </c>
      <c r="N127" s="237">
        <f t="shared" si="72"/>
        <v>19200000</v>
      </c>
      <c r="O127" s="237">
        <f t="shared" si="72"/>
        <v>19200000</v>
      </c>
      <c r="P127" s="237">
        <f t="shared" si="72"/>
        <v>19200000</v>
      </c>
      <c r="Q127" s="237">
        <f t="shared" si="72"/>
        <v>19200000</v>
      </c>
      <c r="R127" s="237">
        <f t="shared" si="72"/>
        <v>19200000</v>
      </c>
      <c r="S127" s="237">
        <f t="shared" si="72"/>
        <v>19200000</v>
      </c>
      <c r="T127" s="224">
        <f>(3*2*4+8)*600000</f>
        <v>19200000</v>
      </c>
      <c r="U127" s="224">
        <f t="shared" si="73"/>
        <v>19200000</v>
      </c>
      <c r="V127" s="224">
        <f t="shared" si="73"/>
        <v>19200000</v>
      </c>
      <c r="W127" s="224">
        <f t="shared" si="73"/>
        <v>19200000</v>
      </c>
      <c r="X127" s="226">
        <v>19200000</v>
      </c>
      <c r="Y127" s="226">
        <f t="shared" si="57"/>
        <v>19200000</v>
      </c>
      <c r="Z127" s="226">
        <f t="shared" si="57"/>
        <v>19200000</v>
      </c>
      <c r="AA127" s="224">
        <f>(3*2*4+8)*600000</f>
        <v>19200000</v>
      </c>
      <c r="AB127" s="224">
        <f>(3*2*4+8)*600000</f>
        <v>19200000</v>
      </c>
      <c r="AC127" s="224">
        <f>(3*2*4+8)*600000</f>
        <v>19200000</v>
      </c>
      <c r="AD127" s="224">
        <f t="shared" si="46"/>
        <v>19200000</v>
      </c>
      <c r="AE127" s="224">
        <f>(3*2*4+8)*600000</f>
        <v>19200000</v>
      </c>
      <c r="AF127" s="224">
        <f>(3*2*4+8)*600000</f>
        <v>19200000</v>
      </c>
      <c r="AG127" s="224">
        <f t="shared" si="47"/>
        <v>19200000</v>
      </c>
      <c r="AH127" s="226">
        <f>(3*2*4+8)*600000</f>
        <v>19200000</v>
      </c>
      <c r="AI127" s="226">
        <f t="shared" si="74"/>
        <v>19200000</v>
      </c>
      <c r="AJ127" s="226">
        <f t="shared" si="74"/>
        <v>19200000</v>
      </c>
      <c r="AK127" s="226">
        <f t="shared" si="74"/>
        <v>19200000</v>
      </c>
      <c r="AL127" s="226">
        <f t="shared" si="74"/>
        <v>19200000</v>
      </c>
      <c r="AM127" s="226">
        <f t="shared" si="74"/>
        <v>19200000</v>
      </c>
      <c r="AN127" s="235">
        <f>(3*2*4+8)*600000</f>
        <v>19200000</v>
      </c>
      <c r="AO127" s="235">
        <f t="shared" si="59"/>
        <v>19200000</v>
      </c>
      <c r="AP127" s="235">
        <f t="shared" si="59"/>
        <v>19200000</v>
      </c>
      <c r="AQ127" s="236">
        <f t="shared" si="59"/>
        <v>19200000</v>
      </c>
      <c r="AR127" s="236">
        <f t="shared" si="59"/>
        <v>19200000</v>
      </c>
      <c r="AS127" s="236">
        <f t="shared" si="59"/>
        <v>19200000</v>
      </c>
      <c r="AT127" s="236">
        <f t="shared" si="59"/>
        <v>19200000</v>
      </c>
      <c r="AU127" s="236">
        <f t="shared" si="59"/>
        <v>19200000</v>
      </c>
      <c r="AV127" s="236">
        <f t="shared" si="59"/>
        <v>19200000</v>
      </c>
      <c r="AW127" s="226">
        <f>(3*2*4+8)*600000</f>
        <v>19200000</v>
      </c>
      <c r="AX127" s="226">
        <f t="shared" si="75"/>
        <v>19200000</v>
      </c>
      <c r="AY127" s="226">
        <f t="shared" si="75"/>
        <v>19200000</v>
      </c>
      <c r="AZ127" s="226">
        <f t="shared" si="75"/>
        <v>19200000</v>
      </c>
      <c r="BA127" s="226">
        <f t="shared" si="75"/>
        <v>19200000</v>
      </c>
      <c r="BB127" s="226">
        <f t="shared" si="75"/>
        <v>19200000</v>
      </c>
      <c r="BC127" s="224">
        <f>(3*2*4+8)*600000</f>
        <v>19200000</v>
      </c>
      <c r="BD127" s="224">
        <f t="shared" si="63"/>
        <v>19200000</v>
      </c>
      <c r="BE127" s="224">
        <f t="shared" si="63"/>
        <v>19200000</v>
      </c>
      <c r="BF127" s="224">
        <f t="shared" si="63"/>
        <v>19200000</v>
      </c>
      <c r="BG127" s="224">
        <f t="shared" si="63"/>
        <v>19200000</v>
      </c>
      <c r="BH127" s="224">
        <f t="shared" si="63"/>
        <v>19200000</v>
      </c>
      <c r="BI127" s="224">
        <f t="shared" si="63"/>
        <v>19200000</v>
      </c>
      <c r="BJ127" s="224">
        <f t="shared" si="63"/>
        <v>19200000</v>
      </c>
      <c r="BK127" s="224">
        <f t="shared" si="63"/>
        <v>19200000</v>
      </c>
      <c r="BL127" s="224">
        <f t="shared" si="63"/>
        <v>19200000</v>
      </c>
      <c r="BM127" s="224">
        <f t="shared" si="63"/>
        <v>19200000</v>
      </c>
      <c r="BN127" s="224">
        <f t="shared" si="63"/>
        <v>19200000</v>
      </c>
      <c r="BO127" s="224">
        <f t="shared" si="63"/>
        <v>19200000</v>
      </c>
    </row>
    <row r="128" spans="1:67" ht="20.25" customHeight="1">
      <c r="A128" s="256">
        <v>5</v>
      </c>
      <c r="B128" s="634" t="s">
        <v>1773</v>
      </c>
      <c r="C128" s="223">
        <v>126</v>
      </c>
      <c r="D128" s="258">
        <v>94622547.400000006</v>
      </c>
      <c r="E128" s="258">
        <v>94622547.400000006</v>
      </c>
      <c r="F128" s="258">
        <v>94622547.400000006</v>
      </c>
      <c r="G128" s="258">
        <v>94622547.400000006</v>
      </c>
      <c r="H128" s="258">
        <v>94622547.400000006</v>
      </c>
      <c r="I128" s="258">
        <v>94622547.400000006</v>
      </c>
      <c r="J128" s="258">
        <v>94622547.400000006</v>
      </c>
      <c r="K128" s="258">
        <v>94622547.400000006</v>
      </c>
      <c r="L128" s="258">
        <v>94622547.400000006</v>
      </c>
      <c r="M128" s="258">
        <v>94622547.400000006</v>
      </c>
      <c r="N128" s="258">
        <v>94622547.400000006</v>
      </c>
      <c r="O128" s="258">
        <v>94622547.400000006</v>
      </c>
      <c r="P128" s="258">
        <v>94622547.400000006</v>
      </c>
      <c r="Q128" s="258">
        <v>94622547.400000006</v>
      </c>
      <c r="R128" s="258">
        <v>94622547.400000006</v>
      </c>
      <c r="S128" s="258">
        <v>94622547.400000006</v>
      </c>
      <c r="T128" s="258">
        <v>94622547.400000006</v>
      </c>
      <c r="U128" s="258">
        <v>94622547.400000006</v>
      </c>
      <c r="V128" s="258">
        <v>94622547.400000006</v>
      </c>
      <c r="W128" s="258">
        <v>94622547.400000006</v>
      </c>
      <c r="X128" s="258">
        <v>94622547.400000006</v>
      </c>
      <c r="Y128" s="258">
        <v>94622547.400000006</v>
      </c>
      <c r="Z128" s="258">
        <v>94622547.400000006</v>
      </c>
      <c r="AA128" s="258">
        <v>94622547.400000006</v>
      </c>
      <c r="AB128" s="258">
        <v>94622547.400000006</v>
      </c>
      <c r="AC128" s="258">
        <v>94622547.400000006</v>
      </c>
      <c r="AD128" s="258">
        <v>94622547.400000006</v>
      </c>
      <c r="AE128" s="258">
        <v>94622547.400000006</v>
      </c>
      <c r="AF128" s="258">
        <v>94622547.400000006</v>
      </c>
      <c r="AG128" s="258">
        <v>94622547.400000006</v>
      </c>
      <c r="AH128" s="258">
        <v>94622547.400000006</v>
      </c>
      <c r="AI128" s="258">
        <v>94622547.400000006</v>
      </c>
      <c r="AJ128" s="258">
        <v>94622547.400000006</v>
      </c>
      <c r="AK128" s="258">
        <v>94622547.400000006</v>
      </c>
      <c r="AL128" s="258">
        <v>94622547.400000006</v>
      </c>
      <c r="AM128" s="258">
        <v>94622547.400000006</v>
      </c>
      <c r="AN128" s="258">
        <v>94622547.400000006</v>
      </c>
      <c r="AO128" s="258">
        <v>94622547.400000006</v>
      </c>
      <c r="AP128" s="258">
        <v>94622547.400000006</v>
      </c>
      <c r="AQ128" s="258">
        <v>94622547.400000006</v>
      </c>
      <c r="AR128" s="258">
        <v>94622547.400000006</v>
      </c>
      <c r="AS128" s="258">
        <v>94622547.400000006</v>
      </c>
      <c r="AT128" s="258">
        <v>94622547.400000006</v>
      </c>
      <c r="AU128" s="258">
        <v>94622547.400000006</v>
      </c>
      <c r="AV128" s="258">
        <v>94622547.400000006</v>
      </c>
      <c r="AW128" s="258">
        <v>94622547.400000006</v>
      </c>
      <c r="AX128" s="258">
        <v>94622547.400000006</v>
      </c>
      <c r="AY128" s="258">
        <v>94622547.400000006</v>
      </c>
      <c r="AZ128" s="258">
        <v>94622547.400000006</v>
      </c>
      <c r="BA128" s="258">
        <v>94622547.400000006</v>
      </c>
      <c r="BB128" s="258">
        <v>94622547.400000006</v>
      </c>
      <c r="BC128" s="258">
        <v>94622547.400000006</v>
      </c>
      <c r="BD128" s="258">
        <v>94622547.400000006</v>
      </c>
      <c r="BE128" s="258">
        <v>94622547.400000006</v>
      </c>
      <c r="BF128" s="258">
        <v>94622547.400000006</v>
      </c>
      <c r="BG128" s="258">
        <v>94622547.400000006</v>
      </c>
      <c r="BH128" s="258">
        <v>94622547.400000006</v>
      </c>
      <c r="BI128" s="258">
        <v>94622547.400000006</v>
      </c>
      <c r="BJ128" s="258">
        <v>94622547.400000006</v>
      </c>
      <c r="BK128" s="258">
        <v>94622547.400000006</v>
      </c>
      <c r="BL128" s="258">
        <v>94622547.400000006</v>
      </c>
      <c r="BM128" s="258">
        <v>94622547.400000006</v>
      </c>
      <c r="BN128" s="258">
        <v>94622547.400000006</v>
      </c>
      <c r="BO128" s="258">
        <v>94622547.400000006</v>
      </c>
    </row>
    <row r="129" spans="1:67" ht="20.25" customHeight="1">
      <c r="A129" s="256">
        <v>6</v>
      </c>
      <c r="B129" s="634" t="s">
        <v>1774</v>
      </c>
      <c r="C129" s="223">
        <v>127</v>
      </c>
      <c r="D129" s="258">
        <v>111417992.65000001</v>
      </c>
      <c r="E129" s="258">
        <v>111417992.65000001</v>
      </c>
      <c r="F129" s="258">
        <v>111417992.65000001</v>
      </c>
      <c r="G129" s="258">
        <v>111417992.65000001</v>
      </c>
      <c r="H129" s="258">
        <v>111417992.65000001</v>
      </c>
      <c r="I129" s="258">
        <v>111417992.65000001</v>
      </c>
      <c r="J129" s="258">
        <v>111417992.65000001</v>
      </c>
      <c r="K129" s="258">
        <v>111417992.65000001</v>
      </c>
      <c r="L129" s="258">
        <v>111417992.65000001</v>
      </c>
      <c r="M129" s="258">
        <v>111417992.65000001</v>
      </c>
      <c r="N129" s="258">
        <v>111417992.65000001</v>
      </c>
      <c r="O129" s="258">
        <v>111417992.65000001</v>
      </c>
      <c r="P129" s="258">
        <v>111417992.65000001</v>
      </c>
      <c r="Q129" s="258">
        <v>111417992.65000001</v>
      </c>
      <c r="R129" s="258">
        <v>111417992.65000001</v>
      </c>
      <c r="S129" s="258">
        <v>111417992.65000001</v>
      </c>
      <c r="T129" s="258">
        <v>111417992.65000001</v>
      </c>
      <c r="U129" s="258">
        <v>111417992.65000001</v>
      </c>
      <c r="V129" s="258">
        <v>111417992.65000001</v>
      </c>
      <c r="W129" s="258">
        <v>111417992.65000001</v>
      </c>
      <c r="X129" s="258">
        <v>111417992.65000001</v>
      </c>
      <c r="Y129" s="258">
        <v>111417992.65000001</v>
      </c>
      <c r="Z129" s="258">
        <v>111417992.65000001</v>
      </c>
      <c r="AA129" s="258">
        <v>111417992.65000001</v>
      </c>
      <c r="AB129" s="258">
        <v>111417992.65000001</v>
      </c>
      <c r="AC129" s="258">
        <v>111417992.65000001</v>
      </c>
      <c r="AD129" s="258">
        <v>111417992.65000001</v>
      </c>
      <c r="AE129" s="258">
        <v>111417992.65000001</v>
      </c>
      <c r="AF129" s="258">
        <v>111417992.65000001</v>
      </c>
      <c r="AG129" s="258">
        <v>111417992.65000001</v>
      </c>
      <c r="AH129" s="258">
        <v>111417992.65000001</v>
      </c>
      <c r="AI129" s="258">
        <v>111417992.65000001</v>
      </c>
      <c r="AJ129" s="258">
        <v>111417992.65000001</v>
      </c>
      <c r="AK129" s="258">
        <v>111417992.65000001</v>
      </c>
      <c r="AL129" s="258">
        <v>111417992.65000001</v>
      </c>
      <c r="AM129" s="258">
        <v>111417992.65000001</v>
      </c>
      <c r="AN129" s="258">
        <v>111417992.65000001</v>
      </c>
      <c r="AO129" s="258">
        <v>111417992.65000001</v>
      </c>
      <c r="AP129" s="258">
        <v>111417992.65000001</v>
      </c>
      <c r="AQ129" s="258">
        <v>111417992.65000001</v>
      </c>
      <c r="AR129" s="258">
        <v>111417992.65000001</v>
      </c>
      <c r="AS129" s="258">
        <v>111417992.65000001</v>
      </c>
      <c r="AT129" s="258">
        <v>111417992.65000001</v>
      </c>
      <c r="AU129" s="258">
        <v>111417992.65000001</v>
      </c>
      <c r="AV129" s="258">
        <v>111417992.65000001</v>
      </c>
      <c r="AW129" s="258">
        <v>111417992.65000001</v>
      </c>
      <c r="AX129" s="258">
        <v>111417992.65000001</v>
      </c>
      <c r="AY129" s="258">
        <v>111417992.65000001</v>
      </c>
      <c r="AZ129" s="258">
        <v>111417992.65000001</v>
      </c>
      <c r="BA129" s="258">
        <v>111417992.65000001</v>
      </c>
      <c r="BB129" s="258">
        <v>111417992.65000001</v>
      </c>
      <c r="BC129" s="258">
        <v>111417992.65000001</v>
      </c>
      <c r="BD129" s="258">
        <v>111417992.65000001</v>
      </c>
      <c r="BE129" s="258">
        <v>111417992.65000001</v>
      </c>
      <c r="BF129" s="258">
        <v>111417992.65000001</v>
      </c>
      <c r="BG129" s="258">
        <v>111417992.65000001</v>
      </c>
      <c r="BH129" s="258">
        <v>111417992.65000001</v>
      </c>
      <c r="BI129" s="258">
        <v>111417992.65000001</v>
      </c>
      <c r="BJ129" s="258">
        <v>111417992.65000001</v>
      </c>
      <c r="BK129" s="258">
        <v>111417992.65000001</v>
      </c>
      <c r="BL129" s="258">
        <v>111417992.65000001</v>
      </c>
      <c r="BM129" s="258">
        <v>111417992.65000001</v>
      </c>
      <c r="BN129" s="258">
        <v>111417992.65000001</v>
      </c>
      <c r="BO129" s="258">
        <v>111417992.65000001</v>
      </c>
    </row>
    <row r="130" spans="1:67">
      <c r="A130" s="229" t="s">
        <v>222</v>
      </c>
      <c r="B130" s="230" t="s">
        <v>113</v>
      </c>
      <c r="C130" s="223">
        <v>128</v>
      </c>
      <c r="D130" s="224"/>
      <c r="E130" s="225"/>
      <c r="F130" s="225"/>
      <c r="G130" s="225"/>
      <c r="H130" s="225"/>
      <c r="I130" s="225"/>
      <c r="J130" s="225"/>
      <c r="K130" s="237"/>
      <c r="L130" s="237">
        <f t="shared" ref="L130:S144" si="76">K130</f>
        <v>0</v>
      </c>
      <c r="M130" s="237">
        <f t="shared" si="76"/>
        <v>0</v>
      </c>
      <c r="N130" s="237">
        <f t="shared" si="76"/>
        <v>0</v>
      </c>
      <c r="O130" s="237">
        <f t="shared" si="76"/>
        <v>0</v>
      </c>
      <c r="P130" s="237">
        <f t="shared" si="76"/>
        <v>0</v>
      </c>
      <c r="Q130" s="237">
        <f t="shared" si="76"/>
        <v>0</v>
      </c>
      <c r="R130" s="237">
        <f t="shared" si="76"/>
        <v>0</v>
      </c>
      <c r="S130" s="237">
        <f t="shared" si="76"/>
        <v>0</v>
      </c>
      <c r="T130" s="224"/>
      <c r="U130" s="224">
        <f t="shared" ref="U130:W132" si="77">T130</f>
        <v>0</v>
      </c>
      <c r="V130" s="224">
        <f t="shared" si="77"/>
        <v>0</v>
      </c>
      <c r="W130" s="224">
        <f t="shared" si="77"/>
        <v>0</v>
      </c>
      <c r="X130" s="226"/>
      <c r="Y130" s="226">
        <f t="shared" si="57"/>
        <v>0</v>
      </c>
      <c r="Z130" s="226">
        <f t="shared" si="57"/>
        <v>0</v>
      </c>
      <c r="AA130" s="224"/>
      <c r="AB130" s="224"/>
      <c r="AC130" s="224"/>
      <c r="AD130" s="224">
        <f t="shared" si="46"/>
        <v>0</v>
      </c>
      <c r="AE130" s="224"/>
      <c r="AF130" s="224"/>
      <c r="AG130" s="224">
        <f t="shared" si="47"/>
        <v>0</v>
      </c>
      <c r="AH130" s="226"/>
      <c r="AI130" s="226">
        <f t="shared" ref="AI130:AM131" si="78">AH130</f>
        <v>0</v>
      </c>
      <c r="AJ130" s="226">
        <f t="shared" si="78"/>
        <v>0</v>
      </c>
      <c r="AK130" s="226">
        <f t="shared" si="78"/>
        <v>0</v>
      </c>
      <c r="AL130" s="226">
        <f t="shared" si="78"/>
        <v>0</v>
      </c>
      <c r="AM130" s="226">
        <f t="shared" si="78"/>
        <v>0</v>
      </c>
      <c r="AN130" s="235"/>
      <c r="AO130" s="235">
        <f t="shared" si="59"/>
        <v>0</v>
      </c>
      <c r="AP130" s="235">
        <f t="shared" si="59"/>
        <v>0</v>
      </c>
      <c r="AQ130" s="236">
        <f t="shared" si="59"/>
        <v>0</v>
      </c>
      <c r="AR130" s="236">
        <f t="shared" si="59"/>
        <v>0</v>
      </c>
      <c r="AS130" s="236">
        <f t="shared" si="59"/>
        <v>0</v>
      </c>
      <c r="AT130" s="236">
        <f t="shared" si="59"/>
        <v>0</v>
      </c>
      <c r="AU130" s="236">
        <f t="shared" si="59"/>
        <v>0</v>
      </c>
      <c r="AV130" s="236">
        <f t="shared" si="59"/>
        <v>0</v>
      </c>
      <c r="AW130" s="226"/>
      <c r="AX130" s="226">
        <f t="shared" ref="AX130:BB132" si="79">AW130</f>
        <v>0</v>
      </c>
      <c r="AY130" s="226">
        <f t="shared" si="79"/>
        <v>0</v>
      </c>
      <c r="AZ130" s="226">
        <f t="shared" si="79"/>
        <v>0</v>
      </c>
      <c r="BA130" s="226">
        <f t="shared" si="79"/>
        <v>0</v>
      </c>
      <c r="BB130" s="226">
        <f t="shared" si="79"/>
        <v>0</v>
      </c>
      <c r="BC130" s="224"/>
      <c r="BD130" s="224">
        <f t="shared" si="63"/>
        <v>0</v>
      </c>
      <c r="BE130" s="224">
        <f t="shared" si="63"/>
        <v>0</v>
      </c>
      <c r="BF130" s="224">
        <f t="shared" si="63"/>
        <v>0</v>
      </c>
      <c r="BG130" s="224">
        <f t="shared" si="63"/>
        <v>0</v>
      </c>
      <c r="BH130" s="224">
        <f t="shared" si="63"/>
        <v>0</v>
      </c>
      <c r="BI130" s="224">
        <f t="shared" si="63"/>
        <v>0</v>
      </c>
      <c r="BJ130" s="224">
        <f t="shared" si="63"/>
        <v>0</v>
      </c>
      <c r="BK130" s="224">
        <f t="shared" si="63"/>
        <v>0</v>
      </c>
      <c r="BL130" s="224">
        <f t="shared" si="63"/>
        <v>0</v>
      </c>
      <c r="BM130" s="224">
        <f t="shared" si="63"/>
        <v>0</v>
      </c>
      <c r="BN130" s="224">
        <f t="shared" si="63"/>
        <v>0</v>
      </c>
      <c r="BO130" s="224">
        <f t="shared" si="63"/>
        <v>0</v>
      </c>
    </row>
    <row r="131" spans="1:67">
      <c r="A131" s="223">
        <v>1</v>
      </c>
      <c r="B131" s="151" t="s">
        <v>144</v>
      </c>
      <c r="C131" s="223">
        <v>129</v>
      </c>
      <c r="D131" s="224">
        <v>6716483.8084925003</v>
      </c>
      <c r="E131" s="225">
        <f t="shared" ref="E131:J147" si="80">D131</f>
        <v>6716483.8084925003</v>
      </c>
      <c r="F131" s="225">
        <f t="shared" si="80"/>
        <v>6716483.8084925003</v>
      </c>
      <c r="G131" s="225">
        <f t="shared" si="80"/>
        <v>6716483.8084925003</v>
      </c>
      <c r="H131" s="225">
        <f t="shared" si="80"/>
        <v>6716483.8084925003</v>
      </c>
      <c r="I131" s="225">
        <f t="shared" si="80"/>
        <v>6716483.8084925003</v>
      </c>
      <c r="J131" s="225">
        <f t="shared" si="80"/>
        <v>6716483.8084925003</v>
      </c>
      <c r="K131" s="237">
        <f t="shared" ref="K131:K141" si="81">J131</f>
        <v>6716483.8084925003</v>
      </c>
      <c r="L131" s="237">
        <f t="shared" si="76"/>
        <v>6716483.8084925003</v>
      </c>
      <c r="M131" s="237">
        <f t="shared" si="76"/>
        <v>6716483.8084925003</v>
      </c>
      <c r="N131" s="237">
        <f t="shared" si="76"/>
        <v>6716483.8084925003</v>
      </c>
      <c r="O131" s="237">
        <f t="shared" si="76"/>
        <v>6716483.8084925003</v>
      </c>
      <c r="P131" s="237">
        <f t="shared" si="76"/>
        <v>6716483.8084925003</v>
      </c>
      <c r="Q131" s="237">
        <f t="shared" si="76"/>
        <v>6716483.8084925003</v>
      </c>
      <c r="R131" s="237">
        <f t="shared" si="76"/>
        <v>6716483.8084925003</v>
      </c>
      <c r="S131" s="237">
        <f t="shared" si="76"/>
        <v>6716483.8084925003</v>
      </c>
      <c r="T131" s="224">
        <v>6716483.8084925003</v>
      </c>
      <c r="U131" s="224">
        <f t="shared" si="77"/>
        <v>6716483.8084925003</v>
      </c>
      <c r="V131" s="224">
        <f t="shared" si="77"/>
        <v>6716483.8084925003</v>
      </c>
      <c r="W131" s="224">
        <f t="shared" si="77"/>
        <v>6716483.8084925003</v>
      </c>
      <c r="X131" s="226">
        <v>6716483.8084925003</v>
      </c>
      <c r="Y131" s="226">
        <f t="shared" si="57"/>
        <v>6716483.8084925003</v>
      </c>
      <c r="Z131" s="226">
        <f t="shared" si="57"/>
        <v>6716483.8084925003</v>
      </c>
      <c r="AA131" s="224">
        <v>6716483.8084925003</v>
      </c>
      <c r="AB131" s="224">
        <v>6716483.8084925003</v>
      </c>
      <c r="AC131" s="224">
        <v>6716483.8084925003</v>
      </c>
      <c r="AD131" s="224">
        <f t="shared" si="46"/>
        <v>6716483.8084925003</v>
      </c>
      <c r="AE131" s="224">
        <v>6716483.8084925003</v>
      </c>
      <c r="AF131" s="224">
        <v>6716483.8084925003</v>
      </c>
      <c r="AG131" s="224">
        <f t="shared" si="47"/>
        <v>6716483.8084925003</v>
      </c>
      <c r="AH131" s="226">
        <v>6754049.4845669996</v>
      </c>
      <c r="AI131" s="226">
        <f t="shared" si="78"/>
        <v>6754049.4845669996</v>
      </c>
      <c r="AJ131" s="226">
        <f t="shared" si="78"/>
        <v>6754049.4845669996</v>
      </c>
      <c r="AK131" s="226">
        <f t="shared" si="78"/>
        <v>6754049.4845669996</v>
      </c>
      <c r="AL131" s="226">
        <f t="shared" si="78"/>
        <v>6754049.4845669996</v>
      </c>
      <c r="AM131" s="226">
        <f t="shared" si="78"/>
        <v>6754049.4845669996</v>
      </c>
      <c r="AN131" s="235">
        <v>6754049.4845669996</v>
      </c>
      <c r="AO131" s="235">
        <f t="shared" si="59"/>
        <v>6754049.4845669996</v>
      </c>
      <c r="AP131" s="235">
        <f t="shared" si="59"/>
        <v>6754049.4845669996</v>
      </c>
      <c r="AQ131" s="236">
        <f t="shared" si="59"/>
        <v>6754049.4845669996</v>
      </c>
      <c r="AR131" s="236">
        <f t="shared" si="59"/>
        <v>6754049.4845669996</v>
      </c>
      <c r="AS131" s="236">
        <f t="shared" si="59"/>
        <v>6754049.4845669996</v>
      </c>
      <c r="AT131" s="236">
        <f t="shared" si="59"/>
        <v>6754049.4845669996</v>
      </c>
      <c r="AU131" s="236">
        <f t="shared" si="59"/>
        <v>6754049.4845669996</v>
      </c>
      <c r="AV131" s="236">
        <f t="shared" si="59"/>
        <v>6754049.4845669996</v>
      </c>
      <c r="AW131" s="226">
        <v>6732028.2261784999</v>
      </c>
      <c r="AX131" s="226">
        <f t="shared" si="79"/>
        <v>6732028.2261784999</v>
      </c>
      <c r="AY131" s="226">
        <f t="shared" si="79"/>
        <v>6732028.2261784999</v>
      </c>
      <c r="AZ131" s="226">
        <f t="shared" si="79"/>
        <v>6732028.2261784999</v>
      </c>
      <c r="BA131" s="226">
        <f t="shared" si="79"/>
        <v>6732028.2261784999</v>
      </c>
      <c r="BB131" s="226">
        <f t="shared" si="79"/>
        <v>6732028.2261784999</v>
      </c>
      <c r="BC131" s="226">
        <v>6732028.2261784999</v>
      </c>
      <c r="BD131" s="224">
        <f t="shared" si="63"/>
        <v>6732028.2261784999</v>
      </c>
      <c r="BE131" s="224">
        <f t="shared" si="63"/>
        <v>6732028.2261784999</v>
      </c>
      <c r="BF131" s="224">
        <f t="shared" si="63"/>
        <v>6732028.2261784999</v>
      </c>
      <c r="BG131" s="224">
        <f t="shared" si="63"/>
        <v>6732028.2261784999</v>
      </c>
      <c r="BH131" s="224">
        <f t="shared" si="63"/>
        <v>6732028.2261784999</v>
      </c>
      <c r="BI131" s="224">
        <f t="shared" si="63"/>
        <v>6732028.2261784999</v>
      </c>
      <c r="BJ131" s="224">
        <f t="shared" si="63"/>
        <v>6732028.2261784999</v>
      </c>
      <c r="BK131" s="224">
        <f t="shared" si="63"/>
        <v>6732028.2261784999</v>
      </c>
      <c r="BL131" s="224">
        <f t="shared" si="63"/>
        <v>6732028.2261784999</v>
      </c>
      <c r="BM131" s="224">
        <f t="shared" si="63"/>
        <v>6732028.2261784999</v>
      </c>
      <c r="BN131" s="224">
        <f t="shared" si="63"/>
        <v>6732028.2261784999</v>
      </c>
      <c r="BO131" s="224">
        <f t="shared" si="63"/>
        <v>6732028.2261784999</v>
      </c>
    </row>
    <row r="132" spans="1:67">
      <c r="A132" s="223">
        <f>A131+1</f>
        <v>2</v>
      </c>
      <c r="B132" s="151" t="s">
        <v>145</v>
      </c>
      <c r="C132" s="223">
        <v>130</v>
      </c>
      <c r="D132" s="224">
        <v>9481898.2978433501</v>
      </c>
      <c r="E132" s="225">
        <f t="shared" si="80"/>
        <v>9481898.2978433501</v>
      </c>
      <c r="F132" s="225">
        <f t="shared" si="80"/>
        <v>9481898.2978433501</v>
      </c>
      <c r="G132" s="225">
        <f t="shared" si="80"/>
        <v>9481898.2978433501</v>
      </c>
      <c r="H132" s="225">
        <f t="shared" si="80"/>
        <v>9481898.2978433501</v>
      </c>
      <c r="I132" s="225">
        <f t="shared" si="80"/>
        <v>9481898.2978433501</v>
      </c>
      <c r="J132" s="225">
        <f t="shared" si="80"/>
        <v>9481898.2978433501</v>
      </c>
      <c r="K132" s="237">
        <f t="shared" si="81"/>
        <v>9481898.2978433501</v>
      </c>
      <c r="L132" s="237">
        <f t="shared" si="76"/>
        <v>9481898.2978433501</v>
      </c>
      <c r="M132" s="237">
        <f t="shared" si="76"/>
        <v>9481898.2978433501</v>
      </c>
      <c r="N132" s="237">
        <f t="shared" si="76"/>
        <v>9481898.2978433501</v>
      </c>
      <c r="O132" s="237">
        <f t="shared" si="76"/>
        <v>9481898.2978433501</v>
      </c>
      <c r="P132" s="237">
        <f t="shared" si="76"/>
        <v>9481898.2978433501</v>
      </c>
      <c r="Q132" s="237">
        <f t="shared" si="76"/>
        <v>9481898.2978433501</v>
      </c>
      <c r="R132" s="237">
        <f t="shared" si="76"/>
        <v>9481898.2978433501</v>
      </c>
      <c r="S132" s="237">
        <f t="shared" si="76"/>
        <v>9481898.2978433501</v>
      </c>
      <c r="T132" s="224">
        <v>9481898.2978433501</v>
      </c>
      <c r="U132" s="224">
        <f t="shared" si="77"/>
        <v>9481898.2978433501</v>
      </c>
      <c r="V132" s="224">
        <f t="shared" si="77"/>
        <v>9481898.2978433501</v>
      </c>
      <c r="W132" s="224">
        <f t="shared" si="77"/>
        <v>9481898.2978433501</v>
      </c>
      <c r="X132" s="226">
        <v>9481898.2978433501</v>
      </c>
      <c r="Y132" s="226">
        <f t="shared" ref="Y132:Z148" si="82">X132</f>
        <v>9481898.2978433501</v>
      </c>
      <c r="Z132" s="226">
        <f t="shared" si="82"/>
        <v>9481898.2978433501</v>
      </c>
      <c r="AA132" s="224">
        <v>9481898.2978433501</v>
      </c>
      <c r="AB132" s="224">
        <v>9481898.2978433501</v>
      </c>
      <c r="AC132" s="224">
        <v>9481898.2978433501</v>
      </c>
      <c r="AD132" s="224">
        <f t="shared" si="46"/>
        <v>9481898.2978433501</v>
      </c>
      <c r="AE132" s="224">
        <v>9481898.2978433501</v>
      </c>
      <c r="AF132" s="224">
        <v>9481898.2978433501</v>
      </c>
      <c r="AG132" s="224">
        <f t="shared" si="47"/>
        <v>9481898.2978433501</v>
      </c>
      <c r="AH132" s="226">
        <v>9534931.0944947395</v>
      </c>
      <c r="AI132" s="226">
        <f t="shared" ref="AI132:AM148" si="83">AH132</f>
        <v>9534931.0944947395</v>
      </c>
      <c r="AJ132" s="226">
        <f t="shared" si="83"/>
        <v>9534931.0944947395</v>
      </c>
      <c r="AK132" s="226">
        <f t="shared" si="83"/>
        <v>9534931.0944947395</v>
      </c>
      <c r="AL132" s="226">
        <f t="shared" si="83"/>
        <v>9534931.0944947395</v>
      </c>
      <c r="AM132" s="226">
        <f t="shared" si="83"/>
        <v>9534931.0944947395</v>
      </c>
      <c r="AN132" s="235">
        <v>9534931.0944947395</v>
      </c>
      <c r="AO132" s="235">
        <f t="shared" ref="AO132:AV148" si="84">AN132</f>
        <v>9534931.0944947395</v>
      </c>
      <c r="AP132" s="235">
        <f t="shared" si="84"/>
        <v>9534931.0944947395</v>
      </c>
      <c r="AQ132" s="236">
        <f t="shared" si="84"/>
        <v>9534931.0944947395</v>
      </c>
      <c r="AR132" s="236">
        <f t="shared" si="84"/>
        <v>9534931.0944947395</v>
      </c>
      <c r="AS132" s="236">
        <f t="shared" si="84"/>
        <v>9534931.0944947395</v>
      </c>
      <c r="AT132" s="236">
        <f t="shared" si="84"/>
        <v>9534931.0944947395</v>
      </c>
      <c r="AU132" s="236">
        <f t="shared" si="84"/>
        <v>9534931.0944947395</v>
      </c>
      <c r="AV132" s="236">
        <f t="shared" si="84"/>
        <v>9534931.0944947395</v>
      </c>
      <c r="AW132" s="226">
        <v>9503842.9033542685</v>
      </c>
      <c r="AX132" s="226">
        <f t="shared" si="79"/>
        <v>9503842.9033542685</v>
      </c>
      <c r="AY132" s="226">
        <f t="shared" si="79"/>
        <v>9503842.9033542685</v>
      </c>
      <c r="AZ132" s="226">
        <f t="shared" si="79"/>
        <v>9503842.9033542685</v>
      </c>
      <c r="BA132" s="226">
        <f t="shared" si="79"/>
        <v>9503842.9033542685</v>
      </c>
      <c r="BB132" s="226">
        <f t="shared" si="79"/>
        <v>9503842.9033542685</v>
      </c>
      <c r="BC132" s="226">
        <v>9503842.9033542685</v>
      </c>
      <c r="BD132" s="224">
        <f t="shared" si="63"/>
        <v>9503842.9033542685</v>
      </c>
      <c r="BE132" s="224">
        <f t="shared" si="63"/>
        <v>9503842.9033542685</v>
      </c>
      <c r="BF132" s="224">
        <f t="shared" si="63"/>
        <v>9503842.9033542685</v>
      </c>
      <c r="BG132" s="224">
        <f t="shared" si="63"/>
        <v>9503842.9033542685</v>
      </c>
      <c r="BH132" s="224">
        <f t="shared" si="63"/>
        <v>9503842.9033542685</v>
      </c>
      <c r="BI132" s="224">
        <f t="shared" si="63"/>
        <v>9503842.9033542685</v>
      </c>
      <c r="BJ132" s="224">
        <f t="shared" si="63"/>
        <v>9503842.9033542685</v>
      </c>
      <c r="BK132" s="224">
        <f t="shared" si="63"/>
        <v>9503842.9033542685</v>
      </c>
      <c r="BL132" s="224">
        <f t="shared" si="63"/>
        <v>9503842.9033542685</v>
      </c>
      <c r="BM132" s="224">
        <f t="shared" si="63"/>
        <v>9503842.9033542685</v>
      </c>
      <c r="BN132" s="224">
        <f t="shared" si="63"/>
        <v>9503842.9033542685</v>
      </c>
      <c r="BO132" s="224">
        <f t="shared" si="63"/>
        <v>9503842.9033542685</v>
      </c>
    </row>
    <row r="133" spans="1:67">
      <c r="A133" s="223">
        <f t="shared" ref="A133:A141" si="85">A132+1</f>
        <v>3</v>
      </c>
      <c r="B133" s="151" t="s">
        <v>146</v>
      </c>
      <c r="C133" s="223">
        <v>131</v>
      </c>
      <c r="D133" s="224">
        <v>9577135.8935125005</v>
      </c>
      <c r="E133" s="225">
        <f t="shared" si="80"/>
        <v>9577135.8935125005</v>
      </c>
      <c r="F133" s="225">
        <f t="shared" si="80"/>
        <v>9577135.8935125005</v>
      </c>
      <c r="G133" s="225">
        <f t="shared" si="80"/>
        <v>9577135.8935125005</v>
      </c>
      <c r="H133" s="225">
        <f t="shared" si="80"/>
        <v>9577135.8935125005</v>
      </c>
      <c r="I133" s="225">
        <f t="shared" si="80"/>
        <v>9577135.8935125005</v>
      </c>
      <c r="J133" s="225">
        <f t="shared" si="80"/>
        <v>9577135.8935125005</v>
      </c>
      <c r="K133" s="237">
        <f t="shared" si="81"/>
        <v>9577135.8935125005</v>
      </c>
      <c r="L133" s="237">
        <f t="shared" si="76"/>
        <v>9577135.8935125005</v>
      </c>
      <c r="M133" s="237">
        <f t="shared" si="76"/>
        <v>9577135.8935125005</v>
      </c>
      <c r="N133" s="237">
        <f t="shared" si="76"/>
        <v>9577135.8935125005</v>
      </c>
      <c r="O133" s="237">
        <f t="shared" si="76"/>
        <v>9577135.8935125005</v>
      </c>
      <c r="P133" s="237">
        <f t="shared" si="76"/>
        <v>9577135.8935125005</v>
      </c>
      <c r="Q133" s="237">
        <f t="shared" si="76"/>
        <v>9577135.8935125005</v>
      </c>
      <c r="R133" s="237">
        <f t="shared" si="76"/>
        <v>9577135.8935125005</v>
      </c>
      <c r="S133" s="237">
        <f t="shared" si="76"/>
        <v>9577135.8935125005</v>
      </c>
      <c r="T133" s="224">
        <v>9577135.8935125005</v>
      </c>
      <c r="U133" s="224">
        <f t="shared" ref="U133:W149" si="86">T133</f>
        <v>9577135.8935125005</v>
      </c>
      <c r="V133" s="224">
        <f t="shared" si="86"/>
        <v>9577135.8935125005</v>
      </c>
      <c r="W133" s="224">
        <f t="shared" si="86"/>
        <v>9577135.8935125005</v>
      </c>
      <c r="X133" s="226">
        <v>9577135.8935125005</v>
      </c>
      <c r="Y133" s="226">
        <f t="shared" si="82"/>
        <v>9577135.8935125005</v>
      </c>
      <c r="Z133" s="226">
        <f t="shared" si="82"/>
        <v>9577135.8935125005</v>
      </c>
      <c r="AA133" s="224">
        <v>9577135.8935125005</v>
      </c>
      <c r="AB133" s="224">
        <v>9577135.8935125005</v>
      </c>
      <c r="AC133" s="224">
        <v>9577135.8935125005</v>
      </c>
      <c r="AD133" s="224">
        <f t="shared" si="46"/>
        <v>9577135.8935125005</v>
      </c>
      <c r="AE133" s="224">
        <v>9577135.8935125005</v>
      </c>
      <c r="AF133" s="224">
        <v>9577135.8935125005</v>
      </c>
      <c r="AG133" s="224">
        <f t="shared" si="47"/>
        <v>9577135.8935125005</v>
      </c>
      <c r="AH133" s="226">
        <v>9630701.3594550006</v>
      </c>
      <c r="AI133" s="226">
        <f t="shared" si="83"/>
        <v>9630701.3594550006</v>
      </c>
      <c r="AJ133" s="226">
        <f t="shared" si="83"/>
        <v>9630701.3594550006</v>
      </c>
      <c r="AK133" s="226">
        <f t="shared" si="83"/>
        <v>9630701.3594550006</v>
      </c>
      <c r="AL133" s="226">
        <f t="shared" si="83"/>
        <v>9630701.3594550006</v>
      </c>
      <c r="AM133" s="226">
        <f t="shared" si="83"/>
        <v>9630701.3594550006</v>
      </c>
      <c r="AN133" s="235">
        <v>9630701.3594550006</v>
      </c>
      <c r="AO133" s="235">
        <f t="shared" si="84"/>
        <v>9630701.3594550006</v>
      </c>
      <c r="AP133" s="235">
        <f t="shared" si="84"/>
        <v>9630701.3594550006</v>
      </c>
      <c r="AQ133" s="236">
        <f t="shared" si="84"/>
        <v>9630701.3594550006</v>
      </c>
      <c r="AR133" s="236">
        <f t="shared" si="84"/>
        <v>9630701.3594550006</v>
      </c>
      <c r="AS133" s="236">
        <f t="shared" si="84"/>
        <v>9630701.3594550006</v>
      </c>
      <c r="AT133" s="236">
        <f t="shared" si="84"/>
        <v>9630701.3594550006</v>
      </c>
      <c r="AU133" s="236">
        <f t="shared" si="84"/>
        <v>9630701.3594550006</v>
      </c>
      <c r="AV133" s="236">
        <f t="shared" si="84"/>
        <v>9630701.3594550006</v>
      </c>
      <c r="AW133" s="226">
        <v>9599300.9139025006</v>
      </c>
      <c r="AX133" s="226">
        <f t="shared" ref="AX133:BB149" si="87">AW133</f>
        <v>9599300.9139025006</v>
      </c>
      <c r="AY133" s="226">
        <f t="shared" si="87"/>
        <v>9599300.9139025006</v>
      </c>
      <c r="AZ133" s="226">
        <f t="shared" si="87"/>
        <v>9599300.9139025006</v>
      </c>
      <c r="BA133" s="226">
        <f t="shared" si="87"/>
        <v>9599300.9139025006</v>
      </c>
      <c r="BB133" s="226">
        <f t="shared" si="87"/>
        <v>9599300.9139025006</v>
      </c>
      <c r="BC133" s="226">
        <v>9599300.9139025006</v>
      </c>
      <c r="BD133" s="224">
        <f t="shared" ref="BD133:BO149" si="88">BC133</f>
        <v>9599300.9139025006</v>
      </c>
      <c r="BE133" s="224">
        <f t="shared" si="88"/>
        <v>9599300.9139025006</v>
      </c>
      <c r="BF133" s="224">
        <f t="shared" si="88"/>
        <v>9599300.9139025006</v>
      </c>
      <c r="BG133" s="224">
        <f t="shared" si="88"/>
        <v>9599300.9139025006</v>
      </c>
      <c r="BH133" s="224">
        <f t="shared" si="88"/>
        <v>9599300.9139025006</v>
      </c>
      <c r="BI133" s="224">
        <f t="shared" si="88"/>
        <v>9599300.9139025006</v>
      </c>
      <c r="BJ133" s="224">
        <f t="shared" si="88"/>
        <v>9599300.9139025006</v>
      </c>
      <c r="BK133" s="224">
        <f t="shared" si="88"/>
        <v>9599300.9139025006</v>
      </c>
      <c r="BL133" s="224">
        <f t="shared" si="88"/>
        <v>9599300.9139025006</v>
      </c>
      <c r="BM133" s="224">
        <f t="shared" si="88"/>
        <v>9599300.9139025006</v>
      </c>
      <c r="BN133" s="224">
        <f t="shared" si="88"/>
        <v>9599300.9139025006</v>
      </c>
      <c r="BO133" s="224">
        <f t="shared" si="88"/>
        <v>9599300.9139025006</v>
      </c>
    </row>
    <row r="134" spans="1:67">
      <c r="A134" s="223">
        <f t="shared" si="85"/>
        <v>4</v>
      </c>
      <c r="B134" s="151" t="s">
        <v>114</v>
      </c>
      <c r="C134" s="223">
        <v>132</v>
      </c>
      <c r="D134" s="224">
        <v>21013707.091364276</v>
      </c>
      <c r="E134" s="225">
        <f t="shared" si="80"/>
        <v>21013707.091364276</v>
      </c>
      <c r="F134" s="225">
        <f t="shared" si="80"/>
        <v>21013707.091364276</v>
      </c>
      <c r="G134" s="225">
        <f t="shared" si="80"/>
        <v>21013707.091364276</v>
      </c>
      <c r="H134" s="225">
        <f t="shared" si="80"/>
        <v>21013707.091364276</v>
      </c>
      <c r="I134" s="225">
        <f t="shared" si="80"/>
        <v>21013707.091364276</v>
      </c>
      <c r="J134" s="225">
        <f t="shared" si="80"/>
        <v>21013707.091364276</v>
      </c>
      <c r="K134" s="237">
        <f t="shared" si="81"/>
        <v>21013707.091364276</v>
      </c>
      <c r="L134" s="237">
        <f t="shared" si="76"/>
        <v>21013707.091364276</v>
      </c>
      <c r="M134" s="237">
        <f t="shared" si="76"/>
        <v>21013707.091364276</v>
      </c>
      <c r="N134" s="237">
        <f t="shared" si="76"/>
        <v>21013707.091364276</v>
      </c>
      <c r="O134" s="237">
        <f t="shared" si="76"/>
        <v>21013707.091364276</v>
      </c>
      <c r="P134" s="237">
        <f t="shared" si="76"/>
        <v>21013707.091364276</v>
      </c>
      <c r="Q134" s="237">
        <f t="shared" si="76"/>
        <v>21013707.091364276</v>
      </c>
      <c r="R134" s="237">
        <f t="shared" si="76"/>
        <v>21013707.091364276</v>
      </c>
      <c r="S134" s="237">
        <f t="shared" si="76"/>
        <v>21013707.091364276</v>
      </c>
      <c r="T134" s="224">
        <v>21013707.091364276</v>
      </c>
      <c r="U134" s="224">
        <f t="shared" si="86"/>
        <v>21013707.091364276</v>
      </c>
      <c r="V134" s="224">
        <f t="shared" si="86"/>
        <v>21013707.091364276</v>
      </c>
      <c r="W134" s="224">
        <f t="shared" si="86"/>
        <v>21013707.091364276</v>
      </c>
      <c r="X134" s="226">
        <v>21013707.091364276</v>
      </c>
      <c r="Y134" s="226">
        <f t="shared" si="82"/>
        <v>21013707.091364276</v>
      </c>
      <c r="Z134" s="226">
        <f t="shared" si="82"/>
        <v>21013707.091364276</v>
      </c>
      <c r="AA134" s="224">
        <v>21013707.091364276</v>
      </c>
      <c r="AB134" s="224">
        <v>21013707.091364276</v>
      </c>
      <c r="AC134" s="224">
        <v>21013707.091364276</v>
      </c>
      <c r="AD134" s="224">
        <f t="shared" si="46"/>
        <v>21013707.091364276</v>
      </c>
      <c r="AE134" s="224">
        <v>21013707.091364276</v>
      </c>
      <c r="AF134" s="224">
        <v>21013707.091364276</v>
      </c>
      <c r="AG134" s="224">
        <f t="shared" si="47"/>
        <v>21013707.091364276</v>
      </c>
      <c r="AH134" s="226">
        <v>21131237.950698812</v>
      </c>
      <c r="AI134" s="226">
        <f t="shared" si="83"/>
        <v>21131237.950698812</v>
      </c>
      <c r="AJ134" s="226">
        <f t="shared" si="83"/>
        <v>21131237.950698812</v>
      </c>
      <c r="AK134" s="226">
        <f t="shared" si="83"/>
        <v>21131237.950698812</v>
      </c>
      <c r="AL134" s="226">
        <f t="shared" si="83"/>
        <v>21131237.950698812</v>
      </c>
      <c r="AM134" s="226">
        <f t="shared" si="83"/>
        <v>21131237.950698812</v>
      </c>
      <c r="AN134" s="235">
        <v>21131237.950698812</v>
      </c>
      <c r="AO134" s="235">
        <f t="shared" si="84"/>
        <v>21131237.950698812</v>
      </c>
      <c r="AP134" s="235">
        <f t="shared" si="84"/>
        <v>21131237.950698812</v>
      </c>
      <c r="AQ134" s="236">
        <f t="shared" si="84"/>
        <v>21131237.950698812</v>
      </c>
      <c r="AR134" s="236">
        <f t="shared" si="84"/>
        <v>21131237.950698812</v>
      </c>
      <c r="AS134" s="236">
        <f t="shared" si="84"/>
        <v>21131237.950698812</v>
      </c>
      <c r="AT134" s="236">
        <f t="shared" si="84"/>
        <v>21131237.950698812</v>
      </c>
      <c r="AU134" s="236">
        <f t="shared" si="84"/>
        <v>21131237.950698812</v>
      </c>
      <c r="AV134" s="236">
        <f t="shared" si="84"/>
        <v>21131237.950698812</v>
      </c>
      <c r="AW134" s="226">
        <v>21062340.550399259</v>
      </c>
      <c r="AX134" s="226">
        <f t="shared" si="87"/>
        <v>21062340.550399259</v>
      </c>
      <c r="AY134" s="226">
        <f t="shared" si="87"/>
        <v>21062340.550399259</v>
      </c>
      <c r="AZ134" s="226">
        <f t="shared" si="87"/>
        <v>21062340.550399259</v>
      </c>
      <c r="BA134" s="226">
        <f t="shared" si="87"/>
        <v>21062340.550399259</v>
      </c>
      <c r="BB134" s="226">
        <f t="shared" si="87"/>
        <v>21062340.550399259</v>
      </c>
      <c r="BC134" s="226">
        <v>21062340.550399259</v>
      </c>
      <c r="BD134" s="224">
        <f t="shared" si="88"/>
        <v>21062340.550399259</v>
      </c>
      <c r="BE134" s="224">
        <f t="shared" si="88"/>
        <v>21062340.550399259</v>
      </c>
      <c r="BF134" s="224">
        <f t="shared" si="88"/>
        <v>21062340.550399259</v>
      </c>
      <c r="BG134" s="224">
        <f t="shared" si="88"/>
        <v>21062340.550399259</v>
      </c>
      <c r="BH134" s="224">
        <f t="shared" si="88"/>
        <v>21062340.550399259</v>
      </c>
      <c r="BI134" s="224">
        <f t="shared" si="88"/>
        <v>21062340.550399259</v>
      </c>
      <c r="BJ134" s="224">
        <f t="shared" si="88"/>
        <v>21062340.550399259</v>
      </c>
      <c r="BK134" s="224">
        <f t="shared" si="88"/>
        <v>21062340.550399259</v>
      </c>
      <c r="BL134" s="224">
        <f t="shared" si="88"/>
        <v>21062340.550399259</v>
      </c>
      <c r="BM134" s="224">
        <f t="shared" si="88"/>
        <v>21062340.550399259</v>
      </c>
      <c r="BN134" s="224">
        <f t="shared" si="88"/>
        <v>21062340.550399259</v>
      </c>
      <c r="BO134" s="224">
        <f t="shared" si="88"/>
        <v>21062340.550399259</v>
      </c>
    </row>
    <row r="135" spans="1:67">
      <c r="A135" s="223">
        <f t="shared" si="85"/>
        <v>5</v>
      </c>
      <c r="B135" s="151" t="s">
        <v>115</v>
      </c>
      <c r="C135" s="223">
        <v>133</v>
      </c>
      <c r="D135" s="224">
        <v>22324537.160999276</v>
      </c>
      <c r="E135" s="225">
        <f t="shared" si="80"/>
        <v>22324537.160999276</v>
      </c>
      <c r="F135" s="225">
        <f t="shared" si="80"/>
        <v>22324537.160999276</v>
      </c>
      <c r="G135" s="225">
        <f t="shared" si="80"/>
        <v>22324537.160999276</v>
      </c>
      <c r="H135" s="225">
        <f t="shared" si="80"/>
        <v>22324537.160999276</v>
      </c>
      <c r="I135" s="225">
        <f t="shared" si="80"/>
        <v>22324537.160999276</v>
      </c>
      <c r="J135" s="225">
        <f t="shared" si="80"/>
        <v>22324537.160999276</v>
      </c>
      <c r="K135" s="237">
        <f t="shared" si="81"/>
        <v>22324537.160999276</v>
      </c>
      <c r="L135" s="237">
        <f t="shared" si="76"/>
        <v>22324537.160999276</v>
      </c>
      <c r="M135" s="237">
        <f t="shared" si="76"/>
        <v>22324537.160999276</v>
      </c>
      <c r="N135" s="237">
        <f t="shared" si="76"/>
        <v>22324537.160999276</v>
      </c>
      <c r="O135" s="237">
        <f t="shared" si="76"/>
        <v>22324537.160999276</v>
      </c>
      <c r="P135" s="237">
        <f t="shared" si="76"/>
        <v>22324537.160999276</v>
      </c>
      <c r="Q135" s="237">
        <f t="shared" si="76"/>
        <v>22324537.160999276</v>
      </c>
      <c r="R135" s="237">
        <f t="shared" si="76"/>
        <v>22324537.160999276</v>
      </c>
      <c r="S135" s="237">
        <f t="shared" si="76"/>
        <v>22324537.160999276</v>
      </c>
      <c r="T135" s="224">
        <v>22324537.160999276</v>
      </c>
      <c r="U135" s="224">
        <f t="shared" si="86"/>
        <v>22324537.160999276</v>
      </c>
      <c r="V135" s="224">
        <f t="shared" si="86"/>
        <v>22324537.160999276</v>
      </c>
      <c r="W135" s="224">
        <f t="shared" si="86"/>
        <v>22324537.160999276</v>
      </c>
      <c r="X135" s="226">
        <v>22324537.160999276</v>
      </c>
      <c r="Y135" s="226">
        <f t="shared" si="82"/>
        <v>22324537.160999276</v>
      </c>
      <c r="Z135" s="226">
        <f t="shared" si="82"/>
        <v>22324537.160999276</v>
      </c>
      <c r="AA135" s="224">
        <v>22324537.160999276</v>
      </c>
      <c r="AB135" s="224">
        <v>22324537.160999276</v>
      </c>
      <c r="AC135" s="224">
        <v>22324537.160999276</v>
      </c>
      <c r="AD135" s="224">
        <f t="shared" si="46"/>
        <v>22324537.160999276</v>
      </c>
      <c r="AE135" s="224">
        <v>22324537.160999276</v>
      </c>
      <c r="AF135" s="224">
        <v>22324537.160999276</v>
      </c>
      <c r="AG135" s="224">
        <f t="shared" si="47"/>
        <v>22324537.160999276</v>
      </c>
      <c r="AH135" s="226">
        <v>22449399.567492813</v>
      </c>
      <c r="AI135" s="226">
        <f t="shared" si="83"/>
        <v>22449399.567492813</v>
      </c>
      <c r="AJ135" s="226">
        <f t="shared" si="83"/>
        <v>22449399.567492813</v>
      </c>
      <c r="AK135" s="226">
        <f t="shared" si="83"/>
        <v>22449399.567492813</v>
      </c>
      <c r="AL135" s="226">
        <f t="shared" si="83"/>
        <v>22449399.567492813</v>
      </c>
      <c r="AM135" s="226">
        <f t="shared" si="83"/>
        <v>22449399.567492813</v>
      </c>
      <c r="AN135" s="235">
        <v>22449399.567492813</v>
      </c>
      <c r="AO135" s="235">
        <f t="shared" si="84"/>
        <v>22449399.567492813</v>
      </c>
      <c r="AP135" s="235">
        <f t="shared" si="84"/>
        <v>22449399.567492813</v>
      </c>
      <c r="AQ135" s="236">
        <f t="shared" si="84"/>
        <v>22449399.567492813</v>
      </c>
      <c r="AR135" s="236">
        <f t="shared" si="84"/>
        <v>22449399.567492813</v>
      </c>
      <c r="AS135" s="236">
        <f t="shared" si="84"/>
        <v>22449399.567492813</v>
      </c>
      <c r="AT135" s="236">
        <f t="shared" si="84"/>
        <v>22449399.567492813</v>
      </c>
      <c r="AU135" s="236">
        <f t="shared" si="84"/>
        <v>22449399.567492813</v>
      </c>
      <c r="AV135" s="236">
        <f t="shared" si="84"/>
        <v>22449399.567492813</v>
      </c>
      <c r="AW135" s="226">
        <v>22376204.363686252</v>
      </c>
      <c r="AX135" s="226">
        <f t="shared" si="87"/>
        <v>22376204.363686252</v>
      </c>
      <c r="AY135" s="226">
        <f t="shared" si="87"/>
        <v>22376204.363686252</v>
      </c>
      <c r="AZ135" s="226">
        <f t="shared" si="87"/>
        <v>22376204.363686252</v>
      </c>
      <c r="BA135" s="226">
        <f t="shared" si="87"/>
        <v>22376204.363686252</v>
      </c>
      <c r="BB135" s="226">
        <f t="shared" si="87"/>
        <v>22376204.363686252</v>
      </c>
      <c r="BC135" s="226">
        <v>22376204.363686252</v>
      </c>
      <c r="BD135" s="224">
        <f t="shared" si="88"/>
        <v>22376204.363686252</v>
      </c>
      <c r="BE135" s="224">
        <f t="shared" si="88"/>
        <v>22376204.363686252</v>
      </c>
      <c r="BF135" s="224">
        <f t="shared" si="88"/>
        <v>22376204.363686252</v>
      </c>
      <c r="BG135" s="224">
        <f t="shared" si="88"/>
        <v>22376204.363686252</v>
      </c>
      <c r="BH135" s="224">
        <f t="shared" si="88"/>
        <v>22376204.363686252</v>
      </c>
      <c r="BI135" s="224">
        <f t="shared" si="88"/>
        <v>22376204.363686252</v>
      </c>
      <c r="BJ135" s="224">
        <f t="shared" si="88"/>
        <v>22376204.363686252</v>
      </c>
      <c r="BK135" s="224">
        <f t="shared" si="88"/>
        <v>22376204.363686252</v>
      </c>
      <c r="BL135" s="224">
        <f t="shared" si="88"/>
        <v>22376204.363686252</v>
      </c>
      <c r="BM135" s="224">
        <f t="shared" si="88"/>
        <v>22376204.363686252</v>
      </c>
      <c r="BN135" s="224">
        <f t="shared" si="88"/>
        <v>22376204.363686252</v>
      </c>
      <c r="BO135" s="224">
        <f t="shared" si="88"/>
        <v>22376204.363686252</v>
      </c>
    </row>
    <row r="136" spans="1:67">
      <c r="A136" s="223">
        <f t="shared" si="85"/>
        <v>6</v>
      </c>
      <c r="B136" s="151" t="s">
        <v>117</v>
      </c>
      <c r="C136" s="223">
        <v>134</v>
      </c>
      <c r="D136" s="224">
        <v>61682377.268801302</v>
      </c>
      <c r="E136" s="225">
        <f t="shared" si="80"/>
        <v>61682377.268801302</v>
      </c>
      <c r="F136" s="225">
        <f t="shared" si="80"/>
        <v>61682377.268801302</v>
      </c>
      <c r="G136" s="225">
        <f t="shared" si="80"/>
        <v>61682377.268801302</v>
      </c>
      <c r="H136" s="225">
        <f t="shared" si="80"/>
        <v>61682377.268801302</v>
      </c>
      <c r="I136" s="225">
        <f t="shared" si="80"/>
        <v>61682377.268801302</v>
      </c>
      <c r="J136" s="225">
        <f t="shared" si="80"/>
        <v>61682377.268801302</v>
      </c>
      <c r="K136" s="237">
        <f t="shared" si="81"/>
        <v>61682377.268801302</v>
      </c>
      <c r="L136" s="237">
        <f t="shared" si="76"/>
        <v>61682377.268801302</v>
      </c>
      <c r="M136" s="237">
        <f t="shared" si="76"/>
        <v>61682377.268801302</v>
      </c>
      <c r="N136" s="237">
        <f t="shared" si="76"/>
        <v>61682377.268801302</v>
      </c>
      <c r="O136" s="237">
        <f t="shared" si="76"/>
        <v>61682377.268801302</v>
      </c>
      <c r="P136" s="237">
        <f t="shared" si="76"/>
        <v>61682377.268801302</v>
      </c>
      <c r="Q136" s="237">
        <f t="shared" si="76"/>
        <v>61682377.268801302</v>
      </c>
      <c r="R136" s="237">
        <f t="shared" si="76"/>
        <v>61682377.268801302</v>
      </c>
      <c r="S136" s="237">
        <f t="shared" si="76"/>
        <v>61682377.268801302</v>
      </c>
      <c r="T136" s="224">
        <v>61682377.268801302</v>
      </c>
      <c r="U136" s="224">
        <f t="shared" si="86"/>
        <v>61682377.268801302</v>
      </c>
      <c r="V136" s="224">
        <f t="shared" si="86"/>
        <v>61682377.268801302</v>
      </c>
      <c r="W136" s="224">
        <f t="shared" si="86"/>
        <v>61682377.268801302</v>
      </c>
      <c r="X136" s="226">
        <v>61682377.268801302</v>
      </c>
      <c r="Y136" s="226">
        <f t="shared" si="82"/>
        <v>61682377.268801302</v>
      </c>
      <c r="Z136" s="226">
        <f t="shared" si="82"/>
        <v>61682377.268801302</v>
      </c>
      <c r="AA136" s="224">
        <v>61682377.268801302</v>
      </c>
      <c r="AB136" s="224">
        <v>61682377.268801302</v>
      </c>
      <c r="AC136" s="224">
        <v>61682377.268801302</v>
      </c>
      <c r="AD136" s="224">
        <f t="shared" si="46"/>
        <v>61682377.268801302</v>
      </c>
      <c r="AE136" s="224">
        <v>61682377.268801302</v>
      </c>
      <c r="AF136" s="224">
        <v>61682377.268801302</v>
      </c>
      <c r="AG136" s="224">
        <f t="shared" si="47"/>
        <v>61682377.268801302</v>
      </c>
      <c r="AH136" s="226">
        <v>62027370.314277716</v>
      </c>
      <c r="AI136" s="226">
        <f t="shared" si="83"/>
        <v>62027370.314277716</v>
      </c>
      <c r="AJ136" s="226">
        <f t="shared" si="83"/>
        <v>62027370.314277716</v>
      </c>
      <c r="AK136" s="226">
        <f t="shared" si="83"/>
        <v>62027370.314277716</v>
      </c>
      <c r="AL136" s="226">
        <f t="shared" si="83"/>
        <v>62027370.314277716</v>
      </c>
      <c r="AM136" s="226">
        <f t="shared" si="83"/>
        <v>62027370.314277716</v>
      </c>
      <c r="AN136" s="235">
        <v>62027370.314277716</v>
      </c>
      <c r="AO136" s="235">
        <f t="shared" si="84"/>
        <v>62027370.314277716</v>
      </c>
      <c r="AP136" s="235">
        <f t="shared" si="84"/>
        <v>62027370.314277716</v>
      </c>
      <c r="AQ136" s="236">
        <f t="shared" si="84"/>
        <v>62027370.314277716</v>
      </c>
      <c r="AR136" s="236">
        <f t="shared" si="84"/>
        <v>62027370.314277716</v>
      </c>
      <c r="AS136" s="236">
        <f t="shared" si="84"/>
        <v>62027370.314277716</v>
      </c>
      <c r="AT136" s="236">
        <f t="shared" si="84"/>
        <v>62027370.314277716</v>
      </c>
      <c r="AU136" s="236">
        <f t="shared" si="84"/>
        <v>62027370.314277716</v>
      </c>
      <c r="AV136" s="236">
        <f t="shared" si="84"/>
        <v>62027370.314277716</v>
      </c>
      <c r="AW136" s="226">
        <v>61825133.011757061</v>
      </c>
      <c r="AX136" s="226">
        <f t="shared" si="87"/>
        <v>61825133.011757061</v>
      </c>
      <c r="AY136" s="226">
        <f t="shared" si="87"/>
        <v>61825133.011757061</v>
      </c>
      <c r="AZ136" s="226">
        <f t="shared" si="87"/>
        <v>61825133.011757061</v>
      </c>
      <c r="BA136" s="226">
        <f t="shared" si="87"/>
        <v>61825133.011757061</v>
      </c>
      <c r="BB136" s="226">
        <f t="shared" si="87"/>
        <v>61825133.011757061</v>
      </c>
      <c r="BC136" s="226">
        <v>61825133.011757061</v>
      </c>
      <c r="BD136" s="224">
        <f t="shared" si="88"/>
        <v>61825133.011757061</v>
      </c>
      <c r="BE136" s="224">
        <f t="shared" si="88"/>
        <v>61825133.011757061</v>
      </c>
      <c r="BF136" s="224">
        <f t="shared" si="88"/>
        <v>61825133.011757061</v>
      </c>
      <c r="BG136" s="224">
        <f t="shared" si="88"/>
        <v>61825133.011757061</v>
      </c>
      <c r="BH136" s="224">
        <f t="shared" si="88"/>
        <v>61825133.011757061</v>
      </c>
      <c r="BI136" s="224">
        <f t="shared" si="88"/>
        <v>61825133.011757061</v>
      </c>
      <c r="BJ136" s="224">
        <f t="shared" si="88"/>
        <v>61825133.011757061</v>
      </c>
      <c r="BK136" s="224">
        <f t="shared" si="88"/>
        <v>61825133.011757061</v>
      </c>
      <c r="BL136" s="224">
        <f t="shared" si="88"/>
        <v>61825133.011757061</v>
      </c>
      <c r="BM136" s="224">
        <f t="shared" si="88"/>
        <v>61825133.011757061</v>
      </c>
      <c r="BN136" s="224">
        <f t="shared" si="88"/>
        <v>61825133.011757061</v>
      </c>
      <c r="BO136" s="224">
        <f t="shared" si="88"/>
        <v>61825133.011757061</v>
      </c>
    </row>
    <row r="137" spans="1:67">
      <c r="A137" s="223">
        <f t="shared" si="85"/>
        <v>7</v>
      </c>
      <c r="B137" s="151" t="s">
        <v>118</v>
      </c>
      <c r="C137" s="223">
        <v>135</v>
      </c>
      <c r="D137" s="224">
        <v>51056506.070551433</v>
      </c>
      <c r="E137" s="225">
        <f t="shared" si="80"/>
        <v>51056506.070551433</v>
      </c>
      <c r="F137" s="225">
        <f t="shared" si="80"/>
        <v>51056506.070551433</v>
      </c>
      <c r="G137" s="225">
        <f t="shared" si="80"/>
        <v>51056506.070551433</v>
      </c>
      <c r="H137" s="225">
        <f t="shared" si="80"/>
        <v>51056506.070551433</v>
      </c>
      <c r="I137" s="225">
        <f t="shared" si="80"/>
        <v>51056506.070551433</v>
      </c>
      <c r="J137" s="225">
        <f t="shared" si="80"/>
        <v>51056506.070551433</v>
      </c>
      <c r="K137" s="237">
        <f t="shared" si="81"/>
        <v>51056506.070551433</v>
      </c>
      <c r="L137" s="237">
        <f t="shared" si="76"/>
        <v>51056506.070551433</v>
      </c>
      <c r="M137" s="237">
        <f t="shared" si="76"/>
        <v>51056506.070551433</v>
      </c>
      <c r="N137" s="237">
        <f t="shared" si="76"/>
        <v>51056506.070551433</v>
      </c>
      <c r="O137" s="237">
        <f t="shared" si="76"/>
        <v>51056506.070551433</v>
      </c>
      <c r="P137" s="237">
        <f t="shared" si="76"/>
        <v>51056506.070551433</v>
      </c>
      <c r="Q137" s="237">
        <f t="shared" si="76"/>
        <v>51056506.070551433</v>
      </c>
      <c r="R137" s="237">
        <f t="shared" si="76"/>
        <v>51056506.070551433</v>
      </c>
      <c r="S137" s="237">
        <f t="shared" si="76"/>
        <v>51056506.070551433</v>
      </c>
      <c r="T137" s="224">
        <v>51056506.070551433</v>
      </c>
      <c r="U137" s="224">
        <f t="shared" si="86"/>
        <v>51056506.070551433</v>
      </c>
      <c r="V137" s="224">
        <f t="shared" si="86"/>
        <v>51056506.070551433</v>
      </c>
      <c r="W137" s="224">
        <f t="shared" si="86"/>
        <v>51056506.070551433</v>
      </c>
      <c r="X137" s="226">
        <v>51056506.070551433</v>
      </c>
      <c r="Y137" s="226">
        <f t="shared" si="82"/>
        <v>51056506.070551433</v>
      </c>
      <c r="Z137" s="226">
        <f t="shared" si="82"/>
        <v>51056506.070551433</v>
      </c>
      <c r="AA137" s="224">
        <v>51056506.070551433</v>
      </c>
      <c r="AB137" s="224">
        <v>51056506.070551433</v>
      </c>
      <c r="AC137" s="224">
        <v>51056506.070551433</v>
      </c>
      <c r="AD137" s="224">
        <f t="shared" si="46"/>
        <v>51056506.070551433</v>
      </c>
      <c r="AE137" s="224">
        <v>51056506.070551433</v>
      </c>
      <c r="AF137" s="224">
        <v>51056506.070551433</v>
      </c>
      <c r="AG137" s="224">
        <f t="shared" si="47"/>
        <v>51056506.070551433</v>
      </c>
      <c r="AH137" s="226">
        <v>51342068.013858274</v>
      </c>
      <c r="AI137" s="226">
        <f t="shared" si="83"/>
        <v>51342068.013858274</v>
      </c>
      <c r="AJ137" s="226">
        <f t="shared" si="83"/>
        <v>51342068.013858274</v>
      </c>
      <c r="AK137" s="226">
        <f t="shared" si="83"/>
        <v>51342068.013858274</v>
      </c>
      <c r="AL137" s="226">
        <f t="shared" si="83"/>
        <v>51342068.013858274</v>
      </c>
      <c r="AM137" s="226">
        <f t="shared" si="83"/>
        <v>51342068.013858274</v>
      </c>
      <c r="AN137" s="235">
        <v>51342068.013858274</v>
      </c>
      <c r="AO137" s="235">
        <f t="shared" si="84"/>
        <v>51342068.013858274</v>
      </c>
      <c r="AP137" s="235">
        <f t="shared" si="84"/>
        <v>51342068.013858274</v>
      </c>
      <c r="AQ137" s="236">
        <f t="shared" si="84"/>
        <v>51342068.013858274</v>
      </c>
      <c r="AR137" s="236">
        <f t="shared" si="84"/>
        <v>51342068.013858274</v>
      </c>
      <c r="AS137" s="236">
        <f t="shared" si="84"/>
        <v>51342068.013858274</v>
      </c>
      <c r="AT137" s="236">
        <f t="shared" si="84"/>
        <v>51342068.013858274</v>
      </c>
      <c r="AU137" s="236">
        <f t="shared" si="84"/>
        <v>51342068.013858274</v>
      </c>
      <c r="AV137" s="236">
        <f t="shared" si="84"/>
        <v>51342068.013858274</v>
      </c>
      <c r="AW137" s="226">
        <v>51174669.63329909</v>
      </c>
      <c r="AX137" s="226">
        <f t="shared" si="87"/>
        <v>51174669.63329909</v>
      </c>
      <c r="AY137" s="226">
        <f t="shared" si="87"/>
        <v>51174669.63329909</v>
      </c>
      <c r="AZ137" s="226">
        <f t="shared" si="87"/>
        <v>51174669.63329909</v>
      </c>
      <c r="BA137" s="226">
        <f t="shared" si="87"/>
        <v>51174669.63329909</v>
      </c>
      <c r="BB137" s="226">
        <f t="shared" si="87"/>
        <v>51174669.63329909</v>
      </c>
      <c r="BC137" s="226">
        <v>51174669.63329909</v>
      </c>
      <c r="BD137" s="224">
        <f t="shared" si="88"/>
        <v>51174669.63329909</v>
      </c>
      <c r="BE137" s="224">
        <f t="shared" si="88"/>
        <v>51174669.63329909</v>
      </c>
      <c r="BF137" s="224">
        <f t="shared" si="88"/>
        <v>51174669.63329909</v>
      </c>
      <c r="BG137" s="224">
        <f t="shared" si="88"/>
        <v>51174669.63329909</v>
      </c>
      <c r="BH137" s="224">
        <f t="shared" si="88"/>
        <v>51174669.63329909</v>
      </c>
      <c r="BI137" s="224">
        <f t="shared" si="88"/>
        <v>51174669.63329909</v>
      </c>
      <c r="BJ137" s="224">
        <f t="shared" si="88"/>
        <v>51174669.63329909</v>
      </c>
      <c r="BK137" s="224">
        <f t="shared" si="88"/>
        <v>51174669.63329909</v>
      </c>
      <c r="BL137" s="224">
        <f t="shared" si="88"/>
        <v>51174669.63329909</v>
      </c>
      <c r="BM137" s="224">
        <f t="shared" si="88"/>
        <v>51174669.63329909</v>
      </c>
      <c r="BN137" s="224">
        <f t="shared" si="88"/>
        <v>51174669.63329909</v>
      </c>
      <c r="BO137" s="224">
        <f t="shared" si="88"/>
        <v>51174669.63329909</v>
      </c>
    </row>
    <row r="138" spans="1:67">
      <c r="A138" s="223">
        <f t="shared" si="85"/>
        <v>8</v>
      </c>
      <c r="B138" s="151" t="s">
        <v>119</v>
      </c>
      <c r="C138" s="223">
        <v>136</v>
      </c>
      <c r="D138" s="224">
        <v>23740730.021765273</v>
      </c>
      <c r="E138" s="225">
        <f t="shared" si="80"/>
        <v>23740730.021765273</v>
      </c>
      <c r="F138" s="225">
        <f t="shared" si="80"/>
        <v>23740730.021765273</v>
      </c>
      <c r="G138" s="225">
        <f t="shared" si="80"/>
        <v>23740730.021765273</v>
      </c>
      <c r="H138" s="225">
        <f t="shared" si="80"/>
        <v>23740730.021765273</v>
      </c>
      <c r="I138" s="225">
        <f t="shared" si="80"/>
        <v>23740730.021765273</v>
      </c>
      <c r="J138" s="225">
        <f t="shared" si="80"/>
        <v>23740730.021765273</v>
      </c>
      <c r="K138" s="237">
        <f t="shared" si="81"/>
        <v>23740730.021765273</v>
      </c>
      <c r="L138" s="237">
        <f t="shared" si="76"/>
        <v>23740730.021765273</v>
      </c>
      <c r="M138" s="237">
        <f t="shared" si="76"/>
        <v>23740730.021765273</v>
      </c>
      <c r="N138" s="237">
        <f t="shared" si="76"/>
        <v>23740730.021765273</v>
      </c>
      <c r="O138" s="237">
        <f t="shared" si="76"/>
        <v>23740730.021765273</v>
      </c>
      <c r="P138" s="237">
        <f t="shared" si="76"/>
        <v>23740730.021765273</v>
      </c>
      <c r="Q138" s="237">
        <f t="shared" si="76"/>
        <v>23740730.021765273</v>
      </c>
      <c r="R138" s="237">
        <f t="shared" si="76"/>
        <v>23740730.021765273</v>
      </c>
      <c r="S138" s="237">
        <f t="shared" si="76"/>
        <v>23740730.021765273</v>
      </c>
      <c r="T138" s="224">
        <v>23740730.021765273</v>
      </c>
      <c r="U138" s="224">
        <f t="shared" si="86"/>
        <v>23740730.021765273</v>
      </c>
      <c r="V138" s="224">
        <f t="shared" si="86"/>
        <v>23740730.021765273</v>
      </c>
      <c r="W138" s="224">
        <f t="shared" si="86"/>
        <v>23740730.021765273</v>
      </c>
      <c r="X138" s="226">
        <v>23740730.021765273</v>
      </c>
      <c r="Y138" s="226">
        <f t="shared" si="82"/>
        <v>23740730.021765273</v>
      </c>
      <c r="Z138" s="226">
        <f t="shared" si="82"/>
        <v>23740730.021765273</v>
      </c>
      <c r="AA138" s="224">
        <v>23740730.021765273</v>
      </c>
      <c r="AB138" s="224">
        <v>23740730.021765273</v>
      </c>
      <c r="AC138" s="224">
        <v>23740730.021765273</v>
      </c>
      <c r="AD138" s="224">
        <f t="shared" si="46"/>
        <v>23740730.021765273</v>
      </c>
      <c r="AE138" s="224">
        <v>23740730.021765273</v>
      </c>
      <c r="AF138" s="224">
        <v>23740730.021765273</v>
      </c>
      <c r="AG138" s="224">
        <f t="shared" si="47"/>
        <v>23740730.021765273</v>
      </c>
      <c r="AH138" s="226">
        <v>23873513.275503211</v>
      </c>
      <c r="AI138" s="226">
        <f t="shared" si="83"/>
        <v>23873513.275503211</v>
      </c>
      <c r="AJ138" s="226">
        <f t="shared" si="83"/>
        <v>23873513.275503211</v>
      </c>
      <c r="AK138" s="226">
        <f t="shared" si="83"/>
        <v>23873513.275503211</v>
      </c>
      <c r="AL138" s="226">
        <f t="shared" si="83"/>
        <v>23873513.275503211</v>
      </c>
      <c r="AM138" s="226">
        <f t="shared" si="83"/>
        <v>23873513.275503211</v>
      </c>
      <c r="AN138" s="235">
        <v>23873513.275503211</v>
      </c>
      <c r="AO138" s="235">
        <f t="shared" si="84"/>
        <v>23873513.275503211</v>
      </c>
      <c r="AP138" s="235">
        <f t="shared" si="84"/>
        <v>23873513.275503211</v>
      </c>
      <c r="AQ138" s="236">
        <f t="shared" si="84"/>
        <v>23873513.275503211</v>
      </c>
      <c r="AR138" s="236">
        <f t="shared" si="84"/>
        <v>23873513.275503211</v>
      </c>
      <c r="AS138" s="236">
        <f t="shared" si="84"/>
        <v>23873513.275503211</v>
      </c>
      <c r="AT138" s="236">
        <f t="shared" si="84"/>
        <v>23873513.275503211</v>
      </c>
      <c r="AU138" s="236">
        <f t="shared" si="84"/>
        <v>23873513.275503211</v>
      </c>
      <c r="AV138" s="236">
        <f t="shared" si="84"/>
        <v>23873513.275503211</v>
      </c>
      <c r="AW138" s="226">
        <v>23795674.816415455</v>
      </c>
      <c r="AX138" s="226">
        <f t="shared" si="87"/>
        <v>23795674.816415455</v>
      </c>
      <c r="AY138" s="226">
        <f t="shared" si="87"/>
        <v>23795674.816415455</v>
      </c>
      <c r="AZ138" s="226">
        <f t="shared" si="87"/>
        <v>23795674.816415455</v>
      </c>
      <c r="BA138" s="226">
        <f t="shared" si="87"/>
        <v>23795674.816415455</v>
      </c>
      <c r="BB138" s="226">
        <f t="shared" si="87"/>
        <v>23795674.816415455</v>
      </c>
      <c r="BC138" s="226">
        <v>23795674.816415455</v>
      </c>
      <c r="BD138" s="224">
        <f t="shared" si="88"/>
        <v>23795674.816415455</v>
      </c>
      <c r="BE138" s="224">
        <f t="shared" si="88"/>
        <v>23795674.816415455</v>
      </c>
      <c r="BF138" s="224">
        <f t="shared" si="88"/>
        <v>23795674.816415455</v>
      </c>
      <c r="BG138" s="224">
        <f t="shared" si="88"/>
        <v>23795674.816415455</v>
      </c>
      <c r="BH138" s="224">
        <f t="shared" si="88"/>
        <v>23795674.816415455</v>
      </c>
      <c r="BI138" s="224">
        <f t="shared" si="88"/>
        <v>23795674.816415455</v>
      </c>
      <c r="BJ138" s="224">
        <f t="shared" si="88"/>
        <v>23795674.816415455</v>
      </c>
      <c r="BK138" s="224">
        <f t="shared" si="88"/>
        <v>23795674.816415455</v>
      </c>
      <c r="BL138" s="224">
        <f t="shared" si="88"/>
        <v>23795674.816415455</v>
      </c>
      <c r="BM138" s="224">
        <f t="shared" si="88"/>
        <v>23795674.816415455</v>
      </c>
      <c r="BN138" s="224">
        <f t="shared" si="88"/>
        <v>23795674.816415455</v>
      </c>
      <c r="BO138" s="224">
        <f t="shared" si="88"/>
        <v>23795674.816415455</v>
      </c>
    </row>
    <row r="139" spans="1:67">
      <c r="A139" s="223">
        <f t="shared" si="85"/>
        <v>9</v>
      </c>
      <c r="B139" s="151" t="s">
        <v>120</v>
      </c>
      <c r="C139" s="223">
        <v>137</v>
      </c>
      <c r="D139" s="224">
        <v>14579421.985697825</v>
      </c>
      <c r="E139" s="225">
        <f t="shared" si="80"/>
        <v>14579421.985697825</v>
      </c>
      <c r="F139" s="225">
        <f t="shared" si="80"/>
        <v>14579421.985697825</v>
      </c>
      <c r="G139" s="225">
        <f t="shared" si="80"/>
        <v>14579421.985697825</v>
      </c>
      <c r="H139" s="225">
        <f t="shared" si="80"/>
        <v>14579421.985697825</v>
      </c>
      <c r="I139" s="225">
        <f t="shared" si="80"/>
        <v>14579421.985697825</v>
      </c>
      <c r="J139" s="225">
        <f t="shared" si="80"/>
        <v>14579421.985697825</v>
      </c>
      <c r="K139" s="237">
        <f t="shared" si="81"/>
        <v>14579421.985697825</v>
      </c>
      <c r="L139" s="237">
        <f t="shared" si="76"/>
        <v>14579421.985697825</v>
      </c>
      <c r="M139" s="237">
        <f t="shared" si="76"/>
        <v>14579421.985697825</v>
      </c>
      <c r="N139" s="237">
        <f t="shared" si="76"/>
        <v>14579421.985697825</v>
      </c>
      <c r="O139" s="237">
        <f t="shared" si="76"/>
        <v>14579421.985697825</v>
      </c>
      <c r="P139" s="237">
        <f t="shared" si="76"/>
        <v>14579421.985697825</v>
      </c>
      <c r="Q139" s="237">
        <f t="shared" si="76"/>
        <v>14579421.985697825</v>
      </c>
      <c r="R139" s="237">
        <f t="shared" si="76"/>
        <v>14579421.985697825</v>
      </c>
      <c r="S139" s="237">
        <f t="shared" si="76"/>
        <v>14579421.985697825</v>
      </c>
      <c r="T139" s="224">
        <v>14579421.985697825</v>
      </c>
      <c r="U139" s="224">
        <f t="shared" si="86"/>
        <v>14579421.985697825</v>
      </c>
      <c r="V139" s="224">
        <f t="shared" si="86"/>
        <v>14579421.985697825</v>
      </c>
      <c r="W139" s="224">
        <f t="shared" si="86"/>
        <v>14579421.985697825</v>
      </c>
      <c r="X139" s="226">
        <v>14579421.985697825</v>
      </c>
      <c r="Y139" s="226">
        <f t="shared" si="82"/>
        <v>14579421.985697825</v>
      </c>
      <c r="Z139" s="226">
        <f t="shared" si="82"/>
        <v>14579421.985697825</v>
      </c>
      <c r="AA139" s="224">
        <v>14579421.985697825</v>
      </c>
      <c r="AB139" s="224">
        <v>14579421.985697825</v>
      </c>
      <c r="AC139" s="224">
        <v>14579421.985697825</v>
      </c>
      <c r="AD139" s="224">
        <f t="shared" si="46"/>
        <v>14579421.985697825</v>
      </c>
      <c r="AE139" s="224">
        <v>14579421.985697825</v>
      </c>
      <c r="AF139" s="224">
        <v>14579421.985697825</v>
      </c>
      <c r="AG139" s="224">
        <f t="shared" si="47"/>
        <v>14579421.985697825</v>
      </c>
      <c r="AH139" s="226">
        <v>14660965.522358431</v>
      </c>
      <c r="AI139" s="226">
        <f t="shared" si="83"/>
        <v>14660965.522358431</v>
      </c>
      <c r="AJ139" s="226">
        <f t="shared" si="83"/>
        <v>14660965.522358431</v>
      </c>
      <c r="AK139" s="226">
        <f t="shared" si="83"/>
        <v>14660965.522358431</v>
      </c>
      <c r="AL139" s="226">
        <f t="shared" si="83"/>
        <v>14660965.522358431</v>
      </c>
      <c r="AM139" s="226">
        <f t="shared" si="83"/>
        <v>14660965.522358431</v>
      </c>
      <c r="AN139" s="235">
        <v>14660965.522358431</v>
      </c>
      <c r="AO139" s="235">
        <f t="shared" si="84"/>
        <v>14660965.522358431</v>
      </c>
      <c r="AP139" s="235">
        <f t="shared" si="84"/>
        <v>14660965.522358431</v>
      </c>
      <c r="AQ139" s="236">
        <f t="shared" si="84"/>
        <v>14660965.522358431</v>
      </c>
      <c r="AR139" s="236">
        <f t="shared" si="84"/>
        <v>14660965.522358431</v>
      </c>
      <c r="AS139" s="236">
        <f t="shared" si="84"/>
        <v>14660965.522358431</v>
      </c>
      <c r="AT139" s="236">
        <f t="shared" si="84"/>
        <v>14660965.522358431</v>
      </c>
      <c r="AU139" s="236">
        <f t="shared" si="84"/>
        <v>14660965.522358431</v>
      </c>
      <c r="AV139" s="236">
        <f t="shared" si="84"/>
        <v>14660965.522358431</v>
      </c>
      <c r="AW139" s="226">
        <v>14613164.138798764</v>
      </c>
      <c r="AX139" s="226">
        <f t="shared" si="87"/>
        <v>14613164.138798764</v>
      </c>
      <c r="AY139" s="226">
        <f t="shared" si="87"/>
        <v>14613164.138798764</v>
      </c>
      <c r="AZ139" s="226">
        <f t="shared" si="87"/>
        <v>14613164.138798764</v>
      </c>
      <c r="BA139" s="226">
        <f t="shared" si="87"/>
        <v>14613164.138798764</v>
      </c>
      <c r="BB139" s="226">
        <f t="shared" si="87"/>
        <v>14613164.138798764</v>
      </c>
      <c r="BC139" s="226">
        <v>14613164.138798764</v>
      </c>
      <c r="BD139" s="224">
        <f t="shared" si="88"/>
        <v>14613164.138798764</v>
      </c>
      <c r="BE139" s="224">
        <f t="shared" si="88"/>
        <v>14613164.138798764</v>
      </c>
      <c r="BF139" s="224">
        <f t="shared" si="88"/>
        <v>14613164.138798764</v>
      </c>
      <c r="BG139" s="224">
        <f t="shared" si="88"/>
        <v>14613164.138798764</v>
      </c>
      <c r="BH139" s="224">
        <f t="shared" si="88"/>
        <v>14613164.138798764</v>
      </c>
      <c r="BI139" s="224">
        <f t="shared" si="88"/>
        <v>14613164.138798764</v>
      </c>
      <c r="BJ139" s="224">
        <f t="shared" si="88"/>
        <v>14613164.138798764</v>
      </c>
      <c r="BK139" s="224">
        <f t="shared" si="88"/>
        <v>14613164.138798764</v>
      </c>
      <c r="BL139" s="224">
        <f t="shared" si="88"/>
        <v>14613164.138798764</v>
      </c>
      <c r="BM139" s="224">
        <f t="shared" si="88"/>
        <v>14613164.138798764</v>
      </c>
      <c r="BN139" s="224">
        <f t="shared" si="88"/>
        <v>14613164.138798764</v>
      </c>
      <c r="BO139" s="224">
        <f t="shared" si="88"/>
        <v>14613164.138798764</v>
      </c>
    </row>
    <row r="140" spans="1:67">
      <c r="A140" s="223">
        <f t="shared" si="85"/>
        <v>10</v>
      </c>
      <c r="B140" s="151" t="s">
        <v>116</v>
      </c>
      <c r="C140" s="223">
        <v>138</v>
      </c>
      <c r="D140" s="224">
        <v>13420576.521873249</v>
      </c>
      <c r="E140" s="225">
        <f t="shared" si="80"/>
        <v>13420576.521873249</v>
      </c>
      <c r="F140" s="225">
        <f t="shared" si="80"/>
        <v>13420576.521873249</v>
      </c>
      <c r="G140" s="225">
        <f t="shared" si="80"/>
        <v>13420576.521873249</v>
      </c>
      <c r="H140" s="225">
        <f t="shared" si="80"/>
        <v>13420576.521873249</v>
      </c>
      <c r="I140" s="225">
        <f t="shared" si="80"/>
        <v>13420576.521873249</v>
      </c>
      <c r="J140" s="225">
        <f t="shared" si="80"/>
        <v>13420576.521873249</v>
      </c>
      <c r="K140" s="237">
        <f t="shared" si="81"/>
        <v>13420576.521873249</v>
      </c>
      <c r="L140" s="237">
        <f t="shared" si="76"/>
        <v>13420576.521873249</v>
      </c>
      <c r="M140" s="237">
        <f t="shared" si="76"/>
        <v>13420576.521873249</v>
      </c>
      <c r="N140" s="237">
        <f t="shared" si="76"/>
        <v>13420576.521873249</v>
      </c>
      <c r="O140" s="237">
        <f t="shared" si="76"/>
        <v>13420576.521873249</v>
      </c>
      <c r="P140" s="237">
        <f t="shared" si="76"/>
        <v>13420576.521873249</v>
      </c>
      <c r="Q140" s="237">
        <f t="shared" si="76"/>
        <v>13420576.521873249</v>
      </c>
      <c r="R140" s="237">
        <f t="shared" si="76"/>
        <v>13420576.521873249</v>
      </c>
      <c r="S140" s="237">
        <f t="shared" si="76"/>
        <v>13420576.521873249</v>
      </c>
      <c r="T140" s="224">
        <v>13420576.521873249</v>
      </c>
      <c r="U140" s="224">
        <f t="shared" si="86"/>
        <v>13420576.521873249</v>
      </c>
      <c r="V140" s="224">
        <f t="shared" si="86"/>
        <v>13420576.521873249</v>
      </c>
      <c r="W140" s="224">
        <f t="shared" si="86"/>
        <v>13420576.521873249</v>
      </c>
      <c r="X140" s="226">
        <v>13420576.521873249</v>
      </c>
      <c r="Y140" s="226">
        <f t="shared" si="82"/>
        <v>13420576.521873249</v>
      </c>
      <c r="Z140" s="226">
        <f t="shared" si="82"/>
        <v>13420576.521873249</v>
      </c>
      <c r="AA140" s="224">
        <v>13420576.521873249</v>
      </c>
      <c r="AB140" s="224">
        <v>13420576.521873249</v>
      </c>
      <c r="AC140" s="224">
        <v>13420576.521873249</v>
      </c>
      <c r="AD140" s="224">
        <f t="shared" si="46"/>
        <v>13420576.521873249</v>
      </c>
      <c r="AE140" s="224">
        <v>13420576.521873249</v>
      </c>
      <c r="AF140" s="224">
        <v>13420576.521873249</v>
      </c>
      <c r="AG140" s="224">
        <f t="shared" si="47"/>
        <v>13420576.521873249</v>
      </c>
      <c r="AH140" s="226">
        <v>13495638.5699223</v>
      </c>
      <c r="AI140" s="226">
        <f t="shared" si="83"/>
        <v>13495638.5699223</v>
      </c>
      <c r="AJ140" s="226">
        <f t="shared" si="83"/>
        <v>13495638.5699223</v>
      </c>
      <c r="AK140" s="226">
        <f t="shared" si="83"/>
        <v>13495638.5699223</v>
      </c>
      <c r="AL140" s="226">
        <f t="shared" si="83"/>
        <v>13495638.5699223</v>
      </c>
      <c r="AM140" s="226">
        <f t="shared" si="83"/>
        <v>13495638.5699223</v>
      </c>
      <c r="AN140" s="235">
        <v>13495638.5699223</v>
      </c>
      <c r="AO140" s="235">
        <f t="shared" si="84"/>
        <v>13495638.5699223</v>
      </c>
      <c r="AP140" s="235">
        <f t="shared" si="84"/>
        <v>13495638.5699223</v>
      </c>
      <c r="AQ140" s="236">
        <f t="shared" si="84"/>
        <v>13495638.5699223</v>
      </c>
      <c r="AR140" s="236">
        <f t="shared" si="84"/>
        <v>13495638.5699223</v>
      </c>
      <c r="AS140" s="236">
        <f t="shared" si="84"/>
        <v>13495638.5699223</v>
      </c>
      <c r="AT140" s="236">
        <f t="shared" si="84"/>
        <v>13495638.5699223</v>
      </c>
      <c r="AU140" s="236">
        <f t="shared" si="84"/>
        <v>13495638.5699223</v>
      </c>
      <c r="AV140" s="236">
        <f t="shared" si="84"/>
        <v>13495638.5699223</v>
      </c>
      <c r="AW140" s="226">
        <v>13451636.679686649</v>
      </c>
      <c r="AX140" s="226">
        <f t="shared" si="87"/>
        <v>13451636.679686649</v>
      </c>
      <c r="AY140" s="226">
        <f t="shared" si="87"/>
        <v>13451636.679686649</v>
      </c>
      <c r="AZ140" s="226">
        <f t="shared" si="87"/>
        <v>13451636.679686649</v>
      </c>
      <c r="BA140" s="226">
        <f t="shared" si="87"/>
        <v>13451636.679686649</v>
      </c>
      <c r="BB140" s="226">
        <f t="shared" si="87"/>
        <v>13451636.679686649</v>
      </c>
      <c r="BC140" s="226">
        <v>13451636.679686649</v>
      </c>
      <c r="BD140" s="224">
        <f t="shared" si="88"/>
        <v>13451636.679686649</v>
      </c>
      <c r="BE140" s="224">
        <f t="shared" si="88"/>
        <v>13451636.679686649</v>
      </c>
      <c r="BF140" s="224">
        <f t="shared" si="88"/>
        <v>13451636.679686649</v>
      </c>
      <c r="BG140" s="224">
        <f t="shared" si="88"/>
        <v>13451636.679686649</v>
      </c>
      <c r="BH140" s="224">
        <f t="shared" si="88"/>
        <v>13451636.679686649</v>
      </c>
      <c r="BI140" s="224">
        <f t="shared" si="88"/>
        <v>13451636.679686649</v>
      </c>
      <c r="BJ140" s="224">
        <f t="shared" si="88"/>
        <v>13451636.679686649</v>
      </c>
      <c r="BK140" s="224">
        <f t="shared" si="88"/>
        <v>13451636.679686649</v>
      </c>
      <c r="BL140" s="224">
        <f t="shared" si="88"/>
        <v>13451636.679686649</v>
      </c>
      <c r="BM140" s="224">
        <f t="shared" si="88"/>
        <v>13451636.679686649</v>
      </c>
      <c r="BN140" s="224">
        <f t="shared" si="88"/>
        <v>13451636.679686649</v>
      </c>
      <c r="BO140" s="224">
        <f t="shared" si="88"/>
        <v>13451636.679686649</v>
      </c>
    </row>
    <row r="141" spans="1:67" ht="30">
      <c r="A141" s="223">
        <f t="shared" si="85"/>
        <v>11</v>
      </c>
      <c r="B141" s="228" t="s">
        <v>121</v>
      </c>
      <c r="C141" s="223">
        <v>139</v>
      </c>
      <c r="D141" s="224">
        <v>11368584.78324325</v>
      </c>
      <c r="E141" s="225">
        <f t="shared" si="80"/>
        <v>11368584.78324325</v>
      </c>
      <c r="F141" s="225">
        <f t="shared" si="80"/>
        <v>11368584.78324325</v>
      </c>
      <c r="G141" s="225">
        <f t="shared" si="80"/>
        <v>11368584.78324325</v>
      </c>
      <c r="H141" s="225">
        <f t="shared" si="80"/>
        <v>11368584.78324325</v>
      </c>
      <c r="I141" s="225">
        <f t="shared" si="80"/>
        <v>11368584.78324325</v>
      </c>
      <c r="J141" s="225">
        <f t="shared" si="80"/>
        <v>11368584.78324325</v>
      </c>
      <c r="K141" s="237">
        <f t="shared" si="81"/>
        <v>11368584.78324325</v>
      </c>
      <c r="L141" s="237">
        <f t="shared" si="76"/>
        <v>11368584.78324325</v>
      </c>
      <c r="M141" s="237">
        <f t="shared" si="76"/>
        <v>11368584.78324325</v>
      </c>
      <c r="N141" s="237">
        <f t="shared" si="76"/>
        <v>11368584.78324325</v>
      </c>
      <c r="O141" s="237">
        <f t="shared" si="76"/>
        <v>11368584.78324325</v>
      </c>
      <c r="P141" s="237">
        <f t="shared" si="76"/>
        <v>11368584.78324325</v>
      </c>
      <c r="Q141" s="237">
        <f t="shared" si="76"/>
        <v>11368584.78324325</v>
      </c>
      <c r="R141" s="237">
        <f t="shared" si="76"/>
        <v>11368584.78324325</v>
      </c>
      <c r="S141" s="237">
        <f t="shared" si="76"/>
        <v>11368584.78324325</v>
      </c>
      <c r="T141" s="224">
        <v>11368584.78324325</v>
      </c>
      <c r="U141" s="224">
        <f t="shared" si="86"/>
        <v>11368584.78324325</v>
      </c>
      <c r="V141" s="224">
        <f t="shared" si="86"/>
        <v>11368584.78324325</v>
      </c>
      <c r="W141" s="224">
        <f t="shared" si="86"/>
        <v>11368584.78324325</v>
      </c>
      <c r="X141" s="226">
        <v>11368584.78324325</v>
      </c>
      <c r="Y141" s="226">
        <f t="shared" si="82"/>
        <v>11368584.78324325</v>
      </c>
      <c r="Z141" s="226">
        <f t="shared" si="82"/>
        <v>11368584.78324325</v>
      </c>
      <c r="AA141" s="224">
        <v>11368584.78324325</v>
      </c>
      <c r="AB141" s="224">
        <v>11368584.78324325</v>
      </c>
      <c r="AC141" s="224">
        <v>11368584.78324325</v>
      </c>
      <c r="AD141" s="224">
        <f t="shared" si="46"/>
        <v>11368584.78324325</v>
      </c>
      <c r="AE141" s="224">
        <v>11368584.78324325</v>
      </c>
      <c r="AF141" s="224">
        <v>11368584.78324325</v>
      </c>
      <c r="AG141" s="224">
        <f t="shared" si="47"/>
        <v>11368584.78324325</v>
      </c>
      <c r="AH141" s="226">
        <v>11432169.924750298</v>
      </c>
      <c r="AI141" s="226">
        <f t="shared" si="83"/>
        <v>11432169.924750298</v>
      </c>
      <c r="AJ141" s="226">
        <f t="shared" si="83"/>
        <v>11432169.924750298</v>
      </c>
      <c r="AK141" s="226">
        <f t="shared" si="83"/>
        <v>11432169.924750298</v>
      </c>
      <c r="AL141" s="226">
        <f t="shared" si="83"/>
        <v>11432169.924750298</v>
      </c>
      <c r="AM141" s="226">
        <f t="shared" si="83"/>
        <v>11432169.924750298</v>
      </c>
      <c r="AN141" s="235">
        <v>11432169.924750298</v>
      </c>
      <c r="AO141" s="235">
        <f t="shared" si="84"/>
        <v>11432169.924750298</v>
      </c>
      <c r="AP141" s="235">
        <f t="shared" si="84"/>
        <v>11432169.924750298</v>
      </c>
      <c r="AQ141" s="236">
        <f t="shared" si="84"/>
        <v>11432169.924750298</v>
      </c>
      <c r="AR141" s="236">
        <f t="shared" si="84"/>
        <v>11432169.924750298</v>
      </c>
      <c r="AS141" s="236">
        <f t="shared" si="84"/>
        <v>11432169.924750298</v>
      </c>
      <c r="AT141" s="236">
        <f t="shared" si="84"/>
        <v>11432169.924750298</v>
      </c>
      <c r="AU141" s="236">
        <f t="shared" si="84"/>
        <v>11432169.924750298</v>
      </c>
      <c r="AV141" s="236">
        <f t="shared" si="84"/>
        <v>11432169.924750298</v>
      </c>
      <c r="AW141" s="226">
        <v>11394895.876280649</v>
      </c>
      <c r="AX141" s="226">
        <f t="shared" si="87"/>
        <v>11394895.876280649</v>
      </c>
      <c r="AY141" s="226">
        <f t="shared" si="87"/>
        <v>11394895.876280649</v>
      </c>
      <c r="AZ141" s="226">
        <f t="shared" si="87"/>
        <v>11394895.876280649</v>
      </c>
      <c r="BA141" s="226">
        <f t="shared" si="87"/>
        <v>11394895.876280649</v>
      </c>
      <c r="BB141" s="226">
        <f t="shared" si="87"/>
        <v>11394895.876280649</v>
      </c>
      <c r="BC141" s="226">
        <v>11394895.876280649</v>
      </c>
      <c r="BD141" s="224">
        <f t="shared" si="88"/>
        <v>11394895.876280649</v>
      </c>
      <c r="BE141" s="224">
        <f t="shared" si="88"/>
        <v>11394895.876280649</v>
      </c>
      <c r="BF141" s="224">
        <f t="shared" si="88"/>
        <v>11394895.876280649</v>
      </c>
      <c r="BG141" s="224">
        <f t="shared" si="88"/>
        <v>11394895.876280649</v>
      </c>
      <c r="BH141" s="224">
        <f t="shared" si="88"/>
        <v>11394895.876280649</v>
      </c>
      <c r="BI141" s="224">
        <f t="shared" si="88"/>
        <v>11394895.876280649</v>
      </c>
      <c r="BJ141" s="224">
        <f t="shared" si="88"/>
        <v>11394895.876280649</v>
      </c>
      <c r="BK141" s="224">
        <f t="shared" si="88"/>
        <v>11394895.876280649</v>
      </c>
      <c r="BL141" s="224">
        <f t="shared" si="88"/>
        <v>11394895.876280649</v>
      </c>
      <c r="BM141" s="224">
        <f t="shared" si="88"/>
        <v>11394895.876280649</v>
      </c>
      <c r="BN141" s="224">
        <f t="shared" si="88"/>
        <v>11394895.876280649</v>
      </c>
      <c r="BO141" s="224">
        <f t="shared" si="88"/>
        <v>11394895.876280649</v>
      </c>
    </row>
    <row r="142" spans="1:67" ht="30">
      <c r="A142" s="256"/>
      <c r="B142" s="634" t="s">
        <v>1680</v>
      </c>
      <c r="C142" s="223">
        <v>140</v>
      </c>
      <c r="D142" s="258">
        <v>27107547</v>
      </c>
      <c r="E142" s="259">
        <v>27107547</v>
      </c>
      <c r="F142" s="259">
        <v>27107547</v>
      </c>
      <c r="G142" s="259">
        <v>27107547</v>
      </c>
      <c r="H142" s="259">
        <v>27107547</v>
      </c>
      <c r="I142" s="259">
        <v>27107547</v>
      </c>
      <c r="J142" s="259">
        <v>27107547</v>
      </c>
      <c r="K142" s="260">
        <v>27107547</v>
      </c>
      <c r="L142" s="260">
        <v>27107547</v>
      </c>
      <c r="M142" s="260">
        <v>27107547</v>
      </c>
      <c r="N142" s="260">
        <v>27107547</v>
      </c>
      <c r="O142" s="260">
        <v>27107547</v>
      </c>
      <c r="P142" s="260">
        <v>27107547</v>
      </c>
      <c r="Q142" s="260">
        <v>27107547</v>
      </c>
      <c r="R142" s="260">
        <v>27107547</v>
      </c>
      <c r="S142" s="260">
        <v>27107547</v>
      </c>
      <c r="T142" s="258">
        <v>27107547</v>
      </c>
      <c r="U142" s="258">
        <v>27107547</v>
      </c>
      <c r="V142" s="258">
        <v>27107547</v>
      </c>
      <c r="W142" s="258">
        <v>27107547</v>
      </c>
      <c r="X142" s="261">
        <v>27107547</v>
      </c>
      <c r="Y142" s="261">
        <v>27107547</v>
      </c>
      <c r="Z142" s="261">
        <v>27107547</v>
      </c>
      <c r="AA142" s="258">
        <v>27107547</v>
      </c>
      <c r="AB142" s="258">
        <v>27107547</v>
      </c>
      <c r="AC142" s="258">
        <v>27107547</v>
      </c>
      <c r="AD142" s="258">
        <v>27107547</v>
      </c>
      <c r="AE142" s="258">
        <v>27107547</v>
      </c>
      <c r="AF142" s="258">
        <v>27107547</v>
      </c>
      <c r="AG142" s="258">
        <v>27107547</v>
      </c>
      <c r="AH142" s="261">
        <v>27107547</v>
      </c>
      <c r="AI142" s="261">
        <v>27107547</v>
      </c>
      <c r="AJ142" s="261">
        <v>27107547</v>
      </c>
      <c r="AK142" s="261">
        <v>27107547</v>
      </c>
      <c r="AL142" s="261">
        <v>27107547</v>
      </c>
      <c r="AM142" s="261">
        <v>27107547</v>
      </c>
      <c r="AN142" s="262">
        <v>27107547</v>
      </c>
      <c r="AO142" s="262">
        <v>27107547</v>
      </c>
      <c r="AP142" s="262">
        <v>27107547</v>
      </c>
      <c r="AQ142" s="263">
        <v>27107547</v>
      </c>
      <c r="AR142" s="263">
        <v>27107547</v>
      </c>
      <c r="AS142" s="263">
        <v>27107547</v>
      </c>
      <c r="AT142" s="263">
        <v>27107547</v>
      </c>
      <c r="AU142" s="263">
        <v>27107547</v>
      </c>
      <c r="AV142" s="263">
        <v>27107547</v>
      </c>
      <c r="AW142" s="261">
        <v>27107547</v>
      </c>
      <c r="AX142" s="261">
        <v>27107547</v>
      </c>
      <c r="AY142" s="261">
        <v>27107547</v>
      </c>
      <c r="AZ142" s="261">
        <v>27107547</v>
      </c>
      <c r="BA142" s="261">
        <v>27107547</v>
      </c>
      <c r="BB142" s="261">
        <v>27107547</v>
      </c>
      <c r="BC142" s="261">
        <v>27107547</v>
      </c>
      <c r="BD142" s="258">
        <v>27107547</v>
      </c>
      <c r="BE142" s="258">
        <v>27107547</v>
      </c>
      <c r="BF142" s="258">
        <v>27107547</v>
      </c>
      <c r="BG142" s="258">
        <v>27107547</v>
      </c>
      <c r="BH142" s="258">
        <v>27107547</v>
      </c>
      <c r="BI142" s="258">
        <v>27107547</v>
      </c>
      <c r="BJ142" s="258">
        <v>27107547</v>
      </c>
      <c r="BK142" s="258">
        <v>27107547</v>
      </c>
      <c r="BL142" s="258">
        <v>27107547</v>
      </c>
      <c r="BM142" s="258">
        <v>27107547</v>
      </c>
      <c r="BN142" s="258">
        <v>27107547</v>
      </c>
      <c r="BO142" s="258">
        <v>27107547</v>
      </c>
    </row>
    <row r="143" spans="1:67">
      <c r="A143" s="229" t="s">
        <v>223</v>
      </c>
      <c r="B143" s="230" t="s">
        <v>122</v>
      </c>
      <c r="C143" s="223">
        <v>141</v>
      </c>
      <c r="D143" s="224"/>
      <c r="E143" s="225">
        <f t="shared" si="80"/>
        <v>0</v>
      </c>
      <c r="F143" s="225">
        <f t="shared" si="80"/>
        <v>0</v>
      </c>
      <c r="G143" s="225">
        <f t="shared" si="80"/>
        <v>0</v>
      </c>
      <c r="H143" s="225">
        <f t="shared" si="80"/>
        <v>0</v>
      </c>
      <c r="I143" s="225">
        <f t="shared" si="80"/>
        <v>0</v>
      </c>
      <c r="J143" s="225">
        <f t="shared" si="80"/>
        <v>0</v>
      </c>
      <c r="K143" s="237"/>
      <c r="L143" s="237">
        <f t="shared" si="76"/>
        <v>0</v>
      </c>
      <c r="M143" s="237">
        <f t="shared" si="76"/>
        <v>0</v>
      </c>
      <c r="N143" s="237">
        <f t="shared" si="76"/>
        <v>0</v>
      </c>
      <c r="O143" s="237">
        <f t="shared" si="76"/>
        <v>0</v>
      </c>
      <c r="P143" s="237">
        <f t="shared" si="76"/>
        <v>0</v>
      </c>
      <c r="Q143" s="237">
        <f t="shared" si="76"/>
        <v>0</v>
      </c>
      <c r="R143" s="237">
        <f t="shared" si="76"/>
        <v>0</v>
      </c>
      <c r="S143" s="237">
        <f t="shared" si="76"/>
        <v>0</v>
      </c>
      <c r="T143" s="224"/>
      <c r="U143" s="224">
        <f t="shared" si="86"/>
        <v>0</v>
      </c>
      <c r="V143" s="224">
        <f t="shared" si="86"/>
        <v>0</v>
      </c>
      <c r="W143" s="224">
        <f t="shared" si="86"/>
        <v>0</v>
      </c>
      <c r="X143" s="226"/>
      <c r="Y143" s="226">
        <f t="shared" si="82"/>
        <v>0</v>
      </c>
      <c r="Z143" s="226">
        <f t="shared" si="82"/>
        <v>0</v>
      </c>
      <c r="AA143" s="224"/>
      <c r="AB143" s="224"/>
      <c r="AC143" s="224"/>
      <c r="AD143" s="224">
        <f t="shared" si="46"/>
        <v>0</v>
      </c>
      <c r="AE143" s="224"/>
      <c r="AF143" s="224"/>
      <c r="AG143" s="224">
        <f t="shared" si="47"/>
        <v>0</v>
      </c>
      <c r="AH143" s="226"/>
      <c r="AI143" s="226">
        <f t="shared" si="83"/>
        <v>0</v>
      </c>
      <c r="AJ143" s="226">
        <f t="shared" si="83"/>
        <v>0</v>
      </c>
      <c r="AK143" s="226">
        <f t="shared" si="83"/>
        <v>0</v>
      </c>
      <c r="AL143" s="226">
        <f t="shared" si="83"/>
        <v>0</v>
      </c>
      <c r="AM143" s="226">
        <f t="shared" si="83"/>
        <v>0</v>
      </c>
      <c r="AN143" s="235"/>
      <c r="AO143" s="235">
        <f t="shared" si="84"/>
        <v>0</v>
      </c>
      <c r="AP143" s="235">
        <f t="shared" si="84"/>
        <v>0</v>
      </c>
      <c r="AQ143" s="236">
        <f t="shared" si="84"/>
        <v>0</v>
      </c>
      <c r="AR143" s="236">
        <f t="shared" si="84"/>
        <v>0</v>
      </c>
      <c r="AS143" s="236">
        <f t="shared" si="84"/>
        <v>0</v>
      </c>
      <c r="AT143" s="236">
        <f t="shared" si="84"/>
        <v>0</v>
      </c>
      <c r="AU143" s="236">
        <f t="shared" si="84"/>
        <v>0</v>
      </c>
      <c r="AV143" s="236">
        <f t="shared" si="84"/>
        <v>0</v>
      </c>
      <c r="AW143" s="226"/>
      <c r="AX143" s="226">
        <f t="shared" si="87"/>
        <v>0</v>
      </c>
      <c r="AY143" s="226">
        <f t="shared" si="87"/>
        <v>0</v>
      </c>
      <c r="AZ143" s="226">
        <f t="shared" si="87"/>
        <v>0</v>
      </c>
      <c r="BA143" s="226">
        <f t="shared" si="87"/>
        <v>0</v>
      </c>
      <c r="BB143" s="226">
        <f t="shared" si="87"/>
        <v>0</v>
      </c>
      <c r="BC143" s="224"/>
      <c r="BD143" s="224">
        <f t="shared" si="88"/>
        <v>0</v>
      </c>
      <c r="BE143" s="224">
        <f t="shared" si="88"/>
        <v>0</v>
      </c>
      <c r="BF143" s="224">
        <f t="shared" si="88"/>
        <v>0</v>
      </c>
      <c r="BG143" s="224">
        <f t="shared" si="88"/>
        <v>0</v>
      </c>
      <c r="BH143" s="224">
        <f t="shared" si="88"/>
        <v>0</v>
      </c>
      <c r="BI143" s="224">
        <f t="shared" si="88"/>
        <v>0</v>
      </c>
      <c r="BJ143" s="224">
        <f t="shared" si="88"/>
        <v>0</v>
      </c>
      <c r="BK143" s="224">
        <f t="shared" si="88"/>
        <v>0</v>
      </c>
      <c r="BL143" s="224">
        <f t="shared" si="88"/>
        <v>0</v>
      </c>
      <c r="BM143" s="224">
        <f t="shared" si="88"/>
        <v>0</v>
      </c>
      <c r="BN143" s="224">
        <f t="shared" si="88"/>
        <v>0</v>
      </c>
      <c r="BO143" s="224">
        <f t="shared" si="88"/>
        <v>0</v>
      </c>
    </row>
    <row r="144" spans="1:67">
      <c r="A144" s="229">
        <v>1</v>
      </c>
      <c r="B144" s="230" t="s">
        <v>123</v>
      </c>
      <c r="C144" s="223">
        <v>142</v>
      </c>
      <c r="D144" s="224"/>
      <c r="E144" s="225">
        <f t="shared" si="80"/>
        <v>0</v>
      </c>
      <c r="F144" s="225">
        <f t="shared" si="80"/>
        <v>0</v>
      </c>
      <c r="G144" s="225">
        <f t="shared" si="80"/>
        <v>0</v>
      </c>
      <c r="H144" s="225">
        <f t="shared" si="80"/>
        <v>0</v>
      </c>
      <c r="I144" s="225">
        <f t="shared" si="80"/>
        <v>0</v>
      </c>
      <c r="J144" s="225">
        <f t="shared" si="80"/>
        <v>0</v>
      </c>
      <c r="K144" s="237"/>
      <c r="L144" s="237">
        <f t="shared" si="76"/>
        <v>0</v>
      </c>
      <c r="M144" s="237">
        <f t="shared" si="76"/>
        <v>0</v>
      </c>
      <c r="N144" s="237">
        <f t="shared" si="76"/>
        <v>0</v>
      </c>
      <c r="O144" s="237">
        <f t="shared" si="76"/>
        <v>0</v>
      </c>
      <c r="P144" s="237">
        <f t="shared" si="76"/>
        <v>0</v>
      </c>
      <c r="Q144" s="237">
        <f t="shared" si="76"/>
        <v>0</v>
      </c>
      <c r="R144" s="237">
        <f t="shared" si="76"/>
        <v>0</v>
      </c>
      <c r="S144" s="237">
        <f t="shared" si="76"/>
        <v>0</v>
      </c>
      <c r="T144" s="224"/>
      <c r="U144" s="224">
        <f t="shared" si="86"/>
        <v>0</v>
      </c>
      <c r="V144" s="224">
        <f t="shared" si="86"/>
        <v>0</v>
      </c>
      <c r="W144" s="224">
        <f t="shared" si="86"/>
        <v>0</v>
      </c>
      <c r="X144" s="226"/>
      <c r="Y144" s="226">
        <f t="shared" si="82"/>
        <v>0</v>
      </c>
      <c r="Z144" s="226">
        <f t="shared" si="82"/>
        <v>0</v>
      </c>
      <c r="AA144" s="224"/>
      <c r="AB144" s="224"/>
      <c r="AC144" s="224"/>
      <c r="AD144" s="224">
        <f t="shared" si="46"/>
        <v>0</v>
      </c>
      <c r="AE144" s="224"/>
      <c r="AF144" s="224"/>
      <c r="AG144" s="224">
        <f t="shared" si="47"/>
        <v>0</v>
      </c>
      <c r="AH144" s="226"/>
      <c r="AI144" s="226">
        <f t="shared" si="83"/>
        <v>0</v>
      </c>
      <c r="AJ144" s="226">
        <f t="shared" si="83"/>
        <v>0</v>
      </c>
      <c r="AK144" s="226">
        <f t="shared" si="83"/>
        <v>0</v>
      </c>
      <c r="AL144" s="226">
        <f t="shared" si="83"/>
        <v>0</v>
      </c>
      <c r="AM144" s="226">
        <f t="shared" si="83"/>
        <v>0</v>
      </c>
      <c r="AN144" s="235"/>
      <c r="AO144" s="235">
        <f t="shared" si="84"/>
        <v>0</v>
      </c>
      <c r="AP144" s="235">
        <f t="shared" si="84"/>
        <v>0</v>
      </c>
      <c r="AQ144" s="236">
        <f t="shared" si="84"/>
        <v>0</v>
      </c>
      <c r="AR144" s="236">
        <f t="shared" si="84"/>
        <v>0</v>
      </c>
      <c r="AS144" s="236">
        <f t="shared" si="84"/>
        <v>0</v>
      </c>
      <c r="AT144" s="236">
        <f t="shared" si="84"/>
        <v>0</v>
      </c>
      <c r="AU144" s="236">
        <f t="shared" si="84"/>
        <v>0</v>
      </c>
      <c r="AV144" s="236">
        <f t="shared" si="84"/>
        <v>0</v>
      </c>
      <c r="AW144" s="226"/>
      <c r="AX144" s="226">
        <f t="shared" si="87"/>
        <v>0</v>
      </c>
      <c r="AY144" s="226">
        <f t="shared" si="87"/>
        <v>0</v>
      </c>
      <c r="AZ144" s="226">
        <f t="shared" si="87"/>
        <v>0</v>
      </c>
      <c r="BA144" s="226">
        <f t="shared" si="87"/>
        <v>0</v>
      </c>
      <c r="BB144" s="226">
        <f t="shared" si="87"/>
        <v>0</v>
      </c>
      <c r="BC144" s="224"/>
      <c r="BD144" s="224">
        <f t="shared" si="88"/>
        <v>0</v>
      </c>
      <c r="BE144" s="224">
        <f t="shared" si="88"/>
        <v>0</v>
      </c>
      <c r="BF144" s="224">
        <f t="shared" si="88"/>
        <v>0</v>
      </c>
      <c r="BG144" s="224">
        <f t="shared" si="88"/>
        <v>0</v>
      </c>
      <c r="BH144" s="224">
        <f t="shared" si="88"/>
        <v>0</v>
      </c>
      <c r="BI144" s="224">
        <f t="shared" si="88"/>
        <v>0</v>
      </c>
      <c r="BJ144" s="224">
        <f t="shared" si="88"/>
        <v>0</v>
      </c>
      <c r="BK144" s="224">
        <f t="shared" si="88"/>
        <v>0</v>
      </c>
      <c r="BL144" s="224">
        <f t="shared" si="88"/>
        <v>0</v>
      </c>
      <c r="BM144" s="224">
        <f t="shared" si="88"/>
        <v>0</v>
      </c>
      <c r="BN144" s="224">
        <f t="shared" si="88"/>
        <v>0</v>
      </c>
      <c r="BO144" s="224">
        <f t="shared" si="88"/>
        <v>0</v>
      </c>
    </row>
    <row r="145" spans="1:67">
      <c r="A145" s="223" t="s">
        <v>1</v>
      </c>
      <c r="B145" s="151" t="s">
        <v>443</v>
      </c>
      <c r="C145" s="223">
        <v>143</v>
      </c>
      <c r="D145" s="224">
        <v>4494346.3455720553</v>
      </c>
      <c r="E145" s="225">
        <f t="shared" si="80"/>
        <v>4494346.3455720553</v>
      </c>
      <c r="F145" s="225">
        <f t="shared" si="80"/>
        <v>4494346.3455720553</v>
      </c>
      <c r="G145" s="225">
        <f t="shared" si="80"/>
        <v>4494346.3455720553</v>
      </c>
      <c r="H145" s="225">
        <f t="shared" si="80"/>
        <v>4494346.3455720553</v>
      </c>
      <c r="I145" s="225">
        <f t="shared" si="80"/>
        <v>4494346.3455720553</v>
      </c>
      <c r="J145" s="225">
        <f t="shared" si="80"/>
        <v>4494346.3455720553</v>
      </c>
      <c r="K145" s="237">
        <f t="shared" ref="K145:S145" si="89">J145</f>
        <v>4494346.3455720553</v>
      </c>
      <c r="L145" s="237">
        <f t="shared" si="89"/>
        <v>4494346.3455720553</v>
      </c>
      <c r="M145" s="237">
        <f t="shared" si="89"/>
        <v>4494346.3455720553</v>
      </c>
      <c r="N145" s="237">
        <f t="shared" si="89"/>
        <v>4494346.3455720553</v>
      </c>
      <c r="O145" s="237">
        <f t="shared" si="89"/>
        <v>4494346.3455720553</v>
      </c>
      <c r="P145" s="237">
        <f t="shared" si="89"/>
        <v>4494346.3455720553</v>
      </c>
      <c r="Q145" s="237">
        <f t="shared" si="89"/>
        <v>4494346.3455720553</v>
      </c>
      <c r="R145" s="237">
        <f t="shared" si="89"/>
        <v>4494346.3455720553</v>
      </c>
      <c r="S145" s="237">
        <f t="shared" si="89"/>
        <v>4494346.3455720553</v>
      </c>
      <c r="T145" s="224">
        <v>4494346.3455720553</v>
      </c>
      <c r="U145" s="224">
        <f t="shared" si="86"/>
        <v>4494346.3455720553</v>
      </c>
      <c r="V145" s="224">
        <f t="shared" si="86"/>
        <v>4494346.3455720553</v>
      </c>
      <c r="W145" s="224">
        <f t="shared" si="86"/>
        <v>4494346.3455720553</v>
      </c>
      <c r="X145" s="226">
        <v>4494346.3455720553</v>
      </c>
      <c r="Y145" s="226">
        <f t="shared" si="82"/>
        <v>4494346.3455720553</v>
      </c>
      <c r="Z145" s="226">
        <f t="shared" si="82"/>
        <v>4494346.3455720553</v>
      </c>
      <c r="AA145" s="224">
        <v>4494346.3455720553</v>
      </c>
      <c r="AB145" s="224">
        <v>4494346.3455720553</v>
      </c>
      <c r="AC145" s="224">
        <v>4494346.3455720553</v>
      </c>
      <c r="AD145" s="224">
        <f t="shared" si="46"/>
        <v>4494346.3455720553</v>
      </c>
      <c r="AE145" s="224">
        <v>4494346.3455720553</v>
      </c>
      <c r="AF145" s="224">
        <v>4494346.3455720553</v>
      </c>
      <c r="AG145" s="224">
        <f t="shared" si="47"/>
        <v>4494346.3455720553</v>
      </c>
      <c r="AH145" s="226">
        <v>4519483.4803881766</v>
      </c>
      <c r="AI145" s="226">
        <f t="shared" si="83"/>
        <v>4519483.4803881766</v>
      </c>
      <c r="AJ145" s="226">
        <f t="shared" si="83"/>
        <v>4519483.4803881766</v>
      </c>
      <c r="AK145" s="226">
        <f t="shared" si="83"/>
        <v>4519483.4803881766</v>
      </c>
      <c r="AL145" s="226">
        <f t="shared" si="83"/>
        <v>4519483.4803881766</v>
      </c>
      <c r="AM145" s="226">
        <f t="shared" si="83"/>
        <v>4519483.4803881766</v>
      </c>
      <c r="AN145" s="235">
        <v>4519483.4803881766</v>
      </c>
      <c r="AO145" s="235">
        <f t="shared" si="84"/>
        <v>4519483.4803881766</v>
      </c>
      <c r="AP145" s="235">
        <f t="shared" si="84"/>
        <v>4519483.4803881766</v>
      </c>
      <c r="AQ145" s="236">
        <f t="shared" si="84"/>
        <v>4519483.4803881766</v>
      </c>
      <c r="AR145" s="236">
        <f t="shared" si="84"/>
        <v>4519483.4803881766</v>
      </c>
      <c r="AS145" s="236">
        <f t="shared" si="84"/>
        <v>4519483.4803881766</v>
      </c>
      <c r="AT145" s="236">
        <f t="shared" si="84"/>
        <v>4519483.4803881766</v>
      </c>
      <c r="AU145" s="236">
        <f t="shared" si="84"/>
        <v>4519483.4803881766</v>
      </c>
      <c r="AV145" s="236">
        <f t="shared" si="84"/>
        <v>4519483.4803881766</v>
      </c>
      <c r="AW145" s="226">
        <v>4504747.9185994165</v>
      </c>
      <c r="AX145" s="226">
        <f t="shared" si="87"/>
        <v>4504747.9185994165</v>
      </c>
      <c r="AY145" s="226">
        <f t="shared" si="87"/>
        <v>4504747.9185994165</v>
      </c>
      <c r="AZ145" s="226">
        <f t="shared" si="87"/>
        <v>4504747.9185994165</v>
      </c>
      <c r="BA145" s="226">
        <f t="shared" si="87"/>
        <v>4504747.9185994165</v>
      </c>
      <c r="BB145" s="226">
        <f t="shared" si="87"/>
        <v>4504747.9185994165</v>
      </c>
      <c r="BC145" s="226">
        <v>4504747.9185994165</v>
      </c>
      <c r="BD145" s="224">
        <f t="shared" si="88"/>
        <v>4504747.9185994165</v>
      </c>
      <c r="BE145" s="224">
        <f t="shared" si="88"/>
        <v>4504747.9185994165</v>
      </c>
      <c r="BF145" s="224">
        <f t="shared" si="88"/>
        <v>4504747.9185994165</v>
      </c>
      <c r="BG145" s="224">
        <f t="shared" si="88"/>
        <v>4504747.9185994165</v>
      </c>
      <c r="BH145" s="224">
        <f t="shared" si="88"/>
        <v>4504747.9185994165</v>
      </c>
      <c r="BI145" s="224">
        <f t="shared" si="88"/>
        <v>4504747.9185994165</v>
      </c>
      <c r="BJ145" s="224">
        <f t="shared" si="88"/>
        <v>4504747.9185994165</v>
      </c>
      <c r="BK145" s="224">
        <f t="shared" si="88"/>
        <v>4504747.9185994165</v>
      </c>
      <c r="BL145" s="224">
        <f t="shared" si="88"/>
        <v>4504747.9185994165</v>
      </c>
      <c r="BM145" s="224">
        <f t="shared" si="88"/>
        <v>4504747.9185994165</v>
      </c>
      <c r="BN145" s="224">
        <f t="shared" si="88"/>
        <v>4504747.9185994165</v>
      </c>
      <c r="BO145" s="224">
        <f t="shared" si="88"/>
        <v>4504747.9185994165</v>
      </c>
    </row>
    <row r="146" spans="1:67">
      <c r="A146" s="223" t="s">
        <v>2</v>
      </c>
      <c r="B146" s="151" t="s">
        <v>444</v>
      </c>
      <c r="C146" s="223">
        <v>144</v>
      </c>
      <c r="D146" s="224">
        <v>6030277.7122716196</v>
      </c>
      <c r="E146" s="225">
        <f t="shared" si="80"/>
        <v>6030277.7122716196</v>
      </c>
      <c r="F146" s="225">
        <f t="shared" si="80"/>
        <v>6030277.7122716196</v>
      </c>
      <c r="G146" s="225">
        <f t="shared" si="80"/>
        <v>6030277.7122716196</v>
      </c>
      <c r="H146" s="225">
        <f t="shared" si="80"/>
        <v>6030277.7122716196</v>
      </c>
      <c r="I146" s="225">
        <f t="shared" si="80"/>
        <v>6030277.7122716196</v>
      </c>
      <c r="J146" s="225">
        <f t="shared" si="80"/>
        <v>6030277.7122716196</v>
      </c>
      <c r="K146" s="237">
        <f t="shared" ref="K146:S146" si="90">J146</f>
        <v>6030277.7122716196</v>
      </c>
      <c r="L146" s="237">
        <f t="shared" si="90"/>
        <v>6030277.7122716196</v>
      </c>
      <c r="M146" s="237">
        <f t="shared" si="90"/>
        <v>6030277.7122716196</v>
      </c>
      <c r="N146" s="237">
        <f t="shared" si="90"/>
        <v>6030277.7122716196</v>
      </c>
      <c r="O146" s="237">
        <f t="shared" si="90"/>
        <v>6030277.7122716196</v>
      </c>
      <c r="P146" s="237">
        <f t="shared" si="90"/>
        <v>6030277.7122716196</v>
      </c>
      <c r="Q146" s="237">
        <f t="shared" si="90"/>
        <v>6030277.7122716196</v>
      </c>
      <c r="R146" s="237">
        <f t="shared" si="90"/>
        <v>6030277.7122716196</v>
      </c>
      <c r="S146" s="237">
        <f t="shared" si="90"/>
        <v>6030277.7122716196</v>
      </c>
      <c r="T146" s="224">
        <v>6030277.7122716196</v>
      </c>
      <c r="U146" s="224">
        <f t="shared" si="86"/>
        <v>6030277.7122716196</v>
      </c>
      <c r="V146" s="224">
        <f t="shared" si="86"/>
        <v>6030277.7122716196</v>
      </c>
      <c r="W146" s="224">
        <f t="shared" si="86"/>
        <v>6030277.7122716196</v>
      </c>
      <c r="X146" s="226">
        <v>6030277.7122716196</v>
      </c>
      <c r="Y146" s="226">
        <f t="shared" si="82"/>
        <v>6030277.7122716196</v>
      </c>
      <c r="Z146" s="226">
        <f t="shared" si="82"/>
        <v>6030277.7122716196</v>
      </c>
      <c r="AA146" s="224">
        <v>6030277.7122716196</v>
      </c>
      <c r="AB146" s="224">
        <v>6030277.7122716196</v>
      </c>
      <c r="AC146" s="224">
        <v>6030277.7122716196</v>
      </c>
      <c r="AD146" s="224">
        <f t="shared" si="46"/>
        <v>6030277.7122716196</v>
      </c>
      <c r="AE146" s="224">
        <v>6030277.7122716196</v>
      </c>
      <c r="AF146" s="224">
        <v>6030277.7122716196</v>
      </c>
      <c r="AG146" s="224">
        <f t="shared" si="47"/>
        <v>6030277.7122716196</v>
      </c>
      <c r="AH146" s="226">
        <v>6064005.3986083362</v>
      </c>
      <c r="AI146" s="226">
        <f t="shared" si="83"/>
        <v>6064005.3986083362</v>
      </c>
      <c r="AJ146" s="226">
        <f t="shared" si="83"/>
        <v>6064005.3986083362</v>
      </c>
      <c r="AK146" s="226">
        <f t="shared" si="83"/>
        <v>6064005.3986083362</v>
      </c>
      <c r="AL146" s="226">
        <f t="shared" si="83"/>
        <v>6064005.3986083362</v>
      </c>
      <c r="AM146" s="226">
        <f t="shared" si="83"/>
        <v>6064005.3986083362</v>
      </c>
      <c r="AN146" s="235">
        <v>6064005.3986083362</v>
      </c>
      <c r="AO146" s="235">
        <f t="shared" si="84"/>
        <v>6064005.3986083362</v>
      </c>
      <c r="AP146" s="235">
        <f t="shared" si="84"/>
        <v>6064005.3986083362</v>
      </c>
      <c r="AQ146" s="236">
        <f t="shared" si="84"/>
        <v>6064005.3986083362</v>
      </c>
      <c r="AR146" s="236">
        <f t="shared" si="84"/>
        <v>6064005.3986083362</v>
      </c>
      <c r="AS146" s="236">
        <f t="shared" si="84"/>
        <v>6064005.3986083362</v>
      </c>
      <c r="AT146" s="236">
        <f t="shared" si="84"/>
        <v>6064005.3986083362</v>
      </c>
      <c r="AU146" s="236">
        <f t="shared" si="84"/>
        <v>6064005.3986083362</v>
      </c>
      <c r="AV146" s="236">
        <f t="shared" si="84"/>
        <v>6064005.3986083362</v>
      </c>
      <c r="AW146" s="226">
        <v>6044233.9962730203</v>
      </c>
      <c r="AX146" s="226">
        <f t="shared" si="87"/>
        <v>6044233.9962730203</v>
      </c>
      <c r="AY146" s="226">
        <f t="shared" si="87"/>
        <v>6044233.9962730203</v>
      </c>
      <c r="AZ146" s="226">
        <f t="shared" si="87"/>
        <v>6044233.9962730203</v>
      </c>
      <c r="BA146" s="226">
        <f t="shared" si="87"/>
        <v>6044233.9962730203</v>
      </c>
      <c r="BB146" s="226">
        <f t="shared" si="87"/>
        <v>6044233.9962730203</v>
      </c>
      <c r="BC146" s="226">
        <v>6044233.9962730203</v>
      </c>
      <c r="BD146" s="224">
        <f t="shared" si="88"/>
        <v>6044233.9962730203</v>
      </c>
      <c r="BE146" s="224">
        <f t="shared" si="88"/>
        <v>6044233.9962730203</v>
      </c>
      <c r="BF146" s="224">
        <f t="shared" si="88"/>
        <v>6044233.9962730203</v>
      </c>
      <c r="BG146" s="224">
        <f t="shared" si="88"/>
        <v>6044233.9962730203</v>
      </c>
      <c r="BH146" s="224">
        <f t="shared" si="88"/>
        <v>6044233.9962730203</v>
      </c>
      <c r="BI146" s="224">
        <f t="shared" si="88"/>
        <v>6044233.9962730203</v>
      </c>
      <c r="BJ146" s="224">
        <f t="shared" si="88"/>
        <v>6044233.9962730203</v>
      </c>
      <c r="BK146" s="224">
        <f t="shared" si="88"/>
        <v>6044233.9962730203</v>
      </c>
      <c r="BL146" s="224">
        <f t="shared" si="88"/>
        <v>6044233.9962730203</v>
      </c>
      <c r="BM146" s="224">
        <f t="shared" si="88"/>
        <v>6044233.9962730203</v>
      </c>
      <c r="BN146" s="224">
        <f t="shared" si="88"/>
        <v>6044233.9962730203</v>
      </c>
      <c r="BO146" s="224">
        <f t="shared" si="88"/>
        <v>6044233.9962730203</v>
      </c>
    </row>
    <row r="147" spans="1:67">
      <c r="A147" s="223" t="s">
        <v>3</v>
      </c>
      <c r="B147" s="151" t="s">
        <v>445</v>
      </c>
      <c r="C147" s="223">
        <v>145</v>
      </c>
      <c r="D147" s="224">
        <v>8782682.2256707437</v>
      </c>
      <c r="E147" s="225">
        <f t="shared" si="80"/>
        <v>8782682.2256707437</v>
      </c>
      <c r="F147" s="225">
        <f t="shared" si="80"/>
        <v>8782682.2256707437</v>
      </c>
      <c r="G147" s="225">
        <f t="shared" si="80"/>
        <v>8782682.2256707437</v>
      </c>
      <c r="H147" s="225">
        <f t="shared" si="80"/>
        <v>8782682.2256707437</v>
      </c>
      <c r="I147" s="225">
        <f t="shared" si="80"/>
        <v>8782682.2256707437</v>
      </c>
      <c r="J147" s="225">
        <f t="shared" si="80"/>
        <v>8782682.2256707437</v>
      </c>
      <c r="K147" s="237">
        <f t="shared" ref="K147:S147" si="91">J147</f>
        <v>8782682.2256707437</v>
      </c>
      <c r="L147" s="237">
        <f t="shared" si="91"/>
        <v>8782682.2256707437</v>
      </c>
      <c r="M147" s="237">
        <f t="shared" si="91"/>
        <v>8782682.2256707437</v>
      </c>
      <c r="N147" s="237">
        <f t="shared" si="91"/>
        <v>8782682.2256707437</v>
      </c>
      <c r="O147" s="237">
        <f t="shared" si="91"/>
        <v>8782682.2256707437</v>
      </c>
      <c r="P147" s="237">
        <f t="shared" si="91"/>
        <v>8782682.2256707437</v>
      </c>
      <c r="Q147" s="237">
        <f t="shared" si="91"/>
        <v>8782682.2256707437</v>
      </c>
      <c r="R147" s="237">
        <f t="shared" si="91"/>
        <v>8782682.2256707437</v>
      </c>
      <c r="S147" s="237">
        <f t="shared" si="91"/>
        <v>8782682.2256707437</v>
      </c>
      <c r="T147" s="224">
        <v>8782682.2256707437</v>
      </c>
      <c r="U147" s="224">
        <f t="shared" si="86"/>
        <v>8782682.2256707437</v>
      </c>
      <c r="V147" s="224">
        <f t="shared" si="86"/>
        <v>8782682.2256707437</v>
      </c>
      <c r="W147" s="224">
        <f t="shared" si="86"/>
        <v>8782682.2256707437</v>
      </c>
      <c r="X147" s="226">
        <v>8782682.2256707437</v>
      </c>
      <c r="Y147" s="226">
        <f t="shared" si="82"/>
        <v>8782682.2256707437</v>
      </c>
      <c r="Z147" s="226">
        <f t="shared" si="82"/>
        <v>8782682.2256707437</v>
      </c>
      <c r="AA147" s="224">
        <v>8782682.2256707437</v>
      </c>
      <c r="AB147" s="224">
        <v>8782682.2256707437</v>
      </c>
      <c r="AC147" s="224">
        <v>8782682.2256707437</v>
      </c>
      <c r="AD147" s="224">
        <f t="shared" si="46"/>
        <v>8782682.2256707437</v>
      </c>
      <c r="AE147" s="224">
        <v>8782682.2256707437</v>
      </c>
      <c r="AF147" s="224">
        <v>8782682.2256707437</v>
      </c>
      <c r="AG147" s="224">
        <f t="shared" si="47"/>
        <v>8782682.2256707437</v>
      </c>
      <c r="AH147" s="226">
        <v>8831804.2670486514</v>
      </c>
      <c r="AI147" s="226">
        <f t="shared" si="83"/>
        <v>8831804.2670486514</v>
      </c>
      <c r="AJ147" s="226">
        <f t="shared" si="83"/>
        <v>8831804.2670486514</v>
      </c>
      <c r="AK147" s="226">
        <f t="shared" si="83"/>
        <v>8831804.2670486514</v>
      </c>
      <c r="AL147" s="226">
        <f t="shared" si="83"/>
        <v>8831804.2670486514</v>
      </c>
      <c r="AM147" s="226">
        <f t="shared" si="83"/>
        <v>8831804.2670486514</v>
      </c>
      <c r="AN147" s="235">
        <v>8831804.2670486514</v>
      </c>
      <c r="AO147" s="235">
        <f t="shared" si="84"/>
        <v>8831804.2670486514</v>
      </c>
      <c r="AP147" s="235">
        <f t="shared" si="84"/>
        <v>8831804.2670486514</v>
      </c>
      <c r="AQ147" s="236">
        <f t="shared" si="84"/>
        <v>8831804.2670486514</v>
      </c>
      <c r="AR147" s="236">
        <f t="shared" si="84"/>
        <v>8831804.2670486514</v>
      </c>
      <c r="AS147" s="236">
        <f t="shared" si="84"/>
        <v>8831804.2670486514</v>
      </c>
      <c r="AT147" s="236">
        <f t="shared" si="84"/>
        <v>8831804.2670486514</v>
      </c>
      <c r="AU147" s="236">
        <f t="shared" si="84"/>
        <v>8831804.2670486514</v>
      </c>
      <c r="AV147" s="236">
        <f t="shared" si="84"/>
        <v>8831804.2670486514</v>
      </c>
      <c r="AW147" s="226">
        <v>8803008.5876202248</v>
      </c>
      <c r="AX147" s="226">
        <f t="shared" si="87"/>
        <v>8803008.5876202248</v>
      </c>
      <c r="AY147" s="226">
        <f t="shared" si="87"/>
        <v>8803008.5876202248</v>
      </c>
      <c r="AZ147" s="226">
        <f t="shared" si="87"/>
        <v>8803008.5876202248</v>
      </c>
      <c r="BA147" s="226">
        <f t="shared" si="87"/>
        <v>8803008.5876202248</v>
      </c>
      <c r="BB147" s="226">
        <f t="shared" si="87"/>
        <v>8803008.5876202248</v>
      </c>
      <c r="BC147" s="226">
        <v>8803008.5876202248</v>
      </c>
      <c r="BD147" s="224">
        <f t="shared" si="88"/>
        <v>8803008.5876202248</v>
      </c>
      <c r="BE147" s="224">
        <f t="shared" si="88"/>
        <v>8803008.5876202248</v>
      </c>
      <c r="BF147" s="224">
        <f t="shared" si="88"/>
        <v>8803008.5876202248</v>
      </c>
      <c r="BG147" s="224">
        <f t="shared" si="88"/>
        <v>8803008.5876202248</v>
      </c>
      <c r="BH147" s="224">
        <f t="shared" si="88"/>
        <v>8803008.5876202248</v>
      </c>
      <c r="BI147" s="224">
        <f t="shared" si="88"/>
        <v>8803008.5876202248</v>
      </c>
      <c r="BJ147" s="224">
        <f t="shared" si="88"/>
        <v>8803008.5876202248</v>
      </c>
      <c r="BK147" s="224">
        <f t="shared" si="88"/>
        <v>8803008.5876202248</v>
      </c>
      <c r="BL147" s="224">
        <f t="shared" si="88"/>
        <v>8803008.5876202248</v>
      </c>
      <c r="BM147" s="224">
        <f t="shared" si="88"/>
        <v>8803008.5876202248</v>
      </c>
      <c r="BN147" s="224">
        <f t="shared" si="88"/>
        <v>8803008.5876202248</v>
      </c>
      <c r="BO147" s="224">
        <f t="shared" si="88"/>
        <v>8803008.5876202248</v>
      </c>
    </row>
    <row r="148" spans="1:67">
      <c r="A148" s="223" t="s">
        <v>4</v>
      </c>
      <c r="B148" s="151" t="s">
        <v>446</v>
      </c>
      <c r="C148" s="223">
        <v>146</v>
      </c>
      <c r="D148" s="224">
        <v>10179661.883506425</v>
      </c>
      <c r="E148" s="225">
        <f t="shared" ref="E148:J153" si="92">D148</f>
        <v>10179661.883506425</v>
      </c>
      <c r="F148" s="225">
        <f t="shared" si="92"/>
        <v>10179661.883506425</v>
      </c>
      <c r="G148" s="225">
        <f t="shared" si="92"/>
        <v>10179661.883506425</v>
      </c>
      <c r="H148" s="225">
        <f t="shared" si="92"/>
        <v>10179661.883506425</v>
      </c>
      <c r="I148" s="225">
        <f t="shared" si="92"/>
        <v>10179661.883506425</v>
      </c>
      <c r="J148" s="225">
        <f t="shared" si="92"/>
        <v>10179661.883506425</v>
      </c>
      <c r="K148" s="237">
        <v>10147814.827720597</v>
      </c>
      <c r="L148" s="237">
        <f t="shared" ref="L148:S172" si="93">K148</f>
        <v>10147814.827720597</v>
      </c>
      <c r="M148" s="237">
        <f t="shared" si="93"/>
        <v>10147814.827720597</v>
      </c>
      <c r="N148" s="237">
        <f t="shared" si="93"/>
        <v>10147814.827720597</v>
      </c>
      <c r="O148" s="237">
        <f t="shared" si="93"/>
        <v>10147814.827720597</v>
      </c>
      <c r="P148" s="237">
        <f t="shared" si="93"/>
        <v>10147814.827720597</v>
      </c>
      <c r="Q148" s="237">
        <f t="shared" si="93"/>
        <v>10147814.827720597</v>
      </c>
      <c r="R148" s="237">
        <f t="shared" si="93"/>
        <v>10147814.827720597</v>
      </c>
      <c r="S148" s="237">
        <f t="shared" si="93"/>
        <v>10147814.827720597</v>
      </c>
      <c r="T148" s="224">
        <v>10171373.503323225</v>
      </c>
      <c r="U148" s="224">
        <f t="shared" si="86"/>
        <v>10171373.503323225</v>
      </c>
      <c r="V148" s="224">
        <f t="shared" si="86"/>
        <v>10171373.503323225</v>
      </c>
      <c r="W148" s="224">
        <f t="shared" si="86"/>
        <v>10171373.503323225</v>
      </c>
      <c r="X148" s="226">
        <v>10209477.349571852</v>
      </c>
      <c r="Y148" s="226">
        <f t="shared" si="82"/>
        <v>10209477.349571852</v>
      </c>
      <c r="Z148" s="226">
        <f t="shared" si="82"/>
        <v>10209477.349571852</v>
      </c>
      <c r="AA148" s="224">
        <v>10179661.883506425</v>
      </c>
      <c r="AB148" s="224">
        <v>10179661.883506425</v>
      </c>
      <c r="AC148" s="224">
        <v>10161097.530430194</v>
      </c>
      <c r="AD148" s="224">
        <f t="shared" si="46"/>
        <v>10161097.530430194</v>
      </c>
      <c r="AE148" s="224">
        <v>10223396.138820013</v>
      </c>
      <c r="AF148" s="224">
        <v>10215176.644128103</v>
      </c>
      <c r="AG148" s="224">
        <f t="shared" si="47"/>
        <v>10215176.644128103</v>
      </c>
      <c r="AH148" s="226">
        <v>10275180.35962175</v>
      </c>
      <c r="AI148" s="226">
        <f t="shared" si="83"/>
        <v>10275180.35962175</v>
      </c>
      <c r="AJ148" s="226">
        <f t="shared" si="83"/>
        <v>10275180.35962175</v>
      </c>
      <c r="AK148" s="226">
        <f t="shared" si="83"/>
        <v>10275180.35962175</v>
      </c>
      <c r="AL148" s="226">
        <f t="shared" si="83"/>
        <v>10275180.35962175</v>
      </c>
      <c r="AM148" s="226">
        <f t="shared" si="83"/>
        <v>10275180.35962175</v>
      </c>
      <c r="AN148" s="235">
        <v>10275180.35962175</v>
      </c>
      <c r="AO148" s="235">
        <f t="shared" si="84"/>
        <v>10275180.35962175</v>
      </c>
      <c r="AP148" s="235">
        <f t="shared" si="84"/>
        <v>10275180.35962175</v>
      </c>
      <c r="AQ148" s="236">
        <f t="shared" si="84"/>
        <v>10275180.35962175</v>
      </c>
      <c r="AR148" s="236">
        <f t="shared" si="84"/>
        <v>10275180.35962175</v>
      </c>
      <c r="AS148" s="236">
        <f t="shared" si="84"/>
        <v>10275180.35962175</v>
      </c>
      <c r="AT148" s="236">
        <f t="shared" si="84"/>
        <v>10275180.35962175</v>
      </c>
      <c r="AU148" s="236">
        <f t="shared" si="84"/>
        <v>10275180.35962175</v>
      </c>
      <c r="AV148" s="236">
        <f t="shared" si="84"/>
        <v>10275180.35962175</v>
      </c>
      <c r="AW148" s="226">
        <v>10203221.37098995</v>
      </c>
      <c r="AX148" s="226">
        <f t="shared" si="87"/>
        <v>10203221.37098995</v>
      </c>
      <c r="AY148" s="226">
        <f t="shared" si="87"/>
        <v>10203221.37098995</v>
      </c>
      <c r="AZ148" s="226">
        <f t="shared" si="87"/>
        <v>10203221.37098995</v>
      </c>
      <c r="BA148" s="226">
        <f t="shared" si="87"/>
        <v>10203221.37098995</v>
      </c>
      <c r="BB148" s="226">
        <f t="shared" si="87"/>
        <v>10203221.37098995</v>
      </c>
      <c r="BC148" s="226">
        <v>10203221.37098995</v>
      </c>
      <c r="BD148" s="224">
        <f t="shared" si="88"/>
        <v>10203221.37098995</v>
      </c>
      <c r="BE148" s="224">
        <f t="shared" si="88"/>
        <v>10203221.37098995</v>
      </c>
      <c r="BF148" s="224">
        <f t="shared" si="88"/>
        <v>10203221.37098995</v>
      </c>
      <c r="BG148" s="224">
        <f t="shared" si="88"/>
        <v>10203221.37098995</v>
      </c>
      <c r="BH148" s="224">
        <f t="shared" si="88"/>
        <v>10203221.37098995</v>
      </c>
      <c r="BI148" s="224">
        <f t="shared" si="88"/>
        <v>10203221.37098995</v>
      </c>
      <c r="BJ148" s="224">
        <f t="shared" si="88"/>
        <v>10203221.37098995</v>
      </c>
      <c r="BK148" s="224">
        <f t="shared" si="88"/>
        <v>10203221.37098995</v>
      </c>
      <c r="BL148" s="224">
        <f t="shared" si="88"/>
        <v>10203221.37098995</v>
      </c>
      <c r="BM148" s="224">
        <f t="shared" si="88"/>
        <v>10203221.37098995</v>
      </c>
      <c r="BN148" s="224">
        <f t="shared" si="88"/>
        <v>10203221.37098995</v>
      </c>
      <c r="BO148" s="224">
        <f t="shared" si="88"/>
        <v>10203221.37098995</v>
      </c>
    </row>
    <row r="149" spans="1:67">
      <c r="A149" s="223" t="s">
        <v>5</v>
      </c>
      <c r="B149" s="151" t="s">
        <v>447</v>
      </c>
      <c r="C149" s="223">
        <v>147</v>
      </c>
      <c r="D149" s="224">
        <v>14558251.019173177</v>
      </c>
      <c r="E149" s="225">
        <f t="shared" si="92"/>
        <v>14558251.019173177</v>
      </c>
      <c r="F149" s="225">
        <f t="shared" si="92"/>
        <v>14558251.019173177</v>
      </c>
      <c r="G149" s="225">
        <f t="shared" si="92"/>
        <v>14558251.019173177</v>
      </c>
      <c r="H149" s="225">
        <f t="shared" si="92"/>
        <v>14558251.019173177</v>
      </c>
      <c r="I149" s="225">
        <f t="shared" si="92"/>
        <v>14558251.019173177</v>
      </c>
      <c r="J149" s="225">
        <f t="shared" si="92"/>
        <v>14558251.019173177</v>
      </c>
      <c r="K149" s="237">
        <v>14510480.435494432</v>
      </c>
      <c r="L149" s="237">
        <f t="shared" si="93"/>
        <v>14510480.435494432</v>
      </c>
      <c r="M149" s="237">
        <f t="shared" si="93"/>
        <v>14510480.435494432</v>
      </c>
      <c r="N149" s="237">
        <f t="shared" si="93"/>
        <v>14510480.435494432</v>
      </c>
      <c r="O149" s="237">
        <f t="shared" si="93"/>
        <v>14510480.435494432</v>
      </c>
      <c r="P149" s="237">
        <f t="shared" si="93"/>
        <v>14510480.435494432</v>
      </c>
      <c r="Q149" s="237">
        <f t="shared" si="93"/>
        <v>14510480.435494432</v>
      </c>
      <c r="R149" s="237">
        <f t="shared" si="93"/>
        <v>14510480.435494432</v>
      </c>
      <c r="S149" s="237">
        <f t="shared" si="93"/>
        <v>14510480.435494432</v>
      </c>
      <c r="T149" s="224">
        <v>14545818.448898373</v>
      </c>
      <c r="U149" s="224">
        <f t="shared" si="86"/>
        <v>14545818.448898373</v>
      </c>
      <c r="V149" s="224">
        <f t="shared" si="86"/>
        <v>14545818.448898373</v>
      </c>
      <c r="W149" s="224">
        <f t="shared" si="86"/>
        <v>14545818.448898373</v>
      </c>
      <c r="X149" s="226">
        <v>14602974.218271315</v>
      </c>
      <c r="Y149" s="226">
        <f t="shared" ref="Y149:Z164" si="94">X149</f>
        <v>14602974.218271315</v>
      </c>
      <c r="Z149" s="226">
        <f t="shared" si="94"/>
        <v>14602974.218271315</v>
      </c>
      <c r="AA149" s="224">
        <v>14558251.019173177</v>
      </c>
      <c r="AB149" s="224">
        <v>14558251.019173177</v>
      </c>
      <c r="AC149" s="224">
        <v>14530404.489558827</v>
      </c>
      <c r="AD149" s="224">
        <f t="shared" si="46"/>
        <v>14530404.489558827</v>
      </c>
      <c r="AE149" s="224">
        <v>14623852.402143557</v>
      </c>
      <c r="AF149" s="224">
        <v>14611523.160105692</v>
      </c>
      <c r="AG149" s="224">
        <f t="shared" si="47"/>
        <v>14611523.160105692</v>
      </c>
      <c r="AH149" s="226">
        <v>14697550.717458697</v>
      </c>
      <c r="AI149" s="226">
        <f t="shared" ref="AI149:AM164" si="95">AH149</f>
        <v>14697550.717458697</v>
      </c>
      <c r="AJ149" s="226">
        <f t="shared" si="95"/>
        <v>14697550.717458697</v>
      </c>
      <c r="AK149" s="226">
        <f t="shared" si="95"/>
        <v>14697550.717458697</v>
      </c>
      <c r="AL149" s="226">
        <f t="shared" si="95"/>
        <v>14697550.717458697</v>
      </c>
      <c r="AM149" s="226">
        <f t="shared" si="95"/>
        <v>14697550.717458697</v>
      </c>
      <c r="AN149" s="235">
        <v>14697550.717458697</v>
      </c>
      <c r="AO149" s="235">
        <f t="shared" ref="AO149:AV153" si="96">AN149</f>
        <v>14697550.717458697</v>
      </c>
      <c r="AP149" s="235">
        <f t="shared" si="96"/>
        <v>14697550.717458697</v>
      </c>
      <c r="AQ149" s="236">
        <f t="shared" si="96"/>
        <v>14697550.717458697</v>
      </c>
      <c r="AR149" s="236">
        <f t="shared" si="96"/>
        <v>14697550.717458697</v>
      </c>
      <c r="AS149" s="236">
        <f t="shared" si="96"/>
        <v>14697550.717458697</v>
      </c>
      <c r="AT149" s="236">
        <f t="shared" si="96"/>
        <v>14697550.717458697</v>
      </c>
      <c r="AU149" s="236">
        <f t="shared" si="96"/>
        <v>14697550.717458697</v>
      </c>
      <c r="AV149" s="236">
        <f t="shared" si="96"/>
        <v>14697550.717458697</v>
      </c>
      <c r="AW149" s="226">
        <v>14591944.174858822</v>
      </c>
      <c r="AX149" s="226">
        <f t="shared" si="87"/>
        <v>14591944.174858822</v>
      </c>
      <c r="AY149" s="226">
        <f t="shared" si="87"/>
        <v>14591944.174858822</v>
      </c>
      <c r="AZ149" s="226">
        <f t="shared" si="87"/>
        <v>14591944.174858822</v>
      </c>
      <c r="BA149" s="226">
        <f t="shared" si="87"/>
        <v>14591944.174858822</v>
      </c>
      <c r="BB149" s="226">
        <f t="shared" si="87"/>
        <v>14591944.174858822</v>
      </c>
      <c r="BC149" s="226">
        <v>14591944.174858822</v>
      </c>
      <c r="BD149" s="224">
        <f t="shared" si="88"/>
        <v>14591944.174858822</v>
      </c>
      <c r="BE149" s="224">
        <f t="shared" si="88"/>
        <v>14591944.174858822</v>
      </c>
      <c r="BF149" s="224">
        <f t="shared" si="88"/>
        <v>14591944.174858822</v>
      </c>
      <c r="BG149" s="224">
        <f t="shared" si="88"/>
        <v>14591944.174858822</v>
      </c>
      <c r="BH149" s="224">
        <f t="shared" si="88"/>
        <v>14591944.174858822</v>
      </c>
      <c r="BI149" s="224">
        <f t="shared" si="88"/>
        <v>14591944.174858822</v>
      </c>
      <c r="BJ149" s="224">
        <f t="shared" si="88"/>
        <v>14591944.174858822</v>
      </c>
      <c r="BK149" s="224">
        <f t="shared" si="88"/>
        <v>14591944.174858822</v>
      </c>
      <c r="BL149" s="224">
        <f t="shared" si="88"/>
        <v>14591944.174858822</v>
      </c>
      <c r="BM149" s="224">
        <f t="shared" si="88"/>
        <v>14591944.174858822</v>
      </c>
      <c r="BN149" s="224">
        <f t="shared" si="88"/>
        <v>14591944.174858822</v>
      </c>
      <c r="BO149" s="224">
        <f t="shared" si="88"/>
        <v>14591944.174858822</v>
      </c>
    </row>
    <row r="150" spans="1:67">
      <c r="A150" s="223" t="s">
        <v>6</v>
      </c>
      <c r="B150" s="151" t="s">
        <v>448</v>
      </c>
      <c r="C150" s="223">
        <v>148</v>
      </c>
      <c r="D150" s="224">
        <v>22995971.07050667</v>
      </c>
      <c r="E150" s="225">
        <f t="shared" si="92"/>
        <v>22995971.07050667</v>
      </c>
      <c r="F150" s="225">
        <f t="shared" si="92"/>
        <v>22995971.07050667</v>
      </c>
      <c r="G150" s="225">
        <f t="shared" si="92"/>
        <v>22995971.07050667</v>
      </c>
      <c r="H150" s="225">
        <f t="shared" si="92"/>
        <v>22995971.07050667</v>
      </c>
      <c r="I150" s="225">
        <f t="shared" si="92"/>
        <v>22995971.07050667</v>
      </c>
      <c r="J150" s="225">
        <f t="shared" si="92"/>
        <v>22995971.07050667</v>
      </c>
      <c r="K150" s="237">
        <v>22916353.431042101</v>
      </c>
      <c r="L150" s="237">
        <f t="shared" si="93"/>
        <v>22916353.431042101</v>
      </c>
      <c r="M150" s="237">
        <f t="shared" si="93"/>
        <v>22916353.431042101</v>
      </c>
      <c r="N150" s="237">
        <f t="shared" si="93"/>
        <v>22916353.431042101</v>
      </c>
      <c r="O150" s="237">
        <f t="shared" si="93"/>
        <v>22916353.431042101</v>
      </c>
      <c r="P150" s="237">
        <f t="shared" si="93"/>
        <v>22916353.431042101</v>
      </c>
      <c r="Q150" s="237">
        <f t="shared" si="93"/>
        <v>22916353.431042101</v>
      </c>
      <c r="R150" s="237">
        <f t="shared" si="93"/>
        <v>22916353.431042101</v>
      </c>
      <c r="S150" s="237">
        <f t="shared" si="93"/>
        <v>22916353.431042101</v>
      </c>
      <c r="T150" s="224">
        <v>22975250.120048672</v>
      </c>
      <c r="U150" s="224">
        <f t="shared" ref="U150:W165" si="97">T150</f>
        <v>22975250.120048672</v>
      </c>
      <c r="V150" s="224">
        <f t="shared" si="97"/>
        <v>22975250.120048672</v>
      </c>
      <c r="W150" s="224">
        <f t="shared" si="97"/>
        <v>22975250.120048672</v>
      </c>
      <c r="X150" s="226">
        <v>23070509.735670239</v>
      </c>
      <c r="Y150" s="226">
        <f t="shared" si="94"/>
        <v>23070509.735670239</v>
      </c>
      <c r="Z150" s="226">
        <f t="shared" si="94"/>
        <v>23070509.735670239</v>
      </c>
      <c r="AA150" s="224">
        <v>22995971.07050667</v>
      </c>
      <c r="AB150" s="224">
        <v>22995971.07050667</v>
      </c>
      <c r="AC150" s="224">
        <v>22949560.187816091</v>
      </c>
      <c r="AD150" s="224">
        <f t="shared" si="46"/>
        <v>22949560.187816091</v>
      </c>
      <c r="AE150" s="224">
        <v>23105306.708790641</v>
      </c>
      <c r="AF150" s="224">
        <v>23084757.972060863</v>
      </c>
      <c r="AG150" s="224">
        <f t="shared" si="47"/>
        <v>23084757.972060863</v>
      </c>
      <c r="AH150" s="226">
        <v>23221046.465132587</v>
      </c>
      <c r="AI150" s="226">
        <f t="shared" si="95"/>
        <v>23221046.465132587</v>
      </c>
      <c r="AJ150" s="226">
        <f t="shared" si="95"/>
        <v>23221046.465132587</v>
      </c>
      <c r="AK150" s="226">
        <f t="shared" si="95"/>
        <v>23221046.465132587</v>
      </c>
      <c r="AL150" s="226">
        <f t="shared" si="95"/>
        <v>23221046.465132587</v>
      </c>
      <c r="AM150" s="226">
        <f t="shared" si="95"/>
        <v>23221046.465132587</v>
      </c>
      <c r="AN150" s="235">
        <v>23221046.465132587</v>
      </c>
      <c r="AO150" s="235">
        <f t="shared" si="96"/>
        <v>23221046.465132587</v>
      </c>
      <c r="AP150" s="235">
        <f t="shared" si="96"/>
        <v>23221046.465132587</v>
      </c>
      <c r="AQ150" s="236">
        <f t="shared" si="96"/>
        <v>23221046.465132587</v>
      </c>
      <c r="AR150" s="236">
        <f t="shared" si="96"/>
        <v>23221046.465132587</v>
      </c>
      <c r="AS150" s="236">
        <f t="shared" si="96"/>
        <v>23221046.465132587</v>
      </c>
      <c r="AT150" s="236">
        <f t="shared" si="96"/>
        <v>23221046.465132587</v>
      </c>
      <c r="AU150" s="236">
        <f t="shared" si="96"/>
        <v>23221046.465132587</v>
      </c>
      <c r="AV150" s="236">
        <f t="shared" si="96"/>
        <v>23221046.465132587</v>
      </c>
      <c r="AW150" s="226">
        <v>23049192.218596563</v>
      </c>
      <c r="AX150" s="226">
        <f t="shared" ref="AX150:BO164" si="98">AW150</f>
        <v>23049192.218596563</v>
      </c>
      <c r="AY150" s="226">
        <f t="shared" si="98"/>
        <v>23049192.218596563</v>
      </c>
      <c r="AZ150" s="226">
        <f t="shared" si="98"/>
        <v>23049192.218596563</v>
      </c>
      <c r="BA150" s="226">
        <f t="shared" si="98"/>
        <v>23049192.218596563</v>
      </c>
      <c r="BB150" s="226">
        <f t="shared" si="98"/>
        <v>23049192.218596563</v>
      </c>
      <c r="BC150" s="226">
        <f t="shared" si="98"/>
        <v>23049192.218596563</v>
      </c>
      <c r="BD150" s="224">
        <f t="shared" si="98"/>
        <v>23049192.218596563</v>
      </c>
      <c r="BE150" s="224">
        <f t="shared" si="98"/>
        <v>23049192.218596563</v>
      </c>
      <c r="BF150" s="224">
        <f t="shared" si="98"/>
        <v>23049192.218596563</v>
      </c>
      <c r="BG150" s="224">
        <f t="shared" si="98"/>
        <v>23049192.218596563</v>
      </c>
      <c r="BH150" s="224">
        <f t="shared" si="98"/>
        <v>23049192.218596563</v>
      </c>
      <c r="BI150" s="224">
        <f t="shared" si="98"/>
        <v>23049192.218596563</v>
      </c>
      <c r="BJ150" s="224">
        <f t="shared" si="98"/>
        <v>23049192.218596563</v>
      </c>
      <c r="BK150" s="224">
        <f t="shared" si="98"/>
        <v>23049192.218596563</v>
      </c>
      <c r="BL150" s="224">
        <f t="shared" si="98"/>
        <v>23049192.218596563</v>
      </c>
      <c r="BM150" s="224">
        <f t="shared" si="98"/>
        <v>23049192.218596563</v>
      </c>
      <c r="BN150" s="224">
        <f t="shared" si="98"/>
        <v>23049192.218596563</v>
      </c>
      <c r="BO150" s="224">
        <f t="shared" si="98"/>
        <v>23049192.218596563</v>
      </c>
    </row>
    <row r="151" spans="1:67">
      <c r="A151" s="223" t="s">
        <v>7</v>
      </c>
      <c r="B151" s="151" t="s">
        <v>449</v>
      </c>
      <c r="C151" s="223">
        <v>149</v>
      </c>
      <c r="D151" s="224">
        <v>42129695.290755302</v>
      </c>
      <c r="E151" s="225">
        <f t="shared" si="92"/>
        <v>42129695.290755302</v>
      </c>
      <c r="F151" s="225">
        <f t="shared" si="92"/>
        <v>42129695.290755302</v>
      </c>
      <c r="G151" s="225">
        <f t="shared" si="92"/>
        <v>42129695.290755302</v>
      </c>
      <c r="H151" s="225">
        <f t="shared" si="92"/>
        <v>42129695.290755302</v>
      </c>
      <c r="I151" s="225">
        <f t="shared" si="92"/>
        <v>42129695.290755302</v>
      </c>
      <c r="J151" s="225">
        <f t="shared" si="92"/>
        <v>42129695.290755302</v>
      </c>
      <c r="K151" s="237">
        <v>41978384.615074314</v>
      </c>
      <c r="L151" s="237">
        <f t="shared" si="93"/>
        <v>41978384.615074314</v>
      </c>
      <c r="M151" s="237">
        <f t="shared" si="93"/>
        <v>41978384.615074314</v>
      </c>
      <c r="N151" s="237">
        <f t="shared" si="93"/>
        <v>41978384.615074314</v>
      </c>
      <c r="O151" s="237">
        <f t="shared" si="93"/>
        <v>41978384.615074314</v>
      </c>
      <c r="P151" s="237">
        <f t="shared" si="93"/>
        <v>41978384.615074314</v>
      </c>
      <c r="Q151" s="237">
        <f t="shared" si="93"/>
        <v>41978384.615074314</v>
      </c>
      <c r="R151" s="237">
        <f t="shared" si="93"/>
        <v>41978384.615074314</v>
      </c>
      <c r="S151" s="237">
        <f t="shared" si="93"/>
        <v>41978384.615074314</v>
      </c>
      <c r="T151" s="224">
        <v>41978384.615074314</v>
      </c>
      <c r="U151" s="224">
        <f t="shared" si="97"/>
        <v>41978384.615074314</v>
      </c>
      <c r="V151" s="224">
        <f t="shared" si="97"/>
        <v>41978384.615074314</v>
      </c>
      <c r="W151" s="224">
        <f t="shared" si="97"/>
        <v>41978384.615074314</v>
      </c>
      <c r="X151" s="226">
        <v>42271679.854960904</v>
      </c>
      <c r="Y151" s="226">
        <f t="shared" si="94"/>
        <v>42271679.854960904</v>
      </c>
      <c r="Z151" s="226">
        <f t="shared" si="94"/>
        <v>42271679.854960904</v>
      </c>
      <c r="AA151" s="224">
        <v>42129695.290755302</v>
      </c>
      <c r="AB151" s="224">
        <v>42129695.290755302</v>
      </c>
      <c r="AC151" s="224">
        <v>42060141.393036731</v>
      </c>
      <c r="AD151" s="224">
        <f t="shared" si="46"/>
        <v>42060141.393036731</v>
      </c>
      <c r="AE151" s="224">
        <v>42348160.314751461</v>
      </c>
      <c r="AF151" s="224">
        <v>42309086.527910866</v>
      </c>
      <c r="AG151" s="224">
        <f t="shared" si="47"/>
        <v>42309086.527910866</v>
      </c>
      <c r="AH151" s="226">
        <v>42549587.26410839</v>
      </c>
      <c r="AI151" s="226">
        <f t="shared" si="95"/>
        <v>42549587.26410839</v>
      </c>
      <c r="AJ151" s="226">
        <f t="shared" si="95"/>
        <v>42549587.26410839</v>
      </c>
      <c r="AK151" s="226">
        <f t="shared" si="95"/>
        <v>42549587.26410839</v>
      </c>
      <c r="AL151" s="226">
        <f t="shared" si="95"/>
        <v>42549587.26410839</v>
      </c>
      <c r="AM151" s="226">
        <f t="shared" si="95"/>
        <v>42549587.26410839</v>
      </c>
      <c r="AN151" s="235">
        <v>42549587.26410839</v>
      </c>
      <c r="AO151" s="235">
        <f t="shared" si="96"/>
        <v>42549587.26410839</v>
      </c>
      <c r="AP151" s="235">
        <f t="shared" si="96"/>
        <v>42549587.26410839</v>
      </c>
      <c r="AQ151" s="236">
        <f t="shared" si="96"/>
        <v>42549587.26410839</v>
      </c>
      <c r="AR151" s="236">
        <f t="shared" si="96"/>
        <v>42549587.26410839</v>
      </c>
      <c r="AS151" s="236">
        <f t="shared" si="96"/>
        <v>42549587.26410839</v>
      </c>
      <c r="AT151" s="236">
        <f t="shared" si="96"/>
        <v>42549587.26410839</v>
      </c>
      <c r="AU151" s="236">
        <f t="shared" si="96"/>
        <v>42549587.26410839</v>
      </c>
      <c r="AV151" s="236">
        <f t="shared" si="96"/>
        <v>42549587.26410839</v>
      </c>
      <c r="AW151" s="226">
        <v>42227198.924986556</v>
      </c>
      <c r="AX151" s="226">
        <f t="shared" si="98"/>
        <v>42227198.924986556</v>
      </c>
      <c r="AY151" s="226">
        <f t="shared" si="98"/>
        <v>42227198.924986556</v>
      </c>
      <c r="AZ151" s="226">
        <f t="shared" si="98"/>
        <v>42227198.924986556</v>
      </c>
      <c r="BA151" s="226">
        <f t="shared" si="98"/>
        <v>42227198.924986556</v>
      </c>
      <c r="BB151" s="226">
        <f t="shared" si="98"/>
        <v>42227198.924986556</v>
      </c>
      <c r="BC151" s="226">
        <f t="shared" si="98"/>
        <v>42227198.924986556</v>
      </c>
      <c r="BD151" s="224">
        <f t="shared" si="98"/>
        <v>42227198.924986556</v>
      </c>
      <c r="BE151" s="224">
        <f t="shared" si="98"/>
        <v>42227198.924986556</v>
      </c>
      <c r="BF151" s="224">
        <f t="shared" si="98"/>
        <v>42227198.924986556</v>
      </c>
      <c r="BG151" s="224">
        <f t="shared" si="98"/>
        <v>42227198.924986556</v>
      </c>
      <c r="BH151" s="224">
        <f t="shared" si="98"/>
        <v>42227198.924986556</v>
      </c>
      <c r="BI151" s="224">
        <f t="shared" si="98"/>
        <v>42227198.924986556</v>
      </c>
      <c r="BJ151" s="224">
        <f t="shared" si="98"/>
        <v>42227198.924986556</v>
      </c>
      <c r="BK151" s="224">
        <f t="shared" si="98"/>
        <v>42227198.924986556</v>
      </c>
      <c r="BL151" s="224">
        <f t="shared" si="98"/>
        <v>42227198.924986556</v>
      </c>
      <c r="BM151" s="224">
        <f t="shared" si="98"/>
        <v>42227198.924986556</v>
      </c>
      <c r="BN151" s="224">
        <f t="shared" si="98"/>
        <v>42227198.924986556</v>
      </c>
      <c r="BO151" s="224">
        <f t="shared" si="98"/>
        <v>42227198.924986556</v>
      </c>
    </row>
    <row r="152" spans="1:67">
      <c r="A152" s="223" t="s">
        <v>450</v>
      </c>
      <c r="B152" s="151" t="s">
        <v>451</v>
      </c>
      <c r="C152" s="223">
        <v>150</v>
      </c>
      <c r="D152" s="224">
        <v>30079266.647492625</v>
      </c>
      <c r="E152" s="225">
        <f t="shared" si="92"/>
        <v>30079266.647492625</v>
      </c>
      <c r="F152" s="225">
        <f t="shared" si="92"/>
        <v>30079266.647492625</v>
      </c>
      <c r="G152" s="225">
        <f t="shared" si="92"/>
        <v>30079266.647492625</v>
      </c>
      <c r="H152" s="225">
        <f t="shared" si="92"/>
        <v>30079266.647492625</v>
      </c>
      <c r="I152" s="225">
        <f t="shared" si="92"/>
        <v>30079266.647492625</v>
      </c>
      <c r="J152" s="225">
        <f t="shared" si="92"/>
        <v>30079266.647492625</v>
      </c>
      <c r="K152" s="237">
        <v>30079266.647492625</v>
      </c>
      <c r="L152" s="237">
        <f t="shared" si="93"/>
        <v>30079266.647492625</v>
      </c>
      <c r="M152" s="237">
        <f t="shared" si="93"/>
        <v>30079266.647492625</v>
      </c>
      <c r="N152" s="237">
        <f t="shared" si="93"/>
        <v>30079266.647492625</v>
      </c>
      <c r="O152" s="237">
        <f t="shared" si="93"/>
        <v>30079266.647492625</v>
      </c>
      <c r="P152" s="237">
        <f t="shared" si="93"/>
        <v>30079266.647492625</v>
      </c>
      <c r="Q152" s="237">
        <f t="shared" si="93"/>
        <v>30079266.647492625</v>
      </c>
      <c r="R152" s="237">
        <f t="shared" si="93"/>
        <v>30079266.647492625</v>
      </c>
      <c r="S152" s="237">
        <f t="shared" si="93"/>
        <v>30079266.647492625</v>
      </c>
      <c r="T152" s="224">
        <v>30079266.647492625</v>
      </c>
      <c r="U152" s="224">
        <f t="shared" si="97"/>
        <v>30079266.647492625</v>
      </c>
      <c r="V152" s="224">
        <f t="shared" si="97"/>
        <v>30079266.647492625</v>
      </c>
      <c r="W152" s="224">
        <f t="shared" si="97"/>
        <v>30079266.647492625</v>
      </c>
      <c r="X152" s="226">
        <v>30079266.647492625</v>
      </c>
      <c r="Y152" s="226">
        <f t="shared" si="94"/>
        <v>30079266.647492625</v>
      </c>
      <c r="Z152" s="226">
        <f t="shared" si="94"/>
        <v>30079266.647492625</v>
      </c>
      <c r="AA152" s="224">
        <v>30079266.647492625</v>
      </c>
      <c r="AB152" s="224">
        <v>30079266.647492625</v>
      </c>
      <c r="AC152" s="224">
        <v>30079266.647492625</v>
      </c>
      <c r="AD152" s="224">
        <f t="shared" si="46"/>
        <v>30079266.647492625</v>
      </c>
      <c r="AE152" s="224">
        <v>30079266.647492625</v>
      </c>
      <c r="AF152" s="224">
        <v>30079266.647492625</v>
      </c>
      <c r="AG152" s="224">
        <f t="shared" si="47"/>
        <v>30079266.647492625</v>
      </c>
      <c r="AH152" s="226">
        <v>30247501.697208591</v>
      </c>
      <c r="AI152" s="226">
        <f t="shared" si="95"/>
        <v>30247501.697208591</v>
      </c>
      <c r="AJ152" s="226">
        <f t="shared" si="95"/>
        <v>30247501.697208591</v>
      </c>
      <c r="AK152" s="226">
        <f t="shared" si="95"/>
        <v>30247501.697208591</v>
      </c>
      <c r="AL152" s="226">
        <f t="shared" si="95"/>
        <v>30247501.697208591</v>
      </c>
      <c r="AM152" s="226">
        <f t="shared" si="95"/>
        <v>30247501.697208591</v>
      </c>
      <c r="AN152" s="235">
        <v>30247501.697208591</v>
      </c>
      <c r="AO152" s="235">
        <f t="shared" si="96"/>
        <v>30247501.697208591</v>
      </c>
      <c r="AP152" s="235">
        <f t="shared" si="96"/>
        <v>30247501.697208591</v>
      </c>
      <c r="AQ152" s="236">
        <f t="shared" si="96"/>
        <v>30247501.697208591</v>
      </c>
      <c r="AR152" s="236">
        <f t="shared" si="96"/>
        <v>30247501.697208591</v>
      </c>
      <c r="AS152" s="236">
        <f t="shared" si="96"/>
        <v>30247501.697208591</v>
      </c>
      <c r="AT152" s="236">
        <f t="shared" si="96"/>
        <v>30247501.697208591</v>
      </c>
      <c r="AU152" s="236">
        <f t="shared" si="96"/>
        <v>30247501.697208591</v>
      </c>
      <c r="AV152" s="236">
        <f t="shared" si="96"/>
        <v>30247501.697208591</v>
      </c>
      <c r="AW152" s="226">
        <v>30148881.150823366</v>
      </c>
      <c r="AX152" s="226">
        <f t="shared" si="98"/>
        <v>30148881.150823366</v>
      </c>
      <c r="AY152" s="226">
        <f t="shared" si="98"/>
        <v>30148881.150823366</v>
      </c>
      <c r="AZ152" s="226">
        <f t="shared" si="98"/>
        <v>30148881.150823366</v>
      </c>
      <c r="BA152" s="226">
        <f t="shared" si="98"/>
        <v>30148881.150823366</v>
      </c>
      <c r="BB152" s="226">
        <f t="shared" si="98"/>
        <v>30148881.150823366</v>
      </c>
      <c r="BC152" s="226">
        <f t="shared" si="98"/>
        <v>30148881.150823366</v>
      </c>
      <c r="BD152" s="224">
        <f t="shared" si="98"/>
        <v>30148881.150823366</v>
      </c>
      <c r="BE152" s="224">
        <f t="shared" si="98"/>
        <v>30148881.150823366</v>
      </c>
      <c r="BF152" s="224">
        <f t="shared" si="98"/>
        <v>30148881.150823366</v>
      </c>
      <c r="BG152" s="224">
        <f t="shared" si="98"/>
        <v>30148881.150823366</v>
      </c>
      <c r="BH152" s="224">
        <f t="shared" si="98"/>
        <v>30148881.150823366</v>
      </c>
      <c r="BI152" s="224">
        <f t="shared" si="98"/>
        <v>30148881.150823366</v>
      </c>
      <c r="BJ152" s="224">
        <f t="shared" si="98"/>
        <v>30148881.150823366</v>
      </c>
      <c r="BK152" s="224">
        <f t="shared" si="98"/>
        <v>30148881.150823366</v>
      </c>
      <c r="BL152" s="224">
        <f t="shared" si="98"/>
        <v>30148881.150823366</v>
      </c>
      <c r="BM152" s="224">
        <f t="shared" si="98"/>
        <v>30148881.150823366</v>
      </c>
      <c r="BN152" s="224">
        <f t="shared" si="98"/>
        <v>30148881.150823366</v>
      </c>
      <c r="BO152" s="224">
        <f t="shared" si="98"/>
        <v>30148881.150823366</v>
      </c>
    </row>
    <row r="153" spans="1:67">
      <c r="A153" s="223" t="s">
        <v>452</v>
      </c>
      <c r="B153" s="151" t="s">
        <v>453</v>
      </c>
      <c r="C153" s="223">
        <v>151</v>
      </c>
      <c r="D153" s="224">
        <v>15865977.802656699</v>
      </c>
      <c r="E153" s="225">
        <f t="shared" si="92"/>
        <v>15865977.802656699</v>
      </c>
      <c r="F153" s="225">
        <f t="shared" si="92"/>
        <v>15865977.802656699</v>
      </c>
      <c r="G153" s="225">
        <f t="shared" si="92"/>
        <v>15865977.802656699</v>
      </c>
      <c r="H153" s="225">
        <f t="shared" si="92"/>
        <v>15865977.802656699</v>
      </c>
      <c r="I153" s="225">
        <f t="shared" si="92"/>
        <v>15865977.802656699</v>
      </c>
      <c r="J153" s="225">
        <f t="shared" si="92"/>
        <v>15865977.802656699</v>
      </c>
      <c r="K153" s="237">
        <f>J153</f>
        <v>15865977.802656699</v>
      </c>
      <c r="L153" s="237">
        <f t="shared" si="93"/>
        <v>15865977.802656699</v>
      </c>
      <c r="M153" s="237">
        <f t="shared" si="93"/>
        <v>15865977.802656699</v>
      </c>
      <c r="N153" s="237">
        <f t="shared" si="93"/>
        <v>15865977.802656699</v>
      </c>
      <c r="O153" s="237">
        <f t="shared" si="93"/>
        <v>15865977.802656699</v>
      </c>
      <c r="P153" s="237">
        <f t="shared" si="93"/>
        <v>15865977.802656699</v>
      </c>
      <c r="Q153" s="237">
        <f t="shared" si="93"/>
        <v>15865977.802656699</v>
      </c>
      <c r="R153" s="237">
        <f t="shared" si="93"/>
        <v>15865977.802656699</v>
      </c>
      <c r="S153" s="237">
        <f t="shared" si="93"/>
        <v>15865977.802656699</v>
      </c>
      <c r="T153" s="224">
        <v>15865977.802656699</v>
      </c>
      <c r="U153" s="224">
        <f t="shared" si="97"/>
        <v>15865977.802656699</v>
      </c>
      <c r="V153" s="224">
        <f t="shared" si="97"/>
        <v>15865977.802656699</v>
      </c>
      <c r="W153" s="224">
        <f t="shared" si="97"/>
        <v>15865977.802656699</v>
      </c>
      <c r="X153" s="226">
        <v>15865977.802656699</v>
      </c>
      <c r="Y153" s="226">
        <f t="shared" si="94"/>
        <v>15865977.802656699</v>
      </c>
      <c r="Z153" s="226">
        <f t="shared" si="94"/>
        <v>15865977.802656699</v>
      </c>
      <c r="AA153" s="224">
        <v>15865977.802656699</v>
      </c>
      <c r="AB153" s="224">
        <v>15865977.802656699</v>
      </c>
      <c r="AC153" s="224">
        <v>15865977.802656699</v>
      </c>
      <c r="AD153" s="224">
        <f t="shared" si="46"/>
        <v>15865977.802656699</v>
      </c>
      <c r="AE153" s="224">
        <v>15865977.802656699</v>
      </c>
      <c r="AF153" s="224">
        <v>15865977.802656699</v>
      </c>
      <c r="AG153" s="224">
        <f t="shared" si="47"/>
        <v>15865977.802656699</v>
      </c>
      <c r="AH153" s="226">
        <v>15954717.119200006</v>
      </c>
      <c r="AI153" s="226">
        <f t="shared" si="95"/>
        <v>15954717.119200006</v>
      </c>
      <c r="AJ153" s="226">
        <f t="shared" si="95"/>
        <v>15954717.119200006</v>
      </c>
      <c r="AK153" s="226">
        <f t="shared" si="95"/>
        <v>15954717.119200006</v>
      </c>
      <c r="AL153" s="226">
        <f t="shared" si="95"/>
        <v>15954717.119200006</v>
      </c>
      <c r="AM153" s="226">
        <f t="shared" si="95"/>
        <v>15954717.119200006</v>
      </c>
      <c r="AN153" s="235">
        <v>15954717.119200006</v>
      </c>
      <c r="AO153" s="235">
        <f t="shared" si="96"/>
        <v>15954717.119200006</v>
      </c>
      <c r="AP153" s="235">
        <f t="shared" si="96"/>
        <v>15954717.119200006</v>
      </c>
      <c r="AQ153" s="236">
        <f t="shared" si="96"/>
        <v>15954717.119200006</v>
      </c>
      <c r="AR153" s="236">
        <f t="shared" si="96"/>
        <v>15954717.119200006</v>
      </c>
      <c r="AS153" s="236">
        <f t="shared" si="96"/>
        <v>15954717.119200006</v>
      </c>
      <c r="AT153" s="236">
        <f t="shared" si="96"/>
        <v>15954717.119200006</v>
      </c>
      <c r="AU153" s="236">
        <f t="shared" si="96"/>
        <v>15954717.119200006</v>
      </c>
      <c r="AV153" s="236">
        <f t="shared" si="96"/>
        <v>15954717.119200006</v>
      </c>
      <c r="AW153" s="226">
        <v>15902697.519847034</v>
      </c>
      <c r="AX153" s="226">
        <f t="shared" si="98"/>
        <v>15902697.519847034</v>
      </c>
      <c r="AY153" s="226">
        <f t="shared" si="98"/>
        <v>15902697.519847034</v>
      </c>
      <c r="AZ153" s="226">
        <f t="shared" si="98"/>
        <v>15902697.519847034</v>
      </c>
      <c r="BA153" s="226">
        <f t="shared" si="98"/>
        <v>15902697.519847034</v>
      </c>
      <c r="BB153" s="226">
        <f t="shared" si="98"/>
        <v>15902697.519847034</v>
      </c>
      <c r="BC153" s="226">
        <v>15902697.519847034</v>
      </c>
      <c r="BD153" s="224">
        <f t="shared" si="98"/>
        <v>15902697.519847034</v>
      </c>
      <c r="BE153" s="224">
        <f t="shared" si="98"/>
        <v>15902697.519847034</v>
      </c>
      <c r="BF153" s="224">
        <f t="shared" si="98"/>
        <v>15902697.519847034</v>
      </c>
      <c r="BG153" s="224">
        <f t="shared" si="98"/>
        <v>15902697.519847034</v>
      </c>
      <c r="BH153" s="224">
        <f t="shared" si="98"/>
        <v>15902697.519847034</v>
      </c>
      <c r="BI153" s="224">
        <f t="shared" si="98"/>
        <v>15902697.519847034</v>
      </c>
      <c r="BJ153" s="224">
        <f t="shared" si="98"/>
        <v>15902697.519847034</v>
      </c>
      <c r="BK153" s="224">
        <f t="shared" si="98"/>
        <v>15902697.519847034</v>
      </c>
      <c r="BL153" s="224">
        <f t="shared" si="98"/>
        <v>15902697.519847034</v>
      </c>
      <c r="BM153" s="224">
        <f t="shared" si="98"/>
        <v>15902697.519847034</v>
      </c>
      <c r="BN153" s="224">
        <f t="shared" si="98"/>
        <v>15902697.519847034</v>
      </c>
      <c r="BO153" s="224">
        <f t="shared" si="98"/>
        <v>15902697.519847034</v>
      </c>
    </row>
    <row r="154" spans="1:67">
      <c r="A154" s="223"/>
      <c r="B154" s="151"/>
      <c r="C154" s="223">
        <v>152</v>
      </c>
      <c r="D154" s="224"/>
      <c r="E154" s="225"/>
      <c r="F154" s="225"/>
      <c r="G154" s="225"/>
      <c r="H154" s="225"/>
      <c r="I154" s="225"/>
      <c r="J154" s="225"/>
      <c r="K154" s="237"/>
      <c r="L154" s="237"/>
      <c r="M154" s="237"/>
      <c r="N154" s="237"/>
      <c r="O154" s="237"/>
      <c r="P154" s="237"/>
      <c r="Q154" s="237"/>
      <c r="R154" s="237"/>
      <c r="S154" s="237"/>
      <c r="T154" s="224"/>
      <c r="U154" s="224">
        <f t="shared" si="97"/>
        <v>0</v>
      </c>
      <c r="V154" s="224">
        <f t="shared" si="97"/>
        <v>0</v>
      </c>
      <c r="W154" s="224">
        <f t="shared" si="97"/>
        <v>0</v>
      </c>
      <c r="X154" s="226"/>
      <c r="Y154" s="226">
        <f t="shared" si="94"/>
        <v>0</v>
      </c>
      <c r="Z154" s="226">
        <f t="shared" si="94"/>
        <v>0</v>
      </c>
      <c r="AA154" s="224"/>
      <c r="AB154" s="224"/>
      <c r="AC154" s="224"/>
      <c r="AD154" s="224">
        <f t="shared" si="46"/>
        <v>0</v>
      </c>
      <c r="AE154" s="224"/>
      <c r="AF154" s="224"/>
      <c r="AG154" s="224">
        <f t="shared" si="47"/>
        <v>0</v>
      </c>
      <c r="AH154" s="226"/>
      <c r="AI154" s="226">
        <f t="shared" si="95"/>
        <v>0</v>
      </c>
      <c r="AJ154" s="226">
        <f t="shared" si="95"/>
        <v>0</v>
      </c>
      <c r="AK154" s="226">
        <f t="shared" si="95"/>
        <v>0</v>
      </c>
      <c r="AL154" s="226">
        <f t="shared" si="95"/>
        <v>0</v>
      </c>
      <c r="AM154" s="226">
        <f t="shared" si="95"/>
        <v>0</v>
      </c>
      <c r="AN154" s="235"/>
      <c r="AO154" s="235"/>
      <c r="AP154" s="235"/>
      <c r="AQ154" s="236"/>
      <c r="AR154" s="236"/>
      <c r="AS154" s="236"/>
      <c r="AT154" s="236"/>
      <c r="AU154" s="236"/>
      <c r="AV154" s="236"/>
      <c r="AW154" s="226"/>
      <c r="AX154" s="226">
        <f t="shared" si="98"/>
        <v>0</v>
      </c>
      <c r="AY154" s="226">
        <f t="shared" si="98"/>
        <v>0</v>
      </c>
      <c r="AZ154" s="226">
        <f t="shared" si="98"/>
        <v>0</v>
      </c>
      <c r="BA154" s="226">
        <f t="shared" si="98"/>
        <v>0</v>
      </c>
      <c r="BB154" s="226">
        <f t="shared" si="98"/>
        <v>0</v>
      </c>
      <c r="BC154" s="224"/>
      <c r="BD154" s="224">
        <f t="shared" si="98"/>
        <v>0</v>
      </c>
      <c r="BE154" s="224">
        <f t="shared" si="98"/>
        <v>0</v>
      </c>
      <c r="BF154" s="224">
        <f t="shared" si="98"/>
        <v>0</v>
      </c>
      <c r="BG154" s="224">
        <f t="shared" si="98"/>
        <v>0</v>
      </c>
      <c r="BH154" s="224">
        <f t="shared" si="98"/>
        <v>0</v>
      </c>
      <c r="BI154" s="224">
        <f t="shared" si="98"/>
        <v>0</v>
      </c>
      <c r="BJ154" s="224">
        <f t="shared" si="98"/>
        <v>0</v>
      </c>
      <c r="BK154" s="224">
        <f t="shared" si="98"/>
        <v>0</v>
      </c>
      <c r="BL154" s="224">
        <f t="shared" si="98"/>
        <v>0</v>
      </c>
      <c r="BM154" s="224">
        <f t="shared" si="98"/>
        <v>0</v>
      </c>
      <c r="BN154" s="224">
        <f t="shared" si="98"/>
        <v>0</v>
      </c>
      <c r="BO154" s="224">
        <f t="shared" si="98"/>
        <v>0</v>
      </c>
    </row>
    <row r="155" spans="1:67">
      <c r="A155" s="229">
        <v>2</v>
      </c>
      <c r="B155" s="230" t="s">
        <v>124</v>
      </c>
      <c r="C155" s="223">
        <v>153</v>
      </c>
      <c r="D155" s="224"/>
      <c r="E155" s="225">
        <f t="shared" ref="E155:J176" si="99">D155</f>
        <v>0</v>
      </c>
      <c r="F155" s="225">
        <f t="shared" si="99"/>
        <v>0</v>
      </c>
      <c r="G155" s="225">
        <f t="shared" si="99"/>
        <v>0</v>
      </c>
      <c r="H155" s="225">
        <f t="shared" si="99"/>
        <v>0</v>
      </c>
      <c r="I155" s="225">
        <f t="shared" si="99"/>
        <v>0</v>
      </c>
      <c r="J155" s="225">
        <f t="shared" si="99"/>
        <v>0</v>
      </c>
      <c r="K155" s="237"/>
      <c r="L155" s="237">
        <f t="shared" si="93"/>
        <v>0</v>
      </c>
      <c r="M155" s="237">
        <f t="shared" si="93"/>
        <v>0</v>
      </c>
      <c r="N155" s="237">
        <f t="shared" si="93"/>
        <v>0</v>
      </c>
      <c r="O155" s="237">
        <f t="shared" si="93"/>
        <v>0</v>
      </c>
      <c r="P155" s="237">
        <f t="shared" si="93"/>
        <v>0</v>
      </c>
      <c r="Q155" s="237">
        <f t="shared" si="93"/>
        <v>0</v>
      </c>
      <c r="R155" s="237">
        <f t="shared" si="93"/>
        <v>0</v>
      </c>
      <c r="S155" s="237">
        <f t="shared" si="93"/>
        <v>0</v>
      </c>
      <c r="T155" s="224"/>
      <c r="U155" s="224">
        <f t="shared" si="97"/>
        <v>0</v>
      </c>
      <c r="V155" s="224">
        <f t="shared" si="97"/>
        <v>0</v>
      </c>
      <c r="W155" s="224">
        <f t="shared" si="97"/>
        <v>0</v>
      </c>
      <c r="X155" s="226"/>
      <c r="Y155" s="226">
        <f t="shared" si="94"/>
        <v>0</v>
      </c>
      <c r="Z155" s="226">
        <f t="shared" si="94"/>
        <v>0</v>
      </c>
      <c r="AA155" s="224"/>
      <c r="AB155" s="224"/>
      <c r="AC155" s="224"/>
      <c r="AD155" s="224">
        <f t="shared" si="46"/>
        <v>0</v>
      </c>
      <c r="AE155" s="224"/>
      <c r="AF155" s="224"/>
      <c r="AG155" s="224">
        <f t="shared" si="47"/>
        <v>0</v>
      </c>
      <c r="AH155" s="226"/>
      <c r="AI155" s="226">
        <f t="shared" si="95"/>
        <v>0</v>
      </c>
      <c r="AJ155" s="226">
        <f t="shared" si="95"/>
        <v>0</v>
      </c>
      <c r="AK155" s="226">
        <f t="shared" si="95"/>
        <v>0</v>
      </c>
      <c r="AL155" s="226">
        <f t="shared" si="95"/>
        <v>0</v>
      </c>
      <c r="AM155" s="226">
        <f t="shared" si="95"/>
        <v>0</v>
      </c>
      <c r="AN155" s="235"/>
      <c r="AO155" s="235">
        <f t="shared" ref="AO155:AV176" si="100">AN155</f>
        <v>0</v>
      </c>
      <c r="AP155" s="235">
        <f t="shared" si="100"/>
        <v>0</v>
      </c>
      <c r="AQ155" s="236">
        <f t="shared" si="100"/>
        <v>0</v>
      </c>
      <c r="AR155" s="236">
        <f t="shared" si="100"/>
        <v>0</v>
      </c>
      <c r="AS155" s="236">
        <f t="shared" si="100"/>
        <v>0</v>
      </c>
      <c r="AT155" s="236">
        <f t="shared" si="100"/>
        <v>0</v>
      </c>
      <c r="AU155" s="236">
        <f t="shared" si="100"/>
        <v>0</v>
      </c>
      <c r="AV155" s="236">
        <f t="shared" si="100"/>
        <v>0</v>
      </c>
      <c r="AW155" s="226"/>
      <c r="AX155" s="226">
        <f t="shared" si="98"/>
        <v>0</v>
      </c>
      <c r="AY155" s="226">
        <f t="shared" si="98"/>
        <v>0</v>
      </c>
      <c r="AZ155" s="226">
        <f t="shared" si="98"/>
        <v>0</v>
      </c>
      <c r="BA155" s="226">
        <f t="shared" si="98"/>
        <v>0</v>
      </c>
      <c r="BB155" s="226">
        <f t="shared" si="98"/>
        <v>0</v>
      </c>
      <c r="BC155" s="224"/>
      <c r="BD155" s="224">
        <f t="shared" si="98"/>
        <v>0</v>
      </c>
      <c r="BE155" s="224">
        <f t="shared" si="98"/>
        <v>0</v>
      </c>
      <c r="BF155" s="224">
        <f t="shared" si="98"/>
        <v>0</v>
      </c>
      <c r="BG155" s="224">
        <f t="shared" si="98"/>
        <v>0</v>
      </c>
      <c r="BH155" s="224">
        <f t="shared" si="98"/>
        <v>0</v>
      </c>
      <c r="BI155" s="224">
        <f t="shared" si="98"/>
        <v>0</v>
      </c>
      <c r="BJ155" s="224">
        <f t="shared" si="98"/>
        <v>0</v>
      </c>
      <c r="BK155" s="224">
        <f t="shared" si="98"/>
        <v>0</v>
      </c>
      <c r="BL155" s="224">
        <f t="shared" si="98"/>
        <v>0</v>
      </c>
      <c r="BM155" s="224">
        <f t="shared" si="98"/>
        <v>0</v>
      </c>
      <c r="BN155" s="224">
        <f t="shared" si="98"/>
        <v>0</v>
      </c>
      <c r="BO155" s="224">
        <f t="shared" si="98"/>
        <v>0</v>
      </c>
    </row>
    <row r="156" spans="1:67">
      <c r="A156" s="223" t="s">
        <v>131</v>
      </c>
      <c r="B156" s="151" t="s">
        <v>125</v>
      </c>
      <c r="C156" s="223">
        <v>154</v>
      </c>
      <c r="D156" s="224">
        <v>20908626.636363637</v>
      </c>
      <c r="E156" s="225">
        <f t="shared" si="99"/>
        <v>20908626.636363637</v>
      </c>
      <c r="F156" s="225">
        <f t="shared" si="99"/>
        <v>20908626.636363637</v>
      </c>
      <c r="G156" s="225">
        <f t="shared" si="99"/>
        <v>20908626.636363637</v>
      </c>
      <c r="H156" s="225">
        <f t="shared" si="99"/>
        <v>20908626.636363637</v>
      </c>
      <c r="I156" s="225">
        <f t="shared" si="99"/>
        <v>20908626.636363637</v>
      </c>
      <c r="J156" s="225">
        <f t="shared" si="99"/>
        <v>20908626.636363637</v>
      </c>
      <c r="K156" s="237">
        <v>20962017.545454543</v>
      </c>
      <c r="L156" s="237">
        <f t="shared" si="93"/>
        <v>20962017.545454543</v>
      </c>
      <c r="M156" s="237">
        <f t="shared" si="93"/>
        <v>20962017.545454543</v>
      </c>
      <c r="N156" s="237">
        <f t="shared" si="93"/>
        <v>20962017.545454543</v>
      </c>
      <c r="O156" s="237">
        <f t="shared" si="93"/>
        <v>20962017.545454543</v>
      </c>
      <c r="P156" s="237">
        <f t="shared" si="93"/>
        <v>20962017.545454543</v>
      </c>
      <c r="Q156" s="237">
        <f t="shared" si="93"/>
        <v>20962017.545454543</v>
      </c>
      <c r="R156" s="237">
        <f t="shared" si="93"/>
        <v>20962017.545454543</v>
      </c>
      <c r="S156" s="237">
        <f t="shared" si="93"/>
        <v>20962017.545454543</v>
      </c>
      <c r="T156" s="224">
        <v>20908626.636363637</v>
      </c>
      <c r="U156" s="224">
        <f t="shared" si="97"/>
        <v>20908626.636363637</v>
      </c>
      <c r="V156" s="224">
        <f t="shared" si="97"/>
        <v>20908626.636363637</v>
      </c>
      <c r="W156" s="224">
        <f t="shared" si="97"/>
        <v>20908626.636363637</v>
      </c>
      <c r="X156" s="226">
        <v>20908626.636363637</v>
      </c>
      <c r="Y156" s="226">
        <f t="shared" si="94"/>
        <v>20908626.636363637</v>
      </c>
      <c r="Z156" s="226">
        <f t="shared" si="94"/>
        <v>20908626.636363637</v>
      </c>
      <c r="AA156" s="224">
        <v>20908626.636363637</v>
      </c>
      <c r="AB156" s="224">
        <v>20908626.636363637</v>
      </c>
      <c r="AC156" s="224">
        <v>20908626.636363637</v>
      </c>
      <c r="AD156" s="224">
        <f t="shared" si="46"/>
        <v>20908626.636363637</v>
      </c>
      <c r="AE156" s="224">
        <v>20908626.636363637</v>
      </c>
      <c r="AF156" s="224">
        <v>20908626.636363637</v>
      </c>
      <c r="AG156" s="224">
        <f t="shared" si="47"/>
        <v>20908626.636363637</v>
      </c>
      <c r="AH156" s="226">
        <v>21079289.818181816</v>
      </c>
      <c r="AI156" s="226">
        <f t="shared" si="95"/>
        <v>21079289.818181816</v>
      </c>
      <c r="AJ156" s="226">
        <f t="shared" si="95"/>
        <v>21079289.818181816</v>
      </c>
      <c r="AK156" s="226">
        <f t="shared" si="95"/>
        <v>21079289.818181816</v>
      </c>
      <c r="AL156" s="226">
        <f t="shared" si="95"/>
        <v>21079289.818181816</v>
      </c>
      <c r="AM156" s="226">
        <f t="shared" si="95"/>
        <v>21079289.818181816</v>
      </c>
      <c r="AN156" s="235">
        <v>21079289.818181816</v>
      </c>
      <c r="AO156" s="235">
        <f t="shared" si="100"/>
        <v>21079289.818181816</v>
      </c>
      <c r="AP156" s="235">
        <f t="shared" si="100"/>
        <v>21079289.818181816</v>
      </c>
      <c r="AQ156" s="236">
        <f t="shared" si="100"/>
        <v>21079289.818181816</v>
      </c>
      <c r="AR156" s="236">
        <f t="shared" si="100"/>
        <v>21079289.818181816</v>
      </c>
      <c r="AS156" s="236">
        <f t="shared" si="100"/>
        <v>21079289.818181816</v>
      </c>
      <c r="AT156" s="236">
        <f t="shared" si="100"/>
        <v>21079289.818181816</v>
      </c>
      <c r="AU156" s="236">
        <f t="shared" si="100"/>
        <v>21079289.818181816</v>
      </c>
      <c r="AV156" s="236">
        <f t="shared" si="100"/>
        <v>21079289.818181816</v>
      </c>
      <c r="AW156" s="226">
        <v>20957039.09090909</v>
      </c>
      <c r="AX156" s="226">
        <f t="shared" si="98"/>
        <v>20957039.09090909</v>
      </c>
      <c r="AY156" s="226">
        <f t="shared" si="98"/>
        <v>20957039.09090909</v>
      </c>
      <c r="AZ156" s="226">
        <f t="shared" si="98"/>
        <v>20957039.09090909</v>
      </c>
      <c r="BA156" s="226">
        <f t="shared" si="98"/>
        <v>20957039.09090909</v>
      </c>
      <c r="BB156" s="226">
        <f t="shared" si="98"/>
        <v>20957039.09090909</v>
      </c>
      <c r="BC156" s="224">
        <v>20908626.636363637</v>
      </c>
      <c r="BD156" s="224">
        <f t="shared" si="98"/>
        <v>20908626.636363637</v>
      </c>
      <c r="BE156" s="224">
        <f t="shared" si="98"/>
        <v>20908626.636363637</v>
      </c>
      <c r="BF156" s="224">
        <f t="shared" si="98"/>
        <v>20908626.636363637</v>
      </c>
      <c r="BG156" s="224">
        <f t="shared" si="98"/>
        <v>20908626.636363637</v>
      </c>
      <c r="BH156" s="224">
        <f t="shared" si="98"/>
        <v>20908626.636363637</v>
      </c>
      <c r="BI156" s="224">
        <f t="shared" si="98"/>
        <v>20908626.636363637</v>
      </c>
      <c r="BJ156" s="224">
        <f t="shared" si="98"/>
        <v>20908626.636363637</v>
      </c>
      <c r="BK156" s="224">
        <f t="shared" si="98"/>
        <v>20908626.636363637</v>
      </c>
      <c r="BL156" s="224">
        <f t="shared" si="98"/>
        <v>20908626.636363637</v>
      </c>
      <c r="BM156" s="224">
        <f t="shared" si="98"/>
        <v>20908626.636363637</v>
      </c>
      <c r="BN156" s="224">
        <f t="shared" si="98"/>
        <v>20908626.636363637</v>
      </c>
      <c r="BO156" s="224">
        <f t="shared" si="98"/>
        <v>20908626.636363637</v>
      </c>
    </row>
    <row r="157" spans="1:67">
      <c r="A157" s="223" t="s">
        <v>132</v>
      </c>
      <c r="B157" s="151" t="s">
        <v>126</v>
      </c>
      <c r="C157" s="223">
        <v>155</v>
      </c>
      <c r="D157" s="224">
        <v>34681307.999999993</v>
      </c>
      <c r="E157" s="225">
        <f t="shared" si="99"/>
        <v>34681307.999999993</v>
      </c>
      <c r="F157" s="225">
        <f t="shared" si="99"/>
        <v>34681307.999999993</v>
      </c>
      <c r="G157" s="225">
        <f t="shared" si="99"/>
        <v>34681307.999999993</v>
      </c>
      <c r="H157" s="225">
        <f t="shared" si="99"/>
        <v>34681307.999999993</v>
      </c>
      <c r="I157" s="225">
        <f t="shared" si="99"/>
        <v>34681307.999999993</v>
      </c>
      <c r="J157" s="225">
        <f t="shared" si="99"/>
        <v>34681307.999999993</v>
      </c>
      <c r="K157" s="237">
        <v>34788089.818181813</v>
      </c>
      <c r="L157" s="237">
        <f t="shared" si="93"/>
        <v>34788089.818181813</v>
      </c>
      <c r="M157" s="237">
        <f t="shared" si="93"/>
        <v>34788089.818181813</v>
      </c>
      <c r="N157" s="237">
        <f t="shared" si="93"/>
        <v>34788089.818181813</v>
      </c>
      <c r="O157" s="237">
        <f t="shared" si="93"/>
        <v>34788089.818181813</v>
      </c>
      <c r="P157" s="237">
        <f t="shared" si="93"/>
        <v>34788089.818181813</v>
      </c>
      <c r="Q157" s="237">
        <f t="shared" si="93"/>
        <v>34788089.818181813</v>
      </c>
      <c r="R157" s="237">
        <f t="shared" si="93"/>
        <v>34788089.818181813</v>
      </c>
      <c r="S157" s="237">
        <f t="shared" si="93"/>
        <v>34788089.818181813</v>
      </c>
      <c r="T157" s="224">
        <v>34681307.999999993</v>
      </c>
      <c r="U157" s="224">
        <f t="shared" si="97"/>
        <v>34681307.999999993</v>
      </c>
      <c r="V157" s="224">
        <f t="shared" si="97"/>
        <v>34681307.999999993</v>
      </c>
      <c r="W157" s="224">
        <f t="shared" si="97"/>
        <v>34681307.999999993</v>
      </c>
      <c r="X157" s="226">
        <v>34681307.999999993</v>
      </c>
      <c r="Y157" s="226">
        <f t="shared" si="94"/>
        <v>34681307.999999993</v>
      </c>
      <c r="Z157" s="226">
        <f t="shared" si="94"/>
        <v>34681307.999999993</v>
      </c>
      <c r="AA157" s="224">
        <v>34681307.999999993</v>
      </c>
      <c r="AB157" s="224">
        <v>34681307.999999993</v>
      </c>
      <c r="AC157" s="224">
        <v>34681307.999999993</v>
      </c>
      <c r="AD157" s="224">
        <f t="shared" si="46"/>
        <v>34681307.999999993</v>
      </c>
      <c r="AE157" s="224">
        <v>34681307.999999993</v>
      </c>
      <c r="AF157" s="224">
        <v>34681307.999999993</v>
      </c>
      <c r="AG157" s="224">
        <f t="shared" si="47"/>
        <v>34681307.999999993</v>
      </c>
      <c r="AH157" s="226">
        <v>34982728.272727281</v>
      </c>
      <c r="AI157" s="226">
        <f t="shared" si="95"/>
        <v>34982728.272727281</v>
      </c>
      <c r="AJ157" s="226">
        <f t="shared" si="95"/>
        <v>34982728.272727281</v>
      </c>
      <c r="AK157" s="226">
        <f t="shared" si="95"/>
        <v>34982728.272727281</v>
      </c>
      <c r="AL157" s="226">
        <f t="shared" si="95"/>
        <v>34982728.272727281</v>
      </c>
      <c r="AM157" s="226">
        <f t="shared" si="95"/>
        <v>34982728.272727281</v>
      </c>
      <c r="AN157" s="235">
        <v>34982728.272727281</v>
      </c>
      <c r="AO157" s="235">
        <f t="shared" si="100"/>
        <v>34982728.272727281</v>
      </c>
      <c r="AP157" s="235">
        <f t="shared" si="100"/>
        <v>34982728.272727281</v>
      </c>
      <c r="AQ157" s="236">
        <f t="shared" si="100"/>
        <v>34982728.272727281</v>
      </c>
      <c r="AR157" s="236">
        <f t="shared" si="100"/>
        <v>34982728.272727281</v>
      </c>
      <c r="AS157" s="236">
        <f t="shared" si="100"/>
        <v>34982728.272727281</v>
      </c>
      <c r="AT157" s="236">
        <f t="shared" si="100"/>
        <v>34982728.272727281</v>
      </c>
      <c r="AU157" s="236">
        <f t="shared" si="100"/>
        <v>34982728.272727281</v>
      </c>
      <c r="AV157" s="236">
        <f t="shared" si="100"/>
        <v>34982728.272727281</v>
      </c>
      <c r="AW157" s="226">
        <v>34761605.454545453</v>
      </c>
      <c r="AX157" s="226">
        <f t="shared" si="98"/>
        <v>34761605.454545453</v>
      </c>
      <c r="AY157" s="226">
        <f t="shared" si="98"/>
        <v>34761605.454545453</v>
      </c>
      <c r="AZ157" s="226">
        <f t="shared" si="98"/>
        <v>34761605.454545453</v>
      </c>
      <c r="BA157" s="226">
        <f t="shared" si="98"/>
        <v>34761605.454545453</v>
      </c>
      <c r="BB157" s="226">
        <f t="shared" si="98"/>
        <v>34761605.454545453</v>
      </c>
      <c r="BC157" s="224">
        <v>34681307.999999993</v>
      </c>
      <c r="BD157" s="224">
        <f t="shared" si="98"/>
        <v>34681307.999999993</v>
      </c>
      <c r="BE157" s="224">
        <f t="shared" si="98"/>
        <v>34681307.999999993</v>
      </c>
      <c r="BF157" s="224">
        <f t="shared" si="98"/>
        <v>34681307.999999993</v>
      </c>
      <c r="BG157" s="224">
        <f t="shared" si="98"/>
        <v>34681307.999999993</v>
      </c>
      <c r="BH157" s="224">
        <f t="shared" si="98"/>
        <v>34681307.999999993</v>
      </c>
      <c r="BI157" s="224">
        <f t="shared" si="98"/>
        <v>34681307.999999993</v>
      </c>
      <c r="BJ157" s="224">
        <f t="shared" si="98"/>
        <v>34681307.999999993</v>
      </c>
      <c r="BK157" s="224">
        <f t="shared" si="98"/>
        <v>34681307.999999993</v>
      </c>
      <c r="BL157" s="224">
        <f t="shared" si="98"/>
        <v>34681307.999999993</v>
      </c>
      <c r="BM157" s="224">
        <f t="shared" si="98"/>
        <v>34681307.999999993</v>
      </c>
      <c r="BN157" s="224">
        <f t="shared" si="98"/>
        <v>34681307.999999993</v>
      </c>
      <c r="BO157" s="224">
        <f t="shared" si="98"/>
        <v>34681307.999999993</v>
      </c>
    </row>
    <row r="158" spans="1:67">
      <c r="A158" s="223" t="s">
        <v>133</v>
      </c>
      <c r="B158" s="151" t="s">
        <v>127</v>
      </c>
      <c r="C158" s="223">
        <v>156</v>
      </c>
      <c r="D158" s="224">
        <v>62995337.454545438</v>
      </c>
      <c r="E158" s="225">
        <f t="shared" si="99"/>
        <v>62995337.454545438</v>
      </c>
      <c r="F158" s="225">
        <f t="shared" si="99"/>
        <v>62995337.454545438</v>
      </c>
      <c r="G158" s="225">
        <f t="shared" si="99"/>
        <v>62995337.454545438</v>
      </c>
      <c r="H158" s="225">
        <f t="shared" si="99"/>
        <v>62995337.454545438</v>
      </c>
      <c r="I158" s="225">
        <f t="shared" si="99"/>
        <v>62995337.454545438</v>
      </c>
      <c r="J158" s="225">
        <f t="shared" si="99"/>
        <v>62995337.454545438</v>
      </c>
      <c r="K158" s="237">
        <v>63208901.090909071</v>
      </c>
      <c r="L158" s="237">
        <f t="shared" si="93"/>
        <v>63208901.090909071</v>
      </c>
      <c r="M158" s="237">
        <f t="shared" si="93"/>
        <v>63208901.090909071</v>
      </c>
      <c r="N158" s="237">
        <f t="shared" si="93"/>
        <v>63208901.090909071</v>
      </c>
      <c r="O158" s="237">
        <f t="shared" si="93"/>
        <v>63208901.090909071</v>
      </c>
      <c r="P158" s="237">
        <f t="shared" si="93"/>
        <v>63208901.090909071</v>
      </c>
      <c r="Q158" s="237">
        <f t="shared" si="93"/>
        <v>63208901.090909071</v>
      </c>
      <c r="R158" s="237">
        <f t="shared" si="93"/>
        <v>63208901.090909071</v>
      </c>
      <c r="S158" s="237">
        <f t="shared" si="93"/>
        <v>63208901.090909071</v>
      </c>
      <c r="T158" s="224">
        <v>62995337.454545438</v>
      </c>
      <c r="U158" s="224">
        <f t="shared" si="97"/>
        <v>62995337.454545438</v>
      </c>
      <c r="V158" s="224">
        <f t="shared" si="97"/>
        <v>62995337.454545438</v>
      </c>
      <c r="W158" s="224">
        <f t="shared" si="97"/>
        <v>62995337.454545438</v>
      </c>
      <c r="X158" s="226">
        <v>62995337.454545438</v>
      </c>
      <c r="Y158" s="226">
        <f t="shared" si="94"/>
        <v>62995337.454545438</v>
      </c>
      <c r="Z158" s="226">
        <f t="shared" si="94"/>
        <v>62995337.454545438</v>
      </c>
      <c r="AA158" s="224">
        <v>62995337.454545438</v>
      </c>
      <c r="AB158" s="224">
        <v>62995337.454545438</v>
      </c>
      <c r="AC158" s="224">
        <v>62995337.454545438</v>
      </c>
      <c r="AD158" s="224">
        <f t="shared" si="46"/>
        <v>62995337.454545438</v>
      </c>
      <c r="AE158" s="224">
        <v>62995337.454545438</v>
      </c>
      <c r="AF158" s="224">
        <v>62995337.454545438</v>
      </c>
      <c r="AG158" s="224">
        <f t="shared" si="47"/>
        <v>62995337.454545438</v>
      </c>
      <c r="AH158" s="226">
        <v>63562573.090909094</v>
      </c>
      <c r="AI158" s="226">
        <f t="shared" si="95"/>
        <v>63562573.090909094</v>
      </c>
      <c r="AJ158" s="226">
        <f t="shared" si="95"/>
        <v>63562573.090909094</v>
      </c>
      <c r="AK158" s="226">
        <f t="shared" si="95"/>
        <v>63562573.090909094</v>
      </c>
      <c r="AL158" s="226">
        <f t="shared" si="95"/>
        <v>63562573.090909094</v>
      </c>
      <c r="AM158" s="226">
        <f t="shared" si="95"/>
        <v>63562573.090909094</v>
      </c>
      <c r="AN158" s="235">
        <v>63562573.090909094</v>
      </c>
      <c r="AO158" s="235">
        <f t="shared" si="100"/>
        <v>63562573.090909094</v>
      </c>
      <c r="AP158" s="235">
        <f t="shared" si="100"/>
        <v>63562573.090909094</v>
      </c>
      <c r="AQ158" s="236">
        <f t="shared" si="100"/>
        <v>63562573.090909094</v>
      </c>
      <c r="AR158" s="236">
        <f t="shared" si="100"/>
        <v>63562573.090909094</v>
      </c>
      <c r="AS158" s="236">
        <f t="shared" si="100"/>
        <v>63562573.090909094</v>
      </c>
      <c r="AT158" s="236">
        <f t="shared" si="100"/>
        <v>63562573.090909094</v>
      </c>
      <c r="AU158" s="236">
        <f t="shared" si="100"/>
        <v>63562573.090909094</v>
      </c>
      <c r="AV158" s="236">
        <f t="shared" si="100"/>
        <v>63562573.090909094</v>
      </c>
      <c r="AW158" s="226">
        <v>63141180.363636367</v>
      </c>
      <c r="AX158" s="226">
        <f t="shared" si="98"/>
        <v>63141180.363636367</v>
      </c>
      <c r="AY158" s="226">
        <f t="shared" si="98"/>
        <v>63141180.363636367</v>
      </c>
      <c r="AZ158" s="226">
        <f t="shared" si="98"/>
        <v>63141180.363636367</v>
      </c>
      <c r="BA158" s="226">
        <f t="shared" si="98"/>
        <v>63141180.363636367</v>
      </c>
      <c r="BB158" s="226">
        <f t="shared" si="98"/>
        <v>63141180.363636367</v>
      </c>
      <c r="BC158" s="224">
        <v>62995337.454545438</v>
      </c>
      <c r="BD158" s="224">
        <f t="shared" si="98"/>
        <v>62995337.454545438</v>
      </c>
      <c r="BE158" s="224">
        <f t="shared" si="98"/>
        <v>62995337.454545438</v>
      </c>
      <c r="BF158" s="224">
        <f t="shared" si="98"/>
        <v>62995337.454545438</v>
      </c>
      <c r="BG158" s="224">
        <f t="shared" si="98"/>
        <v>62995337.454545438</v>
      </c>
      <c r="BH158" s="224">
        <f t="shared" si="98"/>
        <v>62995337.454545438</v>
      </c>
      <c r="BI158" s="224">
        <f t="shared" si="98"/>
        <v>62995337.454545438</v>
      </c>
      <c r="BJ158" s="224">
        <f t="shared" si="98"/>
        <v>62995337.454545438</v>
      </c>
      <c r="BK158" s="224">
        <f t="shared" si="98"/>
        <v>62995337.454545438</v>
      </c>
      <c r="BL158" s="224">
        <f t="shared" si="98"/>
        <v>62995337.454545438</v>
      </c>
      <c r="BM158" s="224">
        <f t="shared" si="98"/>
        <v>62995337.454545438</v>
      </c>
      <c r="BN158" s="224">
        <f t="shared" si="98"/>
        <v>62995337.454545438</v>
      </c>
      <c r="BO158" s="224">
        <f t="shared" si="98"/>
        <v>62995337.454545438</v>
      </c>
    </row>
    <row r="159" spans="1:67">
      <c r="A159" s="223" t="s">
        <v>134</v>
      </c>
      <c r="B159" s="151" t="s">
        <v>128</v>
      </c>
      <c r="C159" s="223">
        <v>157</v>
      </c>
      <c r="D159" s="224">
        <v>27882353.727272723</v>
      </c>
      <c r="E159" s="225">
        <f t="shared" si="99"/>
        <v>27882353.727272723</v>
      </c>
      <c r="F159" s="225">
        <f t="shared" si="99"/>
        <v>27882353.727272723</v>
      </c>
      <c r="G159" s="225">
        <f t="shared" si="99"/>
        <v>27882353.727272723</v>
      </c>
      <c r="H159" s="225">
        <f t="shared" si="99"/>
        <v>27882353.727272723</v>
      </c>
      <c r="I159" s="225">
        <f t="shared" si="99"/>
        <v>27882353.727272723</v>
      </c>
      <c r="J159" s="225">
        <f t="shared" si="99"/>
        <v>27882353.727272723</v>
      </c>
      <c r="K159" s="237">
        <v>28695495.090909086</v>
      </c>
      <c r="L159" s="237">
        <f t="shared" si="93"/>
        <v>28695495.090909086</v>
      </c>
      <c r="M159" s="237">
        <f t="shared" si="93"/>
        <v>28695495.090909086</v>
      </c>
      <c r="N159" s="237">
        <f t="shared" si="93"/>
        <v>28695495.090909086</v>
      </c>
      <c r="O159" s="237">
        <f t="shared" si="93"/>
        <v>28695495.090909086</v>
      </c>
      <c r="P159" s="237">
        <f t="shared" si="93"/>
        <v>28695495.090909086</v>
      </c>
      <c r="Q159" s="237">
        <f t="shared" si="93"/>
        <v>28695495.090909086</v>
      </c>
      <c r="R159" s="237">
        <f t="shared" si="93"/>
        <v>28695495.090909086</v>
      </c>
      <c r="S159" s="237">
        <f t="shared" si="93"/>
        <v>28695495.090909086</v>
      </c>
      <c r="T159" s="224">
        <v>27882353.727272723</v>
      </c>
      <c r="U159" s="224">
        <f t="shared" si="97"/>
        <v>27882353.727272723</v>
      </c>
      <c r="V159" s="224">
        <f t="shared" si="97"/>
        <v>27882353.727272723</v>
      </c>
      <c r="W159" s="224">
        <f t="shared" si="97"/>
        <v>27882353.727272723</v>
      </c>
      <c r="X159" s="226">
        <v>27882353.727272723</v>
      </c>
      <c r="Y159" s="226">
        <f t="shared" si="94"/>
        <v>27882353.727272723</v>
      </c>
      <c r="Z159" s="226">
        <f t="shared" si="94"/>
        <v>27882353.727272723</v>
      </c>
      <c r="AA159" s="224">
        <v>27882353.727272723</v>
      </c>
      <c r="AB159" s="224">
        <v>27882353.727272723</v>
      </c>
      <c r="AC159" s="224">
        <v>27882353.727272723</v>
      </c>
      <c r="AD159" s="224">
        <f t="shared" si="46"/>
        <v>27882353.727272723</v>
      </c>
      <c r="AE159" s="224">
        <v>27882353.727272723</v>
      </c>
      <c r="AF159" s="224">
        <v>27882353.727272723</v>
      </c>
      <c r="AG159" s="224">
        <f t="shared" si="47"/>
        <v>27882353.727272723</v>
      </c>
      <c r="AH159" s="226">
        <v>28856066.36363636</v>
      </c>
      <c r="AI159" s="226">
        <f t="shared" si="95"/>
        <v>28856066.36363636</v>
      </c>
      <c r="AJ159" s="226">
        <f t="shared" si="95"/>
        <v>28856066.36363636</v>
      </c>
      <c r="AK159" s="226">
        <f t="shared" si="95"/>
        <v>28856066.36363636</v>
      </c>
      <c r="AL159" s="226">
        <f t="shared" si="95"/>
        <v>28856066.36363636</v>
      </c>
      <c r="AM159" s="226">
        <f t="shared" si="95"/>
        <v>28856066.36363636</v>
      </c>
      <c r="AN159" s="235">
        <v>28856066.36363636</v>
      </c>
      <c r="AO159" s="235">
        <f t="shared" si="100"/>
        <v>28856066.36363636</v>
      </c>
      <c r="AP159" s="235">
        <f t="shared" si="100"/>
        <v>28856066.36363636</v>
      </c>
      <c r="AQ159" s="236">
        <f t="shared" si="100"/>
        <v>28856066.36363636</v>
      </c>
      <c r="AR159" s="236">
        <f t="shared" si="100"/>
        <v>28856066.36363636</v>
      </c>
      <c r="AS159" s="236">
        <f t="shared" si="100"/>
        <v>28856066.36363636</v>
      </c>
      <c r="AT159" s="236">
        <f t="shared" si="100"/>
        <v>28856066.36363636</v>
      </c>
      <c r="AU159" s="236">
        <f t="shared" si="100"/>
        <v>28856066.36363636</v>
      </c>
      <c r="AV159" s="236">
        <f t="shared" si="100"/>
        <v>28856066.36363636</v>
      </c>
      <c r="AW159" s="226">
        <v>27946866.454545453</v>
      </c>
      <c r="AX159" s="226">
        <f t="shared" si="98"/>
        <v>27946866.454545453</v>
      </c>
      <c r="AY159" s="226">
        <f t="shared" si="98"/>
        <v>27946866.454545453</v>
      </c>
      <c r="AZ159" s="226">
        <f t="shared" si="98"/>
        <v>27946866.454545453</v>
      </c>
      <c r="BA159" s="226">
        <f t="shared" si="98"/>
        <v>27946866.454545453</v>
      </c>
      <c r="BB159" s="226">
        <f t="shared" si="98"/>
        <v>27946866.454545453</v>
      </c>
      <c r="BC159" s="224">
        <v>27882353.727272723</v>
      </c>
      <c r="BD159" s="224">
        <f t="shared" si="98"/>
        <v>27882353.727272723</v>
      </c>
      <c r="BE159" s="224">
        <f t="shared" si="98"/>
        <v>27882353.727272723</v>
      </c>
      <c r="BF159" s="224">
        <f t="shared" si="98"/>
        <v>27882353.727272723</v>
      </c>
      <c r="BG159" s="224">
        <f t="shared" si="98"/>
        <v>27882353.727272723</v>
      </c>
      <c r="BH159" s="224">
        <f t="shared" si="98"/>
        <v>27882353.727272723</v>
      </c>
      <c r="BI159" s="224">
        <f t="shared" si="98"/>
        <v>27882353.727272723</v>
      </c>
      <c r="BJ159" s="224">
        <f t="shared" si="98"/>
        <v>27882353.727272723</v>
      </c>
      <c r="BK159" s="224">
        <f t="shared" si="98"/>
        <v>27882353.727272723</v>
      </c>
      <c r="BL159" s="224">
        <f t="shared" si="98"/>
        <v>27882353.727272723</v>
      </c>
      <c r="BM159" s="224">
        <f t="shared" si="98"/>
        <v>27882353.727272723</v>
      </c>
      <c r="BN159" s="224">
        <f t="shared" si="98"/>
        <v>27882353.727272723</v>
      </c>
      <c r="BO159" s="224">
        <f t="shared" si="98"/>
        <v>27882353.727272723</v>
      </c>
    </row>
    <row r="160" spans="1:67">
      <c r="A160" s="223" t="s">
        <v>135</v>
      </c>
      <c r="B160" s="151" t="s">
        <v>129</v>
      </c>
      <c r="C160" s="223">
        <v>158</v>
      </c>
      <c r="D160" s="224">
        <v>46871206.909090906</v>
      </c>
      <c r="E160" s="225">
        <f t="shared" si="99"/>
        <v>46871206.909090906</v>
      </c>
      <c r="F160" s="225">
        <f t="shared" si="99"/>
        <v>46871206.909090906</v>
      </c>
      <c r="G160" s="225">
        <f t="shared" si="99"/>
        <v>46871206.909090906</v>
      </c>
      <c r="H160" s="225">
        <f t="shared" si="99"/>
        <v>46871206.909090906</v>
      </c>
      <c r="I160" s="225">
        <f t="shared" si="99"/>
        <v>46871206.909090906</v>
      </c>
      <c r="J160" s="225">
        <f t="shared" si="99"/>
        <v>46871206.909090906</v>
      </c>
      <c r="K160" s="237">
        <v>47732400.090909086</v>
      </c>
      <c r="L160" s="237">
        <f t="shared" si="93"/>
        <v>47732400.090909086</v>
      </c>
      <c r="M160" s="237">
        <f t="shared" si="93"/>
        <v>47732400.090909086</v>
      </c>
      <c r="N160" s="237">
        <f t="shared" si="93"/>
        <v>47732400.090909086</v>
      </c>
      <c r="O160" s="237">
        <f t="shared" si="93"/>
        <v>47732400.090909086</v>
      </c>
      <c r="P160" s="237">
        <f t="shared" si="93"/>
        <v>47732400.090909086</v>
      </c>
      <c r="Q160" s="237">
        <f t="shared" si="93"/>
        <v>47732400.090909086</v>
      </c>
      <c r="R160" s="237">
        <f t="shared" si="93"/>
        <v>47732400.090909086</v>
      </c>
      <c r="S160" s="237">
        <f t="shared" si="93"/>
        <v>47732400.090909086</v>
      </c>
      <c r="T160" s="224">
        <v>46871206.909090906</v>
      </c>
      <c r="U160" s="224">
        <f t="shared" si="97"/>
        <v>46871206.909090906</v>
      </c>
      <c r="V160" s="224">
        <f t="shared" si="97"/>
        <v>46871206.909090906</v>
      </c>
      <c r="W160" s="224">
        <f t="shared" si="97"/>
        <v>46871206.909090906</v>
      </c>
      <c r="X160" s="226">
        <v>46871206.909090906</v>
      </c>
      <c r="Y160" s="226">
        <f t="shared" si="94"/>
        <v>46871206.909090906</v>
      </c>
      <c r="Z160" s="226">
        <f t="shared" si="94"/>
        <v>46871206.909090906</v>
      </c>
      <c r="AA160" s="224">
        <v>46871206.909090906</v>
      </c>
      <c r="AB160" s="224">
        <v>46871206.909090906</v>
      </c>
      <c r="AC160" s="224">
        <v>46871206.909090906</v>
      </c>
      <c r="AD160" s="224">
        <f t="shared" si="46"/>
        <v>46871206.909090906</v>
      </c>
      <c r="AE160" s="224">
        <v>46871206.909090906</v>
      </c>
      <c r="AF160" s="224">
        <v>46871206.909090906</v>
      </c>
      <c r="AG160" s="224">
        <f t="shared" si="47"/>
        <v>46871206.909090906</v>
      </c>
      <c r="AH160" s="226">
        <v>47999519.81818182</v>
      </c>
      <c r="AI160" s="226">
        <f t="shared" si="95"/>
        <v>47999519.81818182</v>
      </c>
      <c r="AJ160" s="226">
        <f t="shared" si="95"/>
        <v>47999519.81818182</v>
      </c>
      <c r="AK160" s="226">
        <f t="shared" si="95"/>
        <v>47999519.81818182</v>
      </c>
      <c r="AL160" s="226">
        <f t="shared" si="95"/>
        <v>47999519.81818182</v>
      </c>
      <c r="AM160" s="226">
        <f t="shared" si="95"/>
        <v>47999519.81818182</v>
      </c>
      <c r="AN160" s="235">
        <v>47999519.81818182</v>
      </c>
      <c r="AO160" s="235">
        <f t="shared" si="100"/>
        <v>47999519.81818182</v>
      </c>
      <c r="AP160" s="235">
        <f t="shared" si="100"/>
        <v>47999519.81818182</v>
      </c>
      <c r="AQ160" s="236">
        <f t="shared" si="100"/>
        <v>47999519.81818182</v>
      </c>
      <c r="AR160" s="236">
        <f t="shared" si="100"/>
        <v>47999519.81818182</v>
      </c>
      <c r="AS160" s="236">
        <f t="shared" si="100"/>
        <v>47999519.81818182</v>
      </c>
      <c r="AT160" s="236">
        <f t="shared" si="100"/>
        <v>47999519.81818182</v>
      </c>
      <c r="AU160" s="236">
        <f t="shared" si="100"/>
        <v>47999519.81818182</v>
      </c>
      <c r="AV160" s="236">
        <f t="shared" si="100"/>
        <v>47999519.81818182</v>
      </c>
      <c r="AW160" s="226">
        <v>46979635.727272727</v>
      </c>
      <c r="AX160" s="226">
        <f t="shared" si="98"/>
        <v>46979635.727272727</v>
      </c>
      <c r="AY160" s="226">
        <f t="shared" si="98"/>
        <v>46979635.727272727</v>
      </c>
      <c r="AZ160" s="226">
        <f t="shared" si="98"/>
        <v>46979635.727272727</v>
      </c>
      <c r="BA160" s="226">
        <f t="shared" si="98"/>
        <v>46979635.727272727</v>
      </c>
      <c r="BB160" s="226">
        <f t="shared" si="98"/>
        <v>46979635.727272727</v>
      </c>
      <c r="BC160" s="224">
        <v>46871206.909090906</v>
      </c>
      <c r="BD160" s="224">
        <f t="shared" si="98"/>
        <v>46871206.909090906</v>
      </c>
      <c r="BE160" s="224">
        <f t="shared" si="98"/>
        <v>46871206.909090906</v>
      </c>
      <c r="BF160" s="224">
        <f t="shared" si="98"/>
        <v>46871206.909090906</v>
      </c>
      <c r="BG160" s="224">
        <f t="shared" si="98"/>
        <v>46871206.909090906</v>
      </c>
      <c r="BH160" s="224">
        <f t="shared" si="98"/>
        <v>46871206.909090906</v>
      </c>
      <c r="BI160" s="224">
        <f t="shared" si="98"/>
        <v>46871206.909090906</v>
      </c>
      <c r="BJ160" s="224">
        <f t="shared" si="98"/>
        <v>46871206.909090906</v>
      </c>
      <c r="BK160" s="224">
        <f t="shared" si="98"/>
        <v>46871206.909090906</v>
      </c>
      <c r="BL160" s="224">
        <f t="shared" si="98"/>
        <v>46871206.909090906</v>
      </c>
      <c r="BM160" s="224">
        <f t="shared" si="98"/>
        <v>46871206.909090906</v>
      </c>
      <c r="BN160" s="224">
        <f t="shared" si="98"/>
        <v>46871206.909090906</v>
      </c>
      <c r="BO160" s="224">
        <f t="shared" si="98"/>
        <v>46871206.909090906</v>
      </c>
    </row>
    <row r="161" spans="1:67">
      <c r="A161" s="223" t="s">
        <v>136</v>
      </c>
      <c r="B161" s="151" t="s">
        <v>130</v>
      </c>
      <c r="C161" s="223">
        <v>159</v>
      </c>
      <c r="D161" s="224">
        <v>84848913.181818187</v>
      </c>
      <c r="E161" s="225">
        <f t="shared" si="99"/>
        <v>84848913.181818187</v>
      </c>
      <c r="F161" s="225">
        <f t="shared" si="99"/>
        <v>84848913.181818187</v>
      </c>
      <c r="G161" s="225">
        <f t="shared" si="99"/>
        <v>84848913.181818187</v>
      </c>
      <c r="H161" s="225">
        <f t="shared" si="99"/>
        <v>84848913.181818187</v>
      </c>
      <c r="I161" s="225">
        <f t="shared" si="99"/>
        <v>84848913.181818187</v>
      </c>
      <c r="J161" s="225">
        <f t="shared" si="99"/>
        <v>84848913.181818187</v>
      </c>
      <c r="K161" s="237">
        <v>85806210</v>
      </c>
      <c r="L161" s="237">
        <f t="shared" si="93"/>
        <v>85806210</v>
      </c>
      <c r="M161" s="237">
        <f t="shared" si="93"/>
        <v>85806210</v>
      </c>
      <c r="N161" s="237">
        <f t="shared" si="93"/>
        <v>85806210</v>
      </c>
      <c r="O161" s="237">
        <f t="shared" si="93"/>
        <v>85806210</v>
      </c>
      <c r="P161" s="237">
        <f t="shared" si="93"/>
        <v>85806210</v>
      </c>
      <c r="Q161" s="237">
        <f t="shared" si="93"/>
        <v>85806210</v>
      </c>
      <c r="R161" s="237">
        <f t="shared" si="93"/>
        <v>85806210</v>
      </c>
      <c r="S161" s="237">
        <f t="shared" si="93"/>
        <v>85806210</v>
      </c>
      <c r="T161" s="224">
        <v>84848913.181818187</v>
      </c>
      <c r="U161" s="224">
        <f t="shared" si="97"/>
        <v>84848913.181818187</v>
      </c>
      <c r="V161" s="224">
        <f t="shared" si="97"/>
        <v>84848913.181818187</v>
      </c>
      <c r="W161" s="224">
        <f t="shared" si="97"/>
        <v>84848913.181818187</v>
      </c>
      <c r="X161" s="226">
        <v>84848913.181818187</v>
      </c>
      <c r="Y161" s="226">
        <f t="shared" si="94"/>
        <v>84848913.181818187</v>
      </c>
      <c r="Z161" s="226">
        <f t="shared" si="94"/>
        <v>84848913.181818187</v>
      </c>
      <c r="AA161" s="224">
        <v>84848913.181818187</v>
      </c>
      <c r="AB161" s="224">
        <v>84848913.181818187</v>
      </c>
      <c r="AC161" s="224">
        <v>84848913.181818187</v>
      </c>
      <c r="AD161" s="224">
        <f t="shared" si="46"/>
        <v>84848913.181818187</v>
      </c>
      <c r="AE161" s="224">
        <v>84848913.181818187</v>
      </c>
      <c r="AF161" s="224">
        <v>84848913.181818187</v>
      </c>
      <c r="AG161" s="224">
        <f t="shared" si="47"/>
        <v>84848913.181818187</v>
      </c>
      <c r="AH161" s="226">
        <v>86286426.727272719</v>
      </c>
      <c r="AI161" s="226">
        <f t="shared" si="95"/>
        <v>86286426.727272719</v>
      </c>
      <c r="AJ161" s="226">
        <f t="shared" si="95"/>
        <v>86286426.727272719</v>
      </c>
      <c r="AK161" s="226">
        <f t="shared" si="95"/>
        <v>86286426.727272719</v>
      </c>
      <c r="AL161" s="226">
        <f t="shared" si="95"/>
        <v>86286426.727272719</v>
      </c>
      <c r="AM161" s="226">
        <f t="shared" si="95"/>
        <v>86286426.727272719</v>
      </c>
      <c r="AN161" s="235">
        <v>86286426.727272719</v>
      </c>
      <c r="AO161" s="235">
        <f t="shared" si="100"/>
        <v>86286426.727272719</v>
      </c>
      <c r="AP161" s="235">
        <f t="shared" si="100"/>
        <v>86286426.727272719</v>
      </c>
      <c r="AQ161" s="236">
        <f t="shared" si="100"/>
        <v>86286426.727272719</v>
      </c>
      <c r="AR161" s="236">
        <f t="shared" si="100"/>
        <v>86286426.727272719</v>
      </c>
      <c r="AS161" s="236">
        <f t="shared" si="100"/>
        <v>86286426.727272719</v>
      </c>
      <c r="AT161" s="236">
        <f t="shared" si="100"/>
        <v>86286426.727272719</v>
      </c>
      <c r="AU161" s="236">
        <f t="shared" si="100"/>
        <v>86286426.727272719</v>
      </c>
      <c r="AV161" s="236">
        <f t="shared" si="100"/>
        <v>86286426.727272719</v>
      </c>
      <c r="AW161" s="226">
        <v>85045174.36363636</v>
      </c>
      <c r="AX161" s="226">
        <f t="shared" si="98"/>
        <v>85045174.36363636</v>
      </c>
      <c r="AY161" s="226">
        <f t="shared" si="98"/>
        <v>85045174.36363636</v>
      </c>
      <c r="AZ161" s="226">
        <f t="shared" si="98"/>
        <v>85045174.36363636</v>
      </c>
      <c r="BA161" s="226">
        <f t="shared" si="98"/>
        <v>85045174.36363636</v>
      </c>
      <c r="BB161" s="226">
        <f t="shared" si="98"/>
        <v>85045174.36363636</v>
      </c>
      <c r="BC161" s="224">
        <v>84848913.181818187</v>
      </c>
      <c r="BD161" s="224">
        <f t="shared" si="98"/>
        <v>84848913.181818187</v>
      </c>
      <c r="BE161" s="224">
        <f t="shared" si="98"/>
        <v>84848913.181818187</v>
      </c>
      <c r="BF161" s="224">
        <f t="shared" si="98"/>
        <v>84848913.181818187</v>
      </c>
      <c r="BG161" s="224">
        <f t="shared" si="98"/>
        <v>84848913.181818187</v>
      </c>
      <c r="BH161" s="224">
        <f t="shared" si="98"/>
        <v>84848913.181818187</v>
      </c>
      <c r="BI161" s="224">
        <f t="shared" si="98"/>
        <v>84848913.181818187</v>
      </c>
      <c r="BJ161" s="224">
        <f t="shared" si="98"/>
        <v>84848913.181818187</v>
      </c>
      <c r="BK161" s="224">
        <f t="shared" si="98"/>
        <v>84848913.181818187</v>
      </c>
      <c r="BL161" s="224">
        <f t="shared" si="98"/>
        <v>84848913.181818187</v>
      </c>
      <c r="BM161" s="224">
        <f t="shared" si="98"/>
        <v>84848913.181818187</v>
      </c>
      <c r="BN161" s="224">
        <f t="shared" si="98"/>
        <v>84848913.181818187</v>
      </c>
      <c r="BO161" s="224">
        <f t="shared" si="98"/>
        <v>84848913.181818187</v>
      </c>
    </row>
    <row r="162" spans="1:67">
      <c r="A162" s="229" t="s">
        <v>224</v>
      </c>
      <c r="B162" s="230" t="s">
        <v>138</v>
      </c>
      <c r="C162" s="223">
        <v>160</v>
      </c>
      <c r="D162" s="224"/>
      <c r="E162" s="225">
        <f t="shared" si="99"/>
        <v>0</v>
      </c>
      <c r="F162" s="225">
        <f t="shared" si="99"/>
        <v>0</v>
      </c>
      <c r="G162" s="225">
        <f t="shared" si="99"/>
        <v>0</v>
      </c>
      <c r="H162" s="225">
        <f t="shared" si="99"/>
        <v>0</v>
      </c>
      <c r="I162" s="225">
        <f t="shared" si="99"/>
        <v>0</v>
      </c>
      <c r="J162" s="225">
        <f t="shared" si="99"/>
        <v>0</v>
      </c>
      <c r="K162" s="237"/>
      <c r="L162" s="237">
        <f t="shared" si="93"/>
        <v>0</v>
      </c>
      <c r="M162" s="237">
        <f t="shared" si="93"/>
        <v>0</v>
      </c>
      <c r="N162" s="237">
        <f t="shared" si="93"/>
        <v>0</v>
      </c>
      <c r="O162" s="237">
        <f t="shared" si="93"/>
        <v>0</v>
      </c>
      <c r="P162" s="237">
        <f t="shared" si="93"/>
        <v>0</v>
      </c>
      <c r="Q162" s="237">
        <f t="shared" si="93"/>
        <v>0</v>
      </c>
      <c r="R162" s="237">
        <f t="shared" si="93"/>
        <v>0</v>
      </c>
      <c r="S162" s="237">
        <f t="shared" si="93"/>
        <v>0</v>
      </c>
      <c r="T162" s="224"/>
      <c r="U162" s="224">
        <f t="shared" si="97"/>
        <v>0</v>
      </c>
      <c r="V162" s="224">
        <f t="shared" si="97"/>
        <v>0</v>
      </c>
      <c r="W162" s="224">
        <f t="shared" si="97"/>
        <v>0</v>
      </c>
      <c r="X162" s="226"/>
      <c r="Y162" s="226">
        <f t="shared" si="94"/>
        <v>0</v>
      </c>
      <c r="Z162" s="226">
        <f t="shared" si="94"/>
        <v>0</v>
      </c>
      <c r="AA162" s="224"/>
      <c r="AB162" s="224"/>
      <c r="AC162" s="224"/>
      <c r="AD162" s="224">
        <f t="shared" si="46"/>
        <v>0</v>
      </c>
      <c r="AE162" s="224"/>
      <c r="AF162" s="224"/>
      <c r="AG162" s="224">
        <f t="shared" si="47"/>
        <v>0</v>
      </c>
      <c r="AH162" s="226"/>
      <c r="AI162" s="226">
        <f t="shared" si="95"/>
        <v>0</v>
      </c>
      <c r="AJ162" s="226">
        <f t="shared" si="95"/>
        <v>0</v>
      </c>
      <c r="AK162" s="226">
        <f t="shared" si="95"/>
        <v>0</v>
      </c>
      <c r="AL162" s="226">
        <f t="shared" si="95"/>
        <v>0</v>
      </c>
      <c r="AM162" s="226">
        <f t="shared" si="95"/>
        <v>0</v>
      </c>
      <c r="AN162" s="235"/>
      <c r="AO162" s="235">
        <f t="shared" si="100"/>
        <v>0</v>
      </c>
      <c r="AP162" s="235">
        <f t="shared" si="100"/>
        <v>0</v>
      </c>
      <c r="AQ162" s="236">
        <f t="shared" si="100"/>
        <v>0</v>
      </c>
      <c r="AR162" s="236">
        <f t="shared" si="100"/>
        <v>0</v>
      </c>
      <c r="AS162" s="236">
        <f t="shared" si="100"/>
        <v>0</v>
      </c>
      <c r="AT162" s="236">
        <f t="shared" si="100"/>
        <v>0</v>
      </c>
      <c r="AU162" s="236">
        <f t="shared" si="100"/>
        <v>0</v>
      </c>
      <c r="AV162" s="236">
        <f t="shared" si="100"/>
        <v>0</v>
      </c>
      <c r="AW162" s="226"/>
      <c r="AX162" s="226">
        <f t="shared" si="98"/>
        <v>0</v>
      </c>
      <c r="AY162" s="226">
        <f t="shared" si="98"/>
        <v>0</v>
      </c>
      <c r="AZ162" s="226">
        <f t="shared" si="98"/>
        <v>0</v>
      </c>
      <c r="BA162" s="226">
        <f t="shared" si="98"/>
        <v>0</v>
      </c>
      <c r="BB162" s="226">
        <f t="shared" si="98"/>
        <v>0</v>
      </c>
      <c r="BC162" s="224"/>
      <c r="BD162" s="224">
        <f t="shared" si="98"/>
        <v>0</v>
      </c>
      <c r="BE162" s="224">
        <f t="shared" si="98"/>
        <v>0</v>
      </c>
      <c r="BF162" s="224">
        <f t="shared" si="98"/>
        <v>0</v>
      </c>
      <c r="BG162" s="224">
        <f t="shared" si="98"/>
        <v>0</v>
      </c>
      <c r="BH162" s="224">
        <f t="shared" si="98"/>
        <v>0</v>
      </c>
      <c r="BI162" s="224">
        <f t="shared" si="98"/>
        <v>0</v>
      </c>
      <c r="BJ162" s="224">
        <f t="shared" si="98"/>
        <v>0</v>
      </c>
      <c r="BK162" s="224">
        <f t="shared" si="98"/>
        <v>0</v>
      </c>
      <c r="BL162" s="224">
        <f t="shared" si="98"/>
        <v>0</v>
      </c>
      <c r="BM162" s="224">
        <f t="shared" si="98"/>
        <v>0</v>
      </c>
      <c r="BN162" s="224">
        <f t="shared" si="98"/>
        <v>0</v>
      </c>
      <c r="BO162" s="224">
        <f t="shared" si="98"/>
        <v>0</v>
      </c>
    </row>
    <row r="163" spans="1:67">
      <c r="A163" s="229" t="s">
        <v>28</v>
      </c>
      <c r="B163" s="230" t="s">
        <v>309</v>
      </c>
      <c r="C163" s="223">
        <v>161</v>
      </c>
      <c r="D163" s="224"/>
      <c r="E163" s="225">
        <f t="shared" si="99"/>
        <v>0</v>
      </c>
      <c r="F163" s="225">
        <f t="shared" si="99"/>
        <v>0</v>
      </c>
      <c r="G163" s="225">
        <f t="shared" si="99"/>
        <v>0</v>
      </c>
      <c r="H163" s="225">
        <f t="shared" si="99"/>
        <v>0</v>
      </c>
      <c r="I163" s="225">
        <f t="shared" si="99"/>
        <v>0</v>
      </c>
      <c r="J163" s="225">
        <f t="shared" si="99"/>
        <v>0</v>
      </c>
      <c r="K163" s="237"/>
      <c r="L163" s="237">
        <f t="shared" si="93"/>
        <v>0</v>
      </c>
      <c r="M163" s="237">
        <f t="shared" si="93"/>
        <v>0</v>
      </c>
      <c r="N163" s="237">
        <f t="shared" si="93"/>
        <v>0</v>
      </c>
      <c r="O163" s="237">
        <f t="shared" si="93"/>
        <v>0</v>
      </c>
      <c r="P163" s="237">
        <f t="shared" si="93"/>
        <v>0</v>
      </c>
      <c r="Q163" s="237">
        <f t="shared" si="93"/>
        <v>0</v>
      </c>
      <c r="R163" s="237">
        <f t="shared" si="93"/>
        <v>0</v>
      </c>
      <c r="S163" s="237">
        <f t="shared" si="93"/>
        <v>0</v>
      </c>
      <c r="T163" s="224"/>
      <c r="U163" s="224">
        <f t="shared" si="97"/>
        <v>0</v>
      </c>
      <c r="V163" s="224">
        <f t="shared" si="97"/>
        <v>0</v>
      </c>
      <c r="W163" s="224">
        <f t="shared" si="97"/>
        <v>0</v>
      </c>
      <c r="X163" s="226"/>
      <c r="Y163" s="226">
        <f t="shared" si="94"/>
        <v>0</v>
      </c>
      <c r="Z163" s="226">
        <f t="shared" si="94"/>
        <v>0</v>
      </c>
      <c r="AA163" s="224"/>
      <c r="AB163" s="224"/>
      <c r="AC163" s="224"/>
      <c r="AD163" s="224">
        <f t="shared" si="46"/>
        <v>0</v>
      </c>
      <c r="AE163" s="224"/>
      <c r="AF163" s="224"/>
      <c r="AG163" s="224">
        <f t="shared" si="47"/>
        <v>0</v>
      </c>
      <c r="AH163" s="226"/>
      <c r="AI163" s="226">
        <f t="shared" si="95"/>
        <v>0</v>
      </c>
      <c r="AJ163" s="226">
        <f t="shared" si="95"/>
        <v>0</v>
      </c>
      <c r="AK163" s="226">
        <f t="shared" si="95"/>
        <v>0</v>
      </c>
      <c r="AL163" s="226">
        <f t="shared" si="95"/>
        <v>0</v>
      </c>
      <c r="AM163" s="226">
        <f t="shared" si="95"/>
        <v>0</v>
      </c>
      <c r="AN163" s="235"/>
      <c r="AO163" s="235">
        <f t="shared" si="100"/>
        <v>0</v>
      </c>
      <c r="AP163" s="235">
        <f t="shared" si="100"/>
        <v>0</v>
      </c>
      <c r="AQ163" s="236">
        <f t="shared" si="100"/>
        <v>0</v>
      </c>
      <c r="AR163" s="236">
        <f t="shared" si="100"/>
        <v>0</v>
      </c>
      <c r="AS163" s="236">
        <f t="shared" si="100"/>
        <v>0</v>
      </c>
      <c r="AT163" s="236">
        <f t="shared" si="100"/>
        <v>0</v>
      </c>
      <c r="AU163" s="236">
        <f t="shared" si="100"/>
        <v>0</v>
      </c>
      <c r="AV163" s="236">
        <f t="shared" si="100"/>
        <v>0</v>
      </c>
      <c r="AW163" s="226"/>
      <c r="AX163" s="226">
        <f t="shared" si="98"/>
        <v>0</v>
      </c>
      <c r="AY163" s="226">
        <f t="shared" si="98"/>
        <v>0</v>
      </c>
      <c r="AZ163" s="226">
        <f t="shared" si="98"/>
        <v>0</v>
      </c>
      <c r="BA163" s="226">
        <f t="shared" si="98"/>
        <v>0</v>
      </c>
      <c r="BB163" s="226">
        <f t="shared" si="98"/>
        <v>0</v>
      </c>
      <c r="BC163" s="224"/>
      <c r="BD163" s="224">
        <f t="shared" si="98"/>
        <v>0</v>
      </c>
      <c r="BE163" s="224">
        <f t="shared" si="98"/>
        <v>0</v>
      </c>
      <c r="BF163" s="224">
        <f t="shared" si="98"/>
        <v>0</v>
      </c>
      <c r="BG163" s="224">
        <f t="shared" si="98"/>
        <v>0</v>
      </c>
      <c r="BH163" s="224">
        <f t="shared" si="98"/>
        <v>0</v>
      </c>
      <c r="BI163" s="224">
        <f t="shared" si="98"/>
        <v>0</v>
      </c>
      <c r="BJ163" s="224">
        <f t="shared" si="98"/>
        <v>0</v>
      </c>
      <c r="BK163" s="224">
        <f t="shared" si="98"/>
        <v>0</v>
      </c>
      <c r="BL163" s="224">
        <f t="shared" si="98"/>
        <v>0</v>
      </c>
      <c r="BM163" s="224">
        <f t="shared" si="98"/>
        <v>0</v>
      </c>
      <c r="BN163" s="224">
        <f t="shared" si="98"/>
        <v>0</v>
      </c>
      <c r="BO163" s="224">
        <f t="shared" si="98"/>
        <v>0</v>
      </c>
    </row>
    <row r="164" spans="1:67">
      <c r="A164" s="223">
        <v>1</v>
      </c>
      <c r="B164" s="151" t="s">
        <v>1791</v>
      </c>
      <c r="C164" s="223">
        <v>162</v>
      </c>
      <c r="D164" s="224">
        <v>5272501.3700622162</v>
      </c>
      <c r="E164" s="225">
        <f t="shared" si="99"/>
        <v>5272501.3700622162</v>
      </c>
      <c r="F164" s="225">
        <f t="shared" si="99"/>
        <v>5272501.3700622162</v>
      </c>
      <c r="G164" s="225">
        <f t="shared" si="99"/>
        <v>5272501.3700622162</v>
      </c>
      <c r="H164" s="225">
        <f t="shared" si="99"/>
        <v>5272501.3700622162</v>
      </c>
      <c r="I164" s="225">
        <f t="shared" si="99"/>
        <v>5272501.3700622162</v>
      </c>
      <c r="J164" s="225">
        <f t="shared" si="99"/>
        <v>5272501.3700622162</v>
      </c>
      <c r="K164" s="237">
        <f>J164</f>
        <v>5272501.3700622162</v>
      </c>
      <c r="L164" s="237">
        <f t="shared" si="93"/>
        <v>5272501.3700622162</v>
      </c>
      <c r="M164" s="237">
        <f t="shared" si="93"/>
        <v>5272501.3700622162</v>
      </c>
      <c r="N164" s="237">
        <f t="shared" si="93"/>
        <v>5272501.3700622162</v>
      </c>
      <c r="O164" s="237">
        <f t="shared" si="93"/>
        <v>5272501.3700622162</v>
      </c>
      <c r="P164" s="237">
        <f t="shared" si="93"/>
        <v>5272501.3700622162</v>
      </c>
      <c r="Q164" s="237">
        <f t="shared" si="93"/>
        <v>5272501.3700622162</v>
      </c>
      <c r="R164" s="237">
        <f t="shared" si="93"/>
        <v>5272501.3700622162</v>
      </c>
      <c r="S164" s="237">
        <f t="shared" si="93"/>
        <v>5272501.3700622162</v>
      </c>
      <c r="T164" s="224">
        <v>5272501.3700622162</v>
      </c>
      <c r="U164" s="224">
        <f t="shared" si="97"/>
        <v>5272501.3700622162</v>
      </c>
      <c r="V164" s="224">
        <f t="shared" si="97"/>
        <v>5272501.3700622162</v>
      </c>
      <c r="W164" s="224">
        <f t="shared" si="97"/>
        <v>5272501.3700622162</v>
      </c>
      <c r="X164" s="226">
        <v>5272501.3700622162</v>
      </c>
      <c r="Y164" s="226">
        <f t="shared" si="94"/>
        <v>5272501.3700622162</v>
      </c>
      <c r="Z164" s="226">
        <f t="shared" si="94"/>
        <v>5272501.3700622162</v>
      </c>
      <c r="AA164" s="224">
        <v>5272501.3700622162</v>
      </c>
      <c r="AB164" s="224">
        <v>5272501.3700622162</v>
      </c>
      <c r="AC164" s="224">
        <v>5272501.3700622162</v>
      </c>
      <c r="AD164" s="224">
        <f t="shared" si="46"/>
        <v>5272501.3700622162</v>
      </c>
      <c r="AE164" s="224">
        <v>5272501.3700622162</v>
      </c>
      <c r="AF164" s="224">
        <v>5272501.3700622162</v>
      </c>
      <c r="AG164" s="224">
        <f t="shared" si="47"/>
        <v>5272501.3700622162</v>
      </c>
      <c r="AH164" s="226">
        <v>5301990.7702033548</v>
      </c>
      <c r="AI164" s="226">
        <f t="shared" si="95"/>
        <v>5301990.7702033548</v>
      </c>
      <c r="AJ164" s="226">
        <f t="shared" si="95"/>
        <v>5301990.7702033548</v>
      </c>
      <c r="AK164" s="226">
        <f t="shared" si="95"/>
        <v>5301990.7702033548</v>
      </c>
      <c r="AL164" s="226">
        <f t="shared" si="95"/>
        <v>5301990.7702033548</v>
      </c>
      <c r="AM164" s="226">
        <f t="shared" si="95"/>
        <v>5301990.7702033548</v>
      </c>
      <c r="AN164" s="235">
        <v>5301990.7702033548</v>
      </c>
      <c r="AO164" s="235">
        <f t="shared" si="100"/>
        <v>5301990.7702033548</v>
      </c>
      <c r="AP164" s="235">
        <f t="shared" si="100"/>
        <v>5301990.7702033548</v>
      </c>
      <c r="AQ164" s="236">
        <f t="shared" si="100"/>
        <v>5301990.7702033548</v>
      </c>
      <c r="AR164" s="236">
        <f t="shared" si="100"/>
        <v>5301990.7702033548</v>
      </c>
      <c r="AS164" s="236">
        <f t="shared" si="100"/>
        <v>5301990.7702033548</v>
      </c>
      <c r="AT164" s="236">
        <f t="shared" si="100"/>
        <v>5301990.7702033548</v>
      </c>
      <c r="AU164" s="236">
        <f t="shared" si="100"/>
        <v>5301990.7702033548</v>
      </c>
      <c r="AV164" s="236">
        <f t="shared" si="100"/>
        <v>5301990.7702033548</v>
      </c>
      <c r="AW164" s="226">
        <v>5284703.880465446</v>
      </c>
      <c r="AX164" s="226">
        <f t="shared" si="98"/>
        <v>5284703.880465446</v>
      </c>
      <c r="AY164" s="226">
        <f t="shared" si="98"/>
        <v>5284703.880465446</v>
      </c>
      <c r="AZ164" s="226">
        <f t="shared" si="98"/>
        <v>5284703.880465446</v>
      </c>
      <c r="BA164" s="226">
        <f t="shared" si="98"/>
        <v>5284703.880465446</v>
      </c>
      <c r="BB164" s="226">
        <f t="shared" si="98"/>
        <v>5284703.880465446</v>
      </c>
      <c r="BC164" s="224">
        <v>5272501.3700622162</v>
      </c>
      <c r="BD164" s="224">
        <f t="shared" si="98"/>
        <v>5272501.3700622162</v>
      </c>
      <c r="BE164" s="224">
        <f t="shared" si="98"/>
        <v>5272501.3700622162</v>
      </c>
      <c r="BF164" s="224">
        <f t="shared" si="98"/>
        <v>5272501.3700622162</v>
      </c>
      <c r="BG164" s="224">
        <f t="shared" si="98"/>
        <v>5272501.3700622162</v>
      </c>
      <c r="BH164" s="224">
        <f t="shared" si="98"/>
        <v>5272501.3700622162</v>
      </c>
      <c r="BI164" s="224">
        <f t="shared" si="98"/>
        <v>5272501.3700622162</v>
      </c>
      <c r="BJ164" s="224">
        <f t="shared" si="98"/>
        <v>5272501.3700622162</v>
      </c>
      <c r="BK164" s="224">
        <f t="shared" si="98"/>
        <v>5272501.3700622162</v>
      </c>
      <c r="BL164" s="224">
        <f t="shared" si="98"/>
        <v>5272501.3700622162</v>
      </c>
      <c r="BM164" s="224">
        <f>BL164</f>
        <v>5272501.3700622162</v>
      </c>
      <c r="BN164" s="224">
        <f>BM164</f>
        <v>5272501.3700622162</v>
      </c>
      <c r="BO164" s="224">
        <f>BN164</f>
        <v>5272501.3700622162</v>
      </c>
    </row>
    <row r="165" spans="1:67" ht="17.25" customHeight="1">
      <c r="A165" s="223">
        <f>+A164+1</f>
        <v>2</v>
      </c>
      <c r="B165" s="151" t="s">
        <v>1792</v>
      </c>
      <c r="C165" s="223">
        <v>163</v>
      </c>
      <c r="D165" s="224">
        <v>5272501.3700622162</v>
      </c>
      <c r="E165" s="225">
        <f t="shared" si="99"/>
        <v>5272501.3700622162</v>
      </c>
      <c r="F165" s="225">
        <f t="shared" si="99"/>
        <v>5272501.3700622162</v>
      </c>
      <c r="G165" s="225">
        <f t="shared" si="99"/>
        <v>5272501.3700622162</v>
      </c>
      <c r="H165" s="225">
        <f t="shared" si="99"/>
        <v>5272501.3700622162</v>
      </c>
      <c r="I165" s="225">
        <f t="shared" si="99"/>
        <v>5272501.3700622162</v>
      </c>
      <c r="J165" s="225">
        <f t="shared" si="99"/>
        <v>5272501.3700622162</v>
      </c>
      <c r="K165" s="237">
        <f>J165</f>
        <v>5272501.3700622162</v>
      </c>
      <c r="L165" s="237">
        <f t="shared" si="93"/>
        <v>5272501.3700622162</v>
      </c>
      <c r="M165" s="237">
        <f t="shared" si="93"/>
        <v>5272501.3700622162</v>
      </c>
      <c r="N165" s="237">
        <f t="shared" si="93"/>
        <v>5272501.3700622162</v>
      </c>
      <c r="O165" s="237">
        <f t="shared" si="93"/>
        <v>5272501.3700622162</v>
      </c>
      <c r="P165" s="237">
        <f t="shared" si="93"/>
        <v>5272501.3700622162</v>
      </c>
      <c r="Q165" s="237">
        <f t="shared" si="93"/>
        <v>5272501.3700622162</v>
      </c>
      <c r="R165" s="237">
        <f t="shared" si="93"/>
        <v>5272501.3700622162</v>
      </c>
      <c r="S165" s="237">
        <f t="shared" si="93"/>
        <v>5272501.3700622162</v>
      </c>
      <c r="T165" s="224">
        <v>5272501.3700622162</v>
      </c>
      <c r="U165" s="224">
        <f t="shared" si="97"/>
        <v>5272501.3700622162</v>
      </c>
      <c r="V165" s="224">
        <f t="shared" si="97"/>
        <v>5272501.3700622162</v>
      </c>
      <c r="W165" s="224">
        <f t="shared" si="97"/>
        <v>5272501.3700622162</v>
      </c>
      <c r="X165" s="226">
        <v>5272501.3700622162</v>
      </c>
      <c r="Y165" s="226">
        <f t="shared" ref="Y165:Z187" si="101">X165</f>
        <v>5272501.3700622162</v>
      </c>
      <c r="Z165" s="226">
        <f t="shared" si="101"/>
        <v>5272501.3700622162</v>
      </c>
      <c r="AA165" s="224">
        <v>5272501.3700622162</v>
      </c>
      <c r="AB165" s="224">
        <v>5272501.3700622162</v>
      </c>
      <c r="AC165" s="224">
        <v>5272501.3700622162</v>
      </c>
      <c r="AD165" s="224">
        <f t="shared" ref="AD165:AD213" si="102">AC165</f>
        <v>5272501.3700622162</v>
      </c>
      <c r="AE165" s="224">
        <v>5272501.3700622162</v>
      </c>
      <c r="AF165" s="224">
        <v>5272501.3700622162</v>
      </c>
      <c r="AG165" s="224">
        <f t="shared" ref="AG165:AG213" si="103">AF165</f>
        <v>5272501.3700622162</v>
      </c>
      <c r="AH165" s="226">
        <v>5301990.7702033548</v>
      </c>
      <c r="AI165" s="226">
        <f t="shared" ref="AI165:AM187" si="104">AH165</f>
        <v>5301990.7702033548</v>
      </c>
      <c r="AJ165" s="226">
        <f t="shared" si="104"/>
        <v>5301990.7702033548</v>
      </c>
      <c r="AK165" s="226">
        <f t="shared" si="104"/>
        <v>5301990.7702033548</v>
      </c>
      <c r="AL165" s="226">
        <f t="shared" si="104"/>
        <v>5301990.7702033548</v>
      </c>
      <c r="AM165" s="226">
        <f t="shared" si="104"/>
        <v>5301990.7702033548</v>
      </c>
      <c r="AN165" s="235">
        <v>5301990.7702033548</v>
      </c>
      <c r="AO165" s="235">
        <f t="shared" si="100"/>
        <v>5301990.7702033548</v>
      </c>
      <c r="AP165" s="235">
        <f t="shared" si="100"/>
        <v>5301990.7702033548</v>
      </c>
      <c r="AQ165" s="236">
        <f t="shared" si="100"/>
        <v>5301990.7702033548</v>
      </c>
      <c r="AR165" s="236">
        <f t="shared" si="100"/>
        <v>5301990.7702033548</v>
      </c>
      <c r="AS165" s="236">
        <f t="shared" si="100"/>
        <v>5301990.7702033548</v>
      </c>
      <c r="AT165" s="236">
        <f t="shared" si="100"/>
        <v>5301990.7702033548</v>
      </c>
      <c r="AU165" s="236">
        <f t="shared" si="100"/>
        <v>5301990.7702033548</v>
      </c>
      <c r="AV165" s="236">
        <f t="shared" si="100"/>
        <v>5301990.7702033548</v>
      </c>
      <c r="AW165" s="226">
        <v>5284703.880465446</v>
      </c>
      <c r="AX165" s="226">
        <f t="shared" ref="AX165:BB187" si="105">AW165</f>
        <v>5284703.880465446</v>
      </c>
      <c r="AY165" s="226">
        <f t="shared" si="105"/>
        <v>5284703.880465446</v>
      </c>
      <c r="AZ165" s="226">
        <f t="shared" si="105"/>
        <v>5284703.880465446</v>
      </c>
      <c r="BA165" s="226">
        <f t="shared" si="105"/>
        <v>5284703.880465446</v>
      </c>
      <c r="BB165" s="226">
        <f t="shared" si="105"/>
        <v>5284703.880465446</v>
      </c>
      <c r="BC165" s="224">
        <v>5272501.3700622162</v>
      </c>
      <c r="BD165" s="224">
        <f t="shared" ref="BD165:BO187" si="106">BC165</f>
        <v>5272501.3700622162</v>
      </c>
      <c r="BE165" s="224">
        <f t="shared" si="106"/>
        <v>5272501.3700622162</v>
      </c>
      <c r="BF165" s="224">
        <f t="shared" si="106"/>
        <v>5272501.3700622162</v>
      </c>
      <c r="BG165" s="224">
        <f t="shared" si="106"/>
        <v>5272501.3700622162</v>
      </c>
      <c r="BH165" s="224">
        <f t="shared" si="106"/>
        <v>5272501.3700622162</v>
      </c>
      <c r="BI165" s="224">
        <f t="shared" si="106"/>
        <v>5272501.3700622162</v>
      </c>
      <c r="BJ165" s="224">
        <f t="shared" si="106"/>
        <v>5272501.3700622162</v>
      </c>
      <c r="BK165" s="224">
        <f t="shared" si="106"/>
        <v>5272501.3700622162</v>
      </c>
      <c r="BL165" s="224">
        <f t="shared" si="106"/>
        <v>5272501.3700622162</v>
      </c>
      <c r="BM165" s="224">
        <f t="shared" si="106"/>
        <v>5272501.3700622162</v>
      </c>
      <c r="BN165" s="224">
        <f t="shared" si="106"/>
        <v>5272501.3700622162</v>
      </c>
      <c r="BO165" s="224">
        <f t="shared" si="106"/>
        <v>5272501.3700622162</v>
      </c>
    </row>
    <row r="166" spans="1:67" ht="17.25" customHeight="1">
      <c r="A166" s="223">
        <v>3</v>
      </c>
      <c r="B166" s="151" t="s">
        <v>1793</v>
      </c>
      <c r="C166" s="223">
        <v>164</v>
      </c>
      <c r="D166" s="224">
        <v>2585705</v>
      </c>
      <c r="E166" s="225">
        <v>2585705</v>
      </c>
      <c r="F166" s="225">
        <v>2585705</v>
      </c>
      <c r="G166" s="225">
        <v>2585705</v>
      </c>
      <c r="H166" s="225">
        <v>2585705</v>
      </c>
      <c r="I166" s="225">
        <v>2585705</v>
      </c>
      <c r="J166" s="225">
        <v>2585705</v>
      </c>
      <c r="K166" s="237">
        <v>2585705</v>
      </c>
      <c r="L166" s="237">
        <v>2585705</v>
      </c>
      <c r="M166" s="237">
        <v>2585705</v>
      </c>
      <c r="N166" s="237">
        <v>2585705</v>
      </c>
      <c r="O166" s="237">
        <v>2585705</v>
      </c>
      <c r="P166" s="237">
        <v>2585705</v>
      </c>
      <c r="Q166" s="237">
        <v>2585705</v>
      </c>
      <c r="R166" s="237">
        <v>2585705</v>
      </c>
      <c r="S166" s="237">
        <v>2585705</v>
      </c>
      <c r="T166" s="224">
        <v>2585705</v>
      </c>
      <c r="U166" s="224">
        <v>2585705</v>
      </c>
      <c r="V166" s="224">
        <v>2585705</v>
      </c>
      <c r="W166" s="224">
        <v>2585705</v>
      </c>
      <c r="X166" s="226">
        <v>2585705</v>
      </c>
      <c r="Y166" s="226">
        <v>2585705</v>
      </c>
      <c r="Z166" s="226">
        <v>2585705</v>
      </c>
      <c r="AA166" s="224">
        <v>2585705</v>
      </c>
      <c r="AB166" s="224">
        <v>2585705</v>
      </c>
      <c r="AC166" s="224">
        <v>2585705</v>
      </c>
      <c r="AD166" s="224">
        <v>2585705</v>
      </c>
      <c r="AE166" s="224">
        <v>2585705</v>
      </c>
      <c r="AF166" s="224">
        <v>2585705</v>
      </c>
      <c r="AG166" s="224">
        <v>2585705</v>
      </c>
      <c r="AH166" s="226">
        <v>2585705</v>
      </c>
      <c r="AI166" s="226">
        <v>2585705</v>
      </c>
      <c r="AJ166" s="226">
        <v>2585705</v>
      </c>
      <c r="AK166" s="226">
        <v>2585705</v>
      </c>
      <c r="AL166" s="226">
        <v>2585705</v>
      </c>
      <c r="AM166" s="226">
        <v>2585705</v>
      </c>
      <c r="AN166" s="235">
        <v>2585705</v>
      </c>
      <c r="AO166" s="235">
        <v>2585705</v>
      </c>
      <c r="AP166" s="235">
        <v>2585705</v>
      </c>
      <c r="AQ166" s="236">
        <v>2585705</v>
      </c>
      <c r="AR166" s="236">
        <v>2585705</v>
      </c>
      <c r="AS166" s="236">
        <v>2585705</v>
      </c>
      <c r="AT166" s="236">
        <v>2585705</v>
      </c>
      <c r="AU166" s="236">
        <v>2585705</v>
      </c>
      <c r="AV166" s="236">
        <v>2585705</v>
      </c>
      <c r="AW166" s="226">
        <v>2585705</v>
      </c>
      <c r="AX166" s="226">
        <v>2585705</v>
      </c>
      <c r="AY166" s="226">
        <v>2585705</v>
      </c>
      <c r="AZ166" s="226">
        <v>2585705</v>
      </c>
      <c r="BA166" s="226">
        <v>2585705</v>
      </c>
      <c r="BB166" s="226">
        <v>2585705</v>
      </c>
      <c r="BC166" s="224">
        <v>2585705</v>
      </c>
      <c r="BD166" s="224">
        <v>2585705</v>
      </c>
      <c r="BE166" s="224">
        <v>2585705</v>
      </c>
      <c r="BF166" s="224">
        <v>2585705</v>
      </c>
      <c r="BG166" s="224">
        <v>2585705</v>
      </c>
      <c r="BH166" s="224">
        <v>2585705</v>
      </c>
      <c r="BI166" s="224">
        <v>2585705</v>
      </c>
      <c r="BJ166" s="224">
        <v>2585705</v>
      </c>
      <c r="BK166" s="224">
        <v>2585705</v>
      </c>
      <c r="BL166" s="224">
        <v>2585705</v>
      </c>
      <c r="BM166" s="224">
        <v>2585705</v>
      </c>
      <c r="BN166" s="224">
        <v>2585705</v>
      </c>
      <c r="BO166" s="224">
        <v>2585705</v>
      </c>
    </row>
    <row r="167" spans="1:67" ht="17.25" customHeight="1">
      <c r="A167" s="223">
        <v>4</v>
      </c>
      <c r="B167" s="255" t="s">
        <v>1794</v>
      </c>
      <c r="C167" s="223">
        <v>165</v>
      </c>
      <c r="D167" s="224">
        <v>3878557.5</v>
      </c>
      <c r="E167" s="225">
        <v>3878557.5</v>
      </c>
      <c r="F167" s="225">
        <v>3878557.5</v>
      </c>
      <c r="G167" s="225">
        <v>3878557.5</v>
      </c>
      <c r="H167" s="225">
        <v>3878557.5</v>
      </c>
      <c r="I167" s="225">
        <v>3878557.5</v>
      </c>
      <c r="J167" s="225">
        <v>3878557.5</v>
      </c>
      <c r="K167" s="237">
        <v>3878557.5</v>
      </c>
      <c r="L167" s="237">
        <v>3878557.5</v>
      </c>
      <c r="M167" s="237">
        <v>3878557.5</v>
      </c>
      <c r="N167" s="237">
        <v>3878557.5</v>
      </c>
      <c r="O167" s="237">
        <v>3878557.5</v>
      </c>
      <c r="P167" s="237">
        <v>3878557.5</v>
      </c>
      <c r="Q167" s="237">
        <v>3878557.5</v>
      </c>
      <c r="R167" s="237">
        <v>3878557.5</v>
      </c>
      <c r="S167" s="237">
        <v>3878557.5</v>
      </c>
      <c r="T167" s="224">
        <v>3878557.5</v>
      </c>
      <c r="U167" s="224">
        <v>3878557.5</v>
      </c>
      <c r="V167" s="224">
        <v>3878557.5</v>
      </c>
      <c r="W167" s="224">
        <v>3878557.5</v>
      </c>
      <c r="X167" s="226">
        <v>3878557.5</v>
      </c>
      <c r="Y167" s="226">
        <v>3878557.5</v>
      </c>
      <c r="Z167" s="226">
        <v>3878557.5</v>
      </c>
      <c r="AA167" s="224">
        <v>3878557.5</v>
      </c>
      <c r="AB167" s="224">
        <v>3878557.5</v>
      </c>
      <c r="AC167" s="224">
        <v>3878557.5</v>
      </c>
      <c r="AD167" s="224">
        <v>3878557.5</v>
      </c>
      <c r="AE167" s="224">
        <v>3878557.5</v>
      </c>
      <c r="AF167" s="224">
        <v>3878557.5</v>
      </c>
      <c r="AG167" s="224">
        <v>3878557.5</v>
      </c>
      <c r="AH167" s="226">
        <v>3878557.5</v>
      </c>
      <c r="AI167" s="226">
        <v>3878557.5</v>
      </c>
      <c r="AJ167" s="226">
        <v>3878557.5</v>
      </c>
      <c r="AK167" s="226">
        <v>3878557.5</v>
      </c>
      <c r="AL167" s="226">
        <v>3878557.5</v>
      </c>
      <c r="AM167" s="226">
        <v>3878557.5</v>
      </c>
      <c r="AN167" s="235">
        <v>3878557.5</v>
      </c>
      <c r="AO167" s="235">
        <v>3878557.5</v>
      </c>
      <c r="AP167" s="235">
        <v>3878557.5</v>
      </c>
      <c r="AQ167" s="236">
        <v>3878557.5</v>
      </c>
      <c r="AR167" s="236">
        <v>3878557.5</v>
      </c>
      <c r="AS167" s="236">
        <v>3878557.5</v>
      </c>
      <c r="AT167" s="236">
        <v>3878557.5</v>
      </c>
      <c r="AU167" s="236">
        <v>3878557.5</v>
      </c>
      <c r="AV167" s="236">
        <v>3878557.5</v>
      </c>
      <c r="AW167" s="226">
        <v>3878557.5</v>
      </c>
      <c r="AX167" s="226">
        <v>3878557.5</v>
      </c>
      <c r="AY167" s="226">
        <v>3878557.5</v>
      </c>
      <c r="AZ167" s="226">
        <v>3878557.5</v>
      </c>
      <c r="BA167" s="226">
        <v>3878557.5</v>
      </c>
      <c r="BB167" s="226">
        <v>3878557.5</v>
      </c>
      <c r="BC167" s="224">
        <v>3878557.5</v>
      </c>
      <c r="BD167" s="224">
        <v>3878557.5</v>
      </c>
      <c r="BE167" s="224">
        <v>3878557.5</v>
      </c>
      <c r="BF167" s="224">
        <v>3878557.5</v>
      </c>
      <c r="BG167" s="224">
        <v>3878557.5</v>
      </c>
      <c r="BH167" s="224">
        <v>3878557.5</v>
      </c>
      <c r="BI167" s="224">
        <v>3878557.5</v>
      </c>
      <c r="BJ167" s="224">
        <v>3878557.5</v>
      </c>
      <c r="BK167" s="224">
        <v>3878557.5</v>
      </c>
      <c r="BL167" s="224">
        <v>3878557.5</v>
      </c>
      <c r="BM167" s="224">
        <v>3878557.5</v>
      </c>
      <c r="BN167" s="224">
        <v>3878557.5</v>
      </c>
      <c r="BO167" s="224">
        <v>3878557.5</v>
      </c>
    </row>
    <row r="168" spans="1:67">
      <c r="A168" s="223">
        <v>1</v>
      </c>
      <c r="B168" s="151" t="s">
        <v>1795</v>
      </c>
      <c r="C168" s="223">
        <v>166</v>
      </c>
      <c r="D168" s="224">
        <v>11759738</v>
      </c>
      <c r="E168" s="225">
        <v>11759738</v>
      </c>
      <c r="F168" s="225">
        <v>11759738</v>
      </c>
      <c r="G168" s="225">
        <v>11759738</v>
      </c>
      <c r="H168" s="225">
        <v>11759738</v>
      </c>
      <c r="I168" s="225">
        <v>11759738</v>
      </c>
      <c r="J168" s="225">
        <v>11759738</v>
      </c>
      <c r="K168" s="237">
        <v>11759738</v>
      </c>
      <c r="L168" s="237">
        <v>11759738</v>
      </c>
      <c r="M168" s="237">
        <v>11759738</v>
      </c>
      <c r="N168" s="237">
        <v>11759738</v>
      </c>
      <c r="O168" s="237">
        <v>11759738</v>
      </c>
      <c r="P168" s="237">
        <v>11759738</v>
      </c>
      <c r="Q168" s="237">
        <v>11759738</v>
      </c>
      <c r="R168" s="237">
        <v>11759738</v>
      </c>
      <c r="S168" s="237">
        <v>11759738</v>
      </c>
      <c r="T168" s="224">
        <v>11759738</v>
      </c>
      <c r="U168" s="224">
        <v>11759738</v>
      </c>
      <c r="V168" s="224">
        <v>11759738</v>
      </c>
      <c r="W168" s="224">
        <v>11759738</v>
      </c>
      <c r="X168" s="226">
        <v>11759738</v>
      </c>
      <c r="Y168" s="226">
        <v>11759738</v>
      </c>
      <c r="Z168" s="226">
        <v>11759738</v>
      </c>
      <c r="AA168" s="224">
        <v>11759738</v>
      </c>
      <c r="AB168" s="224">
        <v>11759738</v>
      </c>
      <c r="AC168" s="224">
        <v>11759738</v>
      </c>
      <c r="AD168" s="224">
        <v>11759738</v>
      </c>
      <c r="AE168" s="224">
        <v>11759738</v>
      </c>
      <c r="AF168" s="224">
        <v>11759738</v>
      </c>
      <c r="AG168" s="224">
        <v>11759738</v>
      </c>
      <c r="AH168" s="226">
        <v>11759738</v>
      </c>
      <c r="AI168" s="226">
        <v>11759738</v>
      </c>
      <c r="AJ168" s="226">
        <v>11759738</v>
      </c>
      <c r="AK168" s="226">
        <v>11759738</v>
      </c>
      <c r="AL168" s="226">
        <v>11759738</v>
      </c>
      <c r="AM168" s="226">
        <v>11759738</v>
      </c>
      <c r="AN168" s="235">
        <v>11759738</v>
      </c>
      <c r="AO168" s="235">
        <v>11759738</v>
      </c>
      <c r="AP168" s="235">
        <v>11759738</v>
      </c>
      <c r="AQ168" s="236">
        <v>11759738</v>
      </c>
      <c r="AR168" s="236">
        <v>11759738</v>
      </c>
      <c r="AS168" s="236">
        <v>11759738</v>
      </c>
      <c r="AT168" s="236">
        <v>11759738</v>
      </c>
      <c r="AU168" s="236">
        <v>11759738</v>
      </c>
      <c r="AV168" s="236">
        <v>11759738</v>
      </c>
      <c r="AW168" s="226">
        <v>11759738</v>
      </c>
      <c r="AX168" s="226">
        <v>11759738</v>
      </c>
      <c r="AY168" s="226">
        <v>11759738</v>
      </c>
      <c r="AZ168" s="226">
        <v>11759738</v>
      </c>
      <c r="BA168" s="226">
        <v>11759738</v>
      </c>
      <c r="BB168" s="226">
        <v>11759738</v>
      </c>
      <c r="BC168" s="224">
        <v>11759738</v>
      </c>
      <c r="BD168" s="224">
        <v>11759738</v>
      </c>
      <c r="BE168" s="224">
        <v>11759738</v>
      </c>
      <c r="BF168" s="224">
        <v>11759738</v>
      </c>
      <c r="BG168" s="224">
        <v>11759738</v>
      </c>
      <c r="BH168" s="224">
        <v>11759738</v>
      </c>
      <c r="BI168" s="224">
        <v>11759738</v>
      </c>
      <c r="BJ168" s="224">
        <v>11759738</v>
      </c>
      <c r="BK168" s="224">
        <v>11759738</v>
      </c>
      <c r="BL168" s="224">
        <v>11759738</v>
      </c>
      <c r="BM168" s="224">
        <v>11759738</v>
      </c>
      <c r="BN168" s="224">
        <v>11759738</v>
      </c>
      <c r="BO168" s="224">
        <v>11759738</v>
      </c>
    </row>
    <row r="169" spans="1:67">
      <c r="A169" s="223">
        <v>1</v>
      </c>
      <c r="B169" s="151" t="s">
        <v>1796</v>
      </c>
      <c r="C169" s="223">
        <v>167</v>
      </c>
      <c r="D169" s="224">
        <v>11872233</v>
      </c>
      <c r="E169" s="225">
        <v>11872233</v>
      </c>
      <c r="F169" s="225">
        <v>11872233</v>
      </c>
      <c r="G169" s="225">
        <v>11872233</v>
      </c>
      <c r="H169" s="225">
        <v>11872233</v>
      </c>
      <c r="I169" s="225">
        <v>11872233</v>
      </c>
      <c r="J169" s="225">
        <v>11872233</v>
      </c>
      <c r="K169" s="237">
        <v>11872233</v>
      </c>
      <c r="L169" s="237">
        <v>11872233</v>
      </c>
      <c r="M169" s="237">
        <v>11872233</v>
      </c>
      <c r="N169" s="237">
        <v>11872233</v>
      </c>
      <c r="O169" s="237">
        <v>11872233</v>
      </c>
      <c r="P169" s="237">
        <v>11872233</v>
      </c>
      <c r="Q169" s="237">
        <v>11872233</v>
      </c>
      <c r="R169" s="237">
        <v>11872233</v>
      </c>
      <c r="S169" s="237">
        <v>11872233</v>
      </c>
      <c r="T169" s="224">
        <v>11872233</v>
      </c>
      <c r="U169" s="224">
        <v>11872233</v>
      </c>
      <c r="V169" s="224">
        <v>11872233</v>
      </c>
      <c r="W169" s="224">
        <v>11872233</v>
      </c>
      <c r="X169" s="226">
        <v>11872233</v>
      </c>
      <c r="Y169" s="226">
        <v>11872233</v>
      </c>
      <c r="Z169" s="226">
        <v>11872233</v>
      </c>
      <c r="AA169" s="224">
        <v>11872233</v>
      </c>
      <c r="AB169" s="224">
        <v>11872233</v>
      </c>
      <c r="AC169" s="224">
        <v>11872233</v>
      </c>
      <c r="AD169" s="224">
        <v>11872233</v>
      </c>
      <c r="AE169" s="224">
        <v>11872233</v>
      </c>
      <c r="AF169" s="224">
        <v>11872233</v>
      </c>
      <c r="AG169" s="224">
        <v>11872233</v>
      </c>
      <c r="AH169" s="226">
        <v>11872233</v>
      </c>
      <c r="AI169" s="226">
        <v>11872233</v>
      </c>
      <c r="AJ169" s="226">
        <v>11872233</v>
      </c>
      <c r="AK169" s="226">
        <v>11872233</v>
      </c>
      <c r="AL169" s="226">
        <v>11872233</v>
      </c>
      <c r="AM169" s="226">
        <v>11872233</v>
      </c>
      <c r="AN169" s="235">
        <v>11872233</v>
      </c>
      <c r="AO169" s="235">
        <v>11872233</v>
      </c>
      <c r="AP169" s="235">
        <v>11872233</v>
      </c>
      <c r="AQ169" s="236">
        <v>11872233</v>
      </c>
      <c r="AR169" s="236">
        <v>11872233</v>
      </c>
      <c r="AS169" s="236">
        <v>11872233</v>
      </c>
      <c r="AT169" s="236">
        <v>11872233</v>
      </c>
      <c r="AU169" s="236">
        <v>11872233</v>
      </c>
      <c r="AV169" s="236">
        <v>11872233</v>
      </c>
      <c r="AW169" s="226">
        <v>11872233</v>
      </c>
      <c r="AX169" s="226">
        <v>11872233</v>
      </c>
      <c r="AY169" s="226">
        <v>11872233</v>
      </c>
      <c r="AZ169" s="226">
        <v>11872233</v>
      </c>
      <c r="BA169" s="226">
        <v>11872233</v>
      </c>
      <c r="BB169" s="226">
        <v>11872233</v>
      </c>
      <c r="BC169" s="224">
        <v>11872233</v>
      </c>
      <c r="BD169" s="224">
        <v>11872233</v>
      </c>
      <c r="BE169" s="224">
        <v>11872233</v>
      </c>
      <c r="BF169" s="224">
        <v>11872233</v>
      </c>
      <c r="BG169" s="224">
        <v>11872233</v>
      </c>
      <c r="BH169" s="224">
        <v>11872233</v>
      </c>
      <c r="BI169" s="224">
        <v>11872233</v>
      </c>
      <c r="BJ169" s="224">
        <v>11872233</v>
      </c>
      <c r="BK169" s="224">
        <v>11872233</v>
      </c>
      <c r="BL169" s="224">
        <v>11872233</v>
      </c>
      <c r="BM169" s="224">
        <v>11872233</v>
      </c>
      <c r="BN169" s="224">
        <v>11872233</v>
      </c>
      <c r="BO169" s="224">
        <v>11872233</v>
      </c>
    </row>
    <row r="170" spans="1:67">
      <c r="A170" s="223">
        <v>1</v>
      </c>
      <c r="B170" s="151" t="s">
        <v>1797</v>
      </c>
      <c r="C170" s="223">
        <v>168</v>
      </c>
      <c r="D170" s="224">
        <v>11872233</v>
      </c>
      <c r="E170" s="225">
        <v>11872233</v>
      </c>
      <c r="F170" s="225">
        <v>11872233</v>
      </c>
      <c r="G170" s="225">
        <v>11872233</v>
      </c>
      <c r="H170" s="225">
        <v>11872233</v>
      </c>
      <c r="I170" s="225">
        <v>11872233</v>
      </c>
      <c r="J170" s="225">
        <v>11872233</v>
      </c>
      <c r="K170" s="237">
        <v>11872233</v>
      </c>
      <c r="L170" s="237">
        <v>11872233</v>
      </c>
      <c r="M170" s="237">
        <v>11872233</v>
      </c>
      <c r="N170" s="237">
        <v>11872233</v>
      </c>
      <c r="O170" s="237">
        <v>11872233</v>
      </c>
      <c r="P170" s="237">
        <v>11872233</v>
      </c>
      <c r="Q170" s="237">
        <v>11872233</v>
      </c>
      <c r="R170" s="237">
        <v>11872233</v>
      </c>
      <c r="S170" s="237">
        <v>11872233</v>
      </c>
      <c r="T170" s="224">
        <v>11872233</v>
      </c>
      <c r="U170" s="224">
        <v>11872233</v>
      </c>
      <c r="V170" s="224">
        <v>11872233</v>
      </c>
      <c r="W170" s="224">
        <v>11872233</v>
      </c>
      <c r="X170" s="226">
        <v>11872233</v>
      </c>
      <c r="Y170" s="226">
        <v>11872233</v>
      </c>
      <c r="Z170" s="226">
        <v>11872233</v>
      </c>
      <c r="AA170" s="224">
        <v>11872233</v>
      </c>
      <c r="AB170" s="224">
        <v>11872233</v>
      </c>
      <c r="AC170" s="224">
        <v>11872233</v>
      </c>
      <c r="AD170" s="224">
        <v>11872233</v>
      </c>
      <c r="AE170" s="224">
        <v>11872233</v>
      </c>
      <c r="AF170" s="224">
        <v>11872233</v>
      </c>
      <c r="AG170" s="224">
        <v>11872233</v>
      </c>
      <c r="AH170" s="226">
        <v>11872233</v>
      </c>
      <c r="AI170" s="226">
        <v>11872233</v>
      </c>
      <c r="AJ170" s="226">
        <v>11872233</v>
      </c>
      <c r="AK170" s="226">
        <v>11872233</v>
      </c>
      <c r="AL170" s="226">
        <v>11872233</v>
      </c>
      <c r="AM170" s="226">
        <v>11872233</v>
      </c>
      <c r="AN170" s="235">
        <v>11872233</v>
      </c>
      <c r="AO170" s="235">
        <v>11872233</v>
      </c>
      <c r="AP170" s="235">
        <v>11872233</v>
      </c>
      <c r="AQ170" s="236">
        <v>11872233</v>
      </c>
      <c r="AR170" s="236">
        <v>11872233</v>
      </c>
      <c r="AS170" s="236">
        <v>11872233</v>
      </c>
      <c r="AT170" s="236">
        <v>11872233</v>
      </c>
      <c r="AU170" s="236">
        <v>11872233</v>
      </c>
      <c r="AV170" s="236">
        <v>11872233</v>
      </c>
      <c r="AW170" s="226">
        <v>11872233</v>
      </c>
      <c r="AX170" s="226">
        <v>11872233</v>
      </c>
      <c r="AY170" s="226">
        <v>11872233</v>
      </c>
      <c r="AZ170" s="226">
        <v>11872233</v>
      </c>
      <c r="BA170" s="226">
        <v>11872233</v>
      </c>
      <c r="BB170" s="226">
        <v>11872233</v>
      </c>
      <c r="BC170" s="224">
        <v>11872233</v>
      </c>
      <c r="BD170" s="224">
        <v>11872233</v>
      </c>
      <c r="BE170" s="224">
        <v>11872233</v>
      </c>
      <c r="BF170" s="224">
        <v>11872233</v>
      </c>
      <c r="BG170" s="224">
        <v>11872233</v>
      </c>
      <c r="BH170" s="224">
        <v>11872233</v>
      </c>
      <c r="BI170" s="224">
        <v>11872233</v>
      </c>
      <c r="BJ170" s="224">
        <v>11872233</v>
      </c>
      <c r="BK170" s="224">
        <v>11872233</v>
      </c>
      <c r="BL170" s="224">
        <v>11872233</v>
      </c>
      <c r="BM170" s="224">
        <v>11872233</v>
      </c>
      <c r="BN170" s="224">
        <v>11872233</v>
      </c>
      <c r="BO170" s="224">
        <v>11872233</v>
      </c>
    </row>
    <row r="171" spans="1:67">
      <c r="A171" s="256"/>
      <c r="B171" s="257" t="s">
        <v>1790</v>
      </c>
      <c r="C171" s="223">
        <v>169</v>
      </c>
      <c r="D171" s="258">
        <v>7973585</v>
      </c>
      <c r="E171" s="258">
        <v>7973585</v>
      </c>
      <c r="F171" s="258">
        <v>7973585</v>
      </c>
      <c r="G171" s="258">
        <v>7973585</v>
      </c>
      <c r="H171" s="258">
        <v>7973585</v>
      </c>
      <c r="I171" s="258">
        <v>7973585</v>
      </c>
      <c r="J171" s="258">
        <v>7973585</v>
      </c>
      <c r="K171" s="258">
        <v>7973585</v>
      </c>
      <c r="L171" s="258">
        <v>7973585</v>
      </c>
      <c r="M171" s="258">
        <v>7973585</v>
      </c>
      <c r="N171" s="258">
        <v>7973585</v>
      </c>
      <c r="O171" s="258">
        <v>7973585</v>
      </c>
      <c r="P171" s="258">
        <v>7973585</v>
      </c>
      <c r="Q171" s="258">
        <v>7973585</v>
      </c>
      <c r="R171" s="258">
        <v>7973585</v>
      </c>
      <c r="S171" s="258">
        <v>7973585</v>
      </c>
      <c r="T171" s="258">
        <v>7973585</v>
      </c>
      <c r="U171" s="258">
        <v>7973585</v>
      </c>
      <c r="V171" s="258">
        <v>7973585</v>
      </c>
      <c r="W171" s="258">
        <v>7973585</v>
      </c>
      <c r="X171" s="258">
        <v>7973585</v>
      </c>
      <c r="Y171" s="258">
        <v>7973585</v>
      </c>
      <c r="Z171" s="258">
        <v>7973585</v>
      </c>
      <c r="AA171" s="258">
        <v>7973585</v>
      </c>
      <c r="AB171" s="258">
        <v>7973585</v>
      </c>
      <c r="AC171" s="258">
        <v>7973585</v>
      </c>
      <c r="AD171" s="258">
        <v>7973585</v>
      </c>
      <c r="AE171" s="258">
        <v>7973585</v>
      </c>
      <c r="AF171" s="258">
        <v>7973585</v>
      </c>
      <c r="AG171" s="258">
        <v>7973585</v>
      </c>
      <c r="AH171" s="258">
        <v>7973585</v>
      </c>
      <c r="AI171" s="258">
        <v>7973585</v>
      </c>
      <c r="AJ171" s="258">
        <v>7973585</v>
      </c>
      <c r="AK171" s="258">
        <v>7973585</v>
      </c>
      <c r="AL171" s="258">
        <v>7973585</v>
      </c>
      <c r="AM171" s="258">
        <v>7973585</v>
      </c>
      <c r="AN171" s="258">
        <v>7973585</v>
      </c>
      <c r="AO171" s="258">
        <v>7973585</v>
      </c>
      <c r="AP171" s="258">
        <v>7973585</v>
      </c>
      <c r="AQ171" s="258">
        <v>7973585</v>
      </c>
      <c r="AR171" s="258">
        <v>7973585</v>
      </c>
      <c r="AS171" s="258">
        <v>7973585</v>
      </c>
      <c r="AT171" s="258">
        <v>7973585</v>
      </c>
      <c r="AU171" s="258">
        <v>7973585</v>
      </c>
      <c r="AV171" s="258">
        <v>7973585</v>
      </c>
      <c r="AW171" s="258">
        <v>7973585</v>
      </c>
      <c r="AX171" s="258">
        <v>7973585</v>
      </c>
      <c r="AY171" s="258">
        <v>7973585</v>
      </c>
      <c r="AZ171" s="258">
        <v>7973585</v>
      </c>
      <c r="BA171" s="258">
        <v>7973585</v>
      </c>
      <c r="BB171" s="258">
        <v>7973585</v>
      </c>
      <c r="BC171" s="258">
        <v>7973585</v>
      </c>
      <c r="BD171" s="258">
        <v>7973585</v>
      </c>
      <c r="BE171" s="258">
        <v>7973585</v>
      </c>
      <c r="BF171" s="258">
        <v>7973585</v>
      </c>
      <c r="BG171" s="258">
        <v>7973585</v>
      </c>
      <c r="BH171" s="258">
        <v>7973585</v>
      </c>
      <c r="BI171" s="258">
        <v>7973585</v>
      </c>
      <c r="BJ171" s="258">
        <v>7973585</v>
      </c>
      <c r="BK171" s="258">
        <v>7973585</v>
      </c>
      <c r="BL171" s="258">
        <v>7973585</v>
      </c>
      <c r="BM171" s="258">
        <v>7973585</v>
      </c>
      <c r="BN171" s="258">
        <v>7973585</v>
      </c>
      <c r="BO171" s="258">
        <v>7973585</v>
      </c>
    </row>
    <row r="172" spans="1:67">
      <c r="A172" s="229" t="s">
        <v>29</v>
      </c>
      <c r="B172" s="230" t="s">
        <v>27</v>
      </c>
      <c r="C172" s="223">
        <v>170</v>
      </c>
      <c r="D172" s="224"/>
      <c r="E172" s="225">
        <f t="shared" si="99"/>
        <v>0</v>
      </c>
      <c r="F172" s="225">
        <f t="shared" si="99"/>
        <v>0</v>
      </c>
      <c r="G172" s="225">
        <f t="shared" si="99"/>
        <v>0</v>
      </c>
      <c r="H172" s="225">
        <f t="shared" si="99"/>
        <v>0</v>
      </c>
      <c r="I172" s="225">
        <f t="shared" si="99"/>
        <v>0</v>
      </c>
      <c r="J172" s="225">
        <f t="shared" si="99"/>
        <v>0</v>
      </c>
      <c r="K172" s="237"/>
      <c r="L172" s="237">
        <f t="shared" si="93"/>
        <v>0</v>
      </c>
      <c r="M172" s="237">
        <f t="shared" si="93"/>
        <v>0</v>
      </c>
      <c r="N172" s="237">
        <f t="shared" si="93"/>
        <v>0</v>
      </c>
      <c r="O172" s="237">
        <f t="shared" si="93"/>
        <v>0</v>
      </c>
      <c r="P172" s="237">
        <f t="shared" si="93"/>
        <v>0</v>
      </c>
      <c r="Q172" s="237">
        <f t="shared" si="93"/>
        <v>0</v>
      </c>
      <c r="R172" s="237">
        <f t="shared" si="93"/>
        <v>0</v>
      </c>
      <c r="S172" s="237">
        <f t="shared" si="93"/>
        <v>0</v>
      </c>
      <c r="T172" s="224"/>
      <c r="U172" s="224">
        <f t="shared" ref="U172:W188" si="107">T172</f>
        <v>0</v>
      </c>
      <c r="V172" s="224">
        <f t="shared" si="107"/>
        <v>0</v>
      </c>
      <c r="W172" s="224">
        <f t="shared" si="107"/>
        <v>0</v>
      </c>
      <c r="X172" s="226"/>
      <c r="Y172" s="226">
        <f t="shared" si="101"/>
        <v>0</v>
      </c>
      <c r="Z172" s="226">
        <f t="shared" si="101"/>
        <v>0</v>
      </c>
      <c r="AA172" s="224"/>
      <c r="AB172" s="224"/>
      <c r="AC172" s="224"/>
      <c r="AD172" s="224">
        <f t="shared" si="102"/>
        <v>0</v>
      </c>
      <c r="AE172" s="224"/>
      <c r="AF172" s="224"/>
      <c r="AG172" s="224">
        <f t="shared" si="103"/>
        <v>0</v>
      </c>
      <c r="AH172" s="226"/>
      <c r="AI172" s="226">
        <f t="shared" si="104"/>
        <v>0</v>
      </c>
      <c r="AJ172" s="226">
        <f t="shared" si="104"/>
        <v>0</v>
      </c>
      <c r="AK172" s="226">
        <f t="shared" si="104"/>
        <v>0</v>
      </c>
      <c r="AL172" s="226">
        <f t="shared" si="104"/>
        <v>0</v>
      </c>
      <c r="AM172" s="226">
        <f t="shared" si="104"/>
        <v>0</v>
      </c>
      <c r="AN172" s="235"/>
      <c r="AO172" s="235">
        <f t="shared" si="100"/>
        <v>0</v>
      </c>
      <c r="AP172" s="235">
        <f t="shared" si="100"/>
        <v>0</v>
      </c>
      <c r="AQ172" s="236">
        <f t="shared" si="100"/>
        <v>0</v>
      </c>
      <c r="AR172" s="236">
        <f t="shared" si="100"/>
        <v>0</v>
      </c>
      <c r="AS172" s="236">
        <f t="shared" si="100"/>
        <v>0</v>
      </c>
      <c r="AT172" s="236">
        <f t="shared" si="100"/>
        <v>0</v>
      </c>
      <c r="AU172" s="236">
        <f t="shared" si="100"/>
        <v>0</v>
      </c>
      <c r="AV172" s="236">
        <f t="shared" si="100"/>
        <v>0</v>
      </c>
      <c r="AW172" s="226"/>
      <c r="AX172" s="226">
        <f t="shared" si="105"/>
        <v>0</v>
      </c>
      <c r="AY172" s="226">
        <f t="shared" si="105"/>
        <v>0</v>
      </c>
      <c r="AZ172" s="226">
        <f t="shared" si="105"/>
        <v>0</v>
      </c>
      <c r="BA172" s="226">
        <f t="shared" si="105"/>
        <v>0</v>
      </c>
      <c r="BB172" s="226">
        <f t="shared" si="105"/>
        <v>0</v>
      </c>
      <c r="BC172" s="224"/>
      <c r="BD172" s="224">
        <f t="shared" si="106"/>
        <v>0</v>
      </c>
      <c r="BE172" s="224">
        <f t="shared" si="106"/>
        <v>0</v>
      </c>
      <c r="BF172" s="224">
        <f t="shared" si="106"/>
        <v>0</v>
      </c>
      <c r="BG172" s="224">
        <f t="shared" si="106"/>
        <v>0</v>
      </c>
      <c r="BH172" s="224">
        <f t="shared" si="106"/>
        <v>0</v>
      </c>
      <c r="BI172" s="224">
        <f t="shared" si="106"/>
        <v>0</v>
      </c>
      <c r="BJ172" s="224">
        <f t="shared" si="106"/>
        <v>0</v>
      </c>
      <c r="BK172" s="224">
        <f t="shared" si="106"/>
        <v>0</v>
      </c>
      <c r="BL172" s="224">
        <f t="shared" si="106"/>
        <v>0</v>
      </c>
      <c r="BM172" s="224">
        <f t="shared" si="106"/>
        <v>0</v>
      </c>
      <c r="BN172" s="224">
        <f t="shared" si="106"/>
        <v>0</v>
      </c>
      <c r="BO172" s="224">
        <f t="shared" si="106"/>
        <v>0</v>
      </c>
    </row>
    <row r="173" spans="1:67">
      <c r="A173" s="223">
        <v>1</v>
      </c>
      <c r="B173" s="151" t="s">
        <v>1789</v>
      </c>
      <c r="C173" s="223">
        <v>171</v>
      </c>
      <c r="D173" s="224">
        <v>9937846</v>
      </c>
      <c r="E173" s="224">
        <v>9937846</v>
      </c>
      <c r="F173" s="224">
        <v>9937846</v>
      </c>
      <c r="G173" s="224">
        <v>9937846</v>
      </c>
      <c r="H173" s="224">
        <v>9937846</v>
      </c>
      <c r="I173" s="224">
        <v>9937846</v>
      </c>
      <c r="J173" s="224">
        <v>9937846</v>
      </c>
      <c r="K173" s="224">
        <v>9937846</v>
      </c>
      <c r="L173" s="224">
        <v>9937846</v>
      </c>
      <c r="M173" s="224">
        <v>9937846</v>
      </c>
      <c r="N173" s="224">
        <v>9937846</v>
      </c>
      <c r="O173" s="224">
        <v>9937846</v>
      </c>
      <c r="P173" s="224">
        <v>9937846</v>
      </c>
      <c r="Q173" s="224">
        <v>9937846</v>
      </c>
      <c r="R173" s="224">
        <v>9937846</v>
      </c>
      <c r="S173" s="224">
        <v>9937846</v>
      </c>
      <c r="T173" s="224">
        <v>9937846</v>
      </c>
      <c r="U173" s="224">
        <v>9937846</v>
      </c>
      <c r="V173" s="224">
        <v>9937846</v>
      </c>
      <c r="W173" s="224">
        <v>9937846</v>
      </c>
      <c r="X173" s="224">
        <v>9937846</v>
      </c>
      <c r="Y173" s="224">
        <v>9937846</v>
      </c>
      <c r="Z173" s="224">
        <v>9937846</v>
      </c>
      <c r="AA173" s="224">
        <v>9937846</v>
      </c>
      <c r="AB173" s="224">
        <v>9937846</v>
      </c>
      <c r="AC173" s="224">
        <v>9937846</v>
      </c>
      <c r="AD173" s="224">
        <v>9937846</v>
      </c>
      <c r="AE173" s="224">
        <v>9937846</v>
      </c>
      <c r="AF173" s="224">
        <v>9937846</v>
      </c>
      <c r="AG173" s="224">
        <v>9937846</v>
      </c>
      <c r="AH173" s="224">
        <v>9937846</v>
      </c>
      <c r="AI173" s="224">
        <v>9937846</v>
      </c>
      <c r="AJ173" s="224">
        <v>9937846</v>
      </c>
      <c r="AK173" s="224">
        <v>9937846</v>
      </c>
      <c r="AL173" s="224">
        <v>9937846</v>
      </c>
      <c r="AM173" s="224">
        <v>9937846</v>
      </c>
      <c r="AN173" s="224">
        <v>9937846</v>
      </c>
      <c r="AO173" s="224">
        <v>9937846</v>
      </c>
      <c r="AP173" s="224">
        <v>9937846</v>
      </c>
      <c r="AQ173" s="224">
        <v>9937846</v>
      </c>
      <c r="AR173" s="224">
        <v>9937846</v>
      </c>
      <c r="AS173" s="224">
        <v>9937846</v>
      </c>
      <c r="AT173" s="224">
        <v>9937846</v>
      </c>
      <c r="AU173" s="224">
        <v>9937846</v>
      </c>
      <c r="AV173" s="224">
        <v>9937846</v>
      </c>
      <c r="AW173" s="224">
        <v>9937846</v>
      </c>
      <c r="AX173" s="224">
        <v>9937846</v>
      </c>
      <c r="AY173" s="224">
        <v>9937846</v>
      </c>
      <c r="AZ173" s="224">
        <v>9937846</v>
      </c>
      <c r="BA173" s="224">
        <v>9937846</v>
      </c>
      <c r="BB173" s="224">
        <v>9937846</v>
      </c>
      <c r="BC173" s="224">
        <v>9937846</v>
      </c>
      <c r="BD173" s="224">
        <v>9937846</v>
      </c>
      <c r="BE173" s="224">
        <v>9937846</v>
      </c>
      <c r="BF173" s="224">
        <v>9937846</v>
      </c>
      <c r="BG173" s="224">
        <v>9937846</v>
      </c>
      <c r="BH173" s="224">
        <v>9937846</v>
      </c>
      <c r="BI173" s="224">
        <v>9937846</v>
      </c>
      <c r="BJ173" s="224">
        <v>9937846</v>
      </c>
      <c r="BK173" s="224">
        <v>9937846</v>
      </c>
      <c r="BL173" s="224">
        <v>9937846</v>
      </c>
      <c r="BM173" s="224">
        <v>9937846</v>
      </c>
      <c r="BN173" s="224">
        <v>9937846</v>
      </c>
      <c r="BO173" s="224">
        <v>9937846</v>
      </c>
    </row>
    <row r="174" spans="1:67" ht="30">
      <c r="A174" s="223">
        <f>+A173+1</f>
        <v>2</v>
      </c>
      <c r="B174" s="228" t="s">
        <v>168</v>
      </c>
      <c r="C174" s="223">
        <v>172</v>
      </c>
      <c r="D174" s="224">
        <v>8138946.3269385761</v>
      </c>
      <c r="E174" s="225">
        <f t="shared" si="99"/>
        <v>8138946.3269385761</v>
      </c>
      <c r="F174" s="225">
        <f t="shared" si="99"/>
        <v>8138946.3269385761</v>
      </c>
      <c r="G174" s="225">
        <f t="shared" si="99"/>
        <v>8138946.3269385761</v>
      </c>
      <c r="H174" s="225">
        <f t="shared" si="99"/>
        <v>8138946.3269385761</v>
      </c>
      <c r="I174" s="225">
        <f t="shared" si="99"/>
        <v>8138946.3269385761</v>
      </c>
      <c r="J174" s="225">
        <f t="shared" si="99"/>
        <v>8138946.3269385761</v>
      </c>
      <c r="K174" s="237">
        <f t="shared" ref="K174:S176" si="108">J174</f>
        <v>8138946.3269385761</v>
      </c>
      <c r="L174" s="237">
        <f t="shared" si="108"/>
        <v>8138946.3269385761</v>
      </c>
      <c r="M174" s="237">
        <f t="shared" si="108"/>
        <v>8138946.3269385761</v>
      </c>
      <c r="N174" s="237">
        <f t="shared" si="108"/>
        <v>8138946.3269385761</v>
      </c>
      <c r="O174" s="237">
        <f t="shared" si="108"/>
        <v>8138946.3269385761</v>
      </c>
      <c r="P174" s="237">
        <f t="shared" si="108"/>
        <v>8138946.3269385761</v>
      </c>
      <c r="Q174" s="237">
        <f t="shared" si="108"/>
        <v>8138946.3269385761</v>
      </c>
      <c r="R174" s="237">
        <f t="shared" si="108"/>
        <v>8138946.3269385761</v>
      </c>
      <c r="S174" s="237">
        <f t="shared" si="108"/>
        <v>8138946.3269385761</v>
      </c>
      <c r="T174" s="224">
        <v>8138946.3269385761</v>
      </c>
      <c r="U174" s="224">
        <f t="shared" si="107"/>
        <v>8138946.3269385761</v>
      </c>
      <c r="V174" s="224">
        <f t="shared" si="107"/>
        <v>8138946.3269385761</v>
      </c>
      <c r="W174" s="224">
        <f t="shared" si="107"/>
        <v>8138946.3269385761</v>
      </c>
      <c r="X174" s="226">
        <v>8138946.3269385761</v>
      </c>
      <c r="Y174" s="226">
        <f t="shared" si="101"/>
        <v>8138946.3269385761</v>
      </c>
      <c r="Z174" s="226">
        <f t="shared" si="101"/>
        <v>8138946.3269385761</v>
      </c>
      <c r="AA174" s="224">
        <v>8138946.3269385761</v>
      </c>
      <c r="AB174" s="224">
        <v>8138946.3269385761</v>
      </c>
      <c r="AC174" s="224">
        <v>8138946.3269385761</v>
      </c>
      <c r="AD174" s="224">
        <f t="shared" si="102"/>
        <v>8138946.3269385761</v>
      </c>
      <c r="AE174" s="224">
        <v>8138946.3269385761</v>
      </c>
      <c r="AF174" s="224">
        <v>8138946.3269385761</v>
      </c>
      <c r="AG174" s="224">
        <f t="shared" si="103"/>
        <v>8138946.3269385761</v>
      </c>
      <c r="AH174" s="226">
        <v>8184467.9168095924</v>
      </c>
      <c r="AI174" s="226">
        <f t="shared" si="104"/>
        <v>8184467.9168095924</v>
      </c>
      <c r="AJ174" s="226">
        <f t="shared" si="104"/>
        <v>8184467.9168095924</v>
      </c>
      <c r="AK174" s="226">
        <f t="shared" si="104"/>
        <v>8184467.9168095924</v>
      </c>
      <c r="AL174" s="226">
        <f t="shared" si="104"/>
        <v>8184467.9168095924</v>
      </c>
      <c r="AM174" s="226">
        <f t="shared" si="104"/>
        <v>8184467.9168095924</v>
      </c>
      <c r="AN174" s="235">
        <v>8184467.9168095924</v>
      </c>
      <c r="AO174" s="235">
        <f t="shared" si="100"/>
        <v>8184467.9168095924</v>
      </c>
      <c r="AP174" s="235">
        <f t="shared" si="100"/>
        <v>8184467.9168095924</v>
      </c>
      <c r="AQ174" s="236">
        <f t="shared" si="100"/>
        <v>8184467.9168095924</v>
      </c>
      <c r="AR174" s="236">
        <f t="shared" si="100"/>
        <v>8184467.9168095924</v>
      </c>
      <c r="AS174" s="236">
        <f t="shared" si="100"/>
        <v>8184467.9168095924</v>
      </c>
      <c r="AT174" s="236">
        <f t="shared" si="100"/>
        <v>8184467.9168095924</v>
      </c>
      <c r="AU174" s="236">
        <f t="shared" si="100"/>
        <v>8184467.9168095924</v>
      </c>
      <c r="AV174" s="236">
        <f t="shared" si="100"/>
        <v>8184467.9168095924</v>
      </c>
      <c r="AW174" s="226">
        <v>8157782.8468852043</v>
      </c>
      <c r="AX174" s="226">
        <f t="shared" si="105"/>
        <v>8157782.8468852043</v>
      </c>
      <c r="AY174" s="226">
        <f t="shared" si="105"/>
        <v>8157782.8468852043</v>
      </c>
      <c r="AZ174" s="226">
        <f t="shared" si="105"/>
        <v>8157782.8468852043</v>
      </c>
      <c r="BA174" s="226">
        <f t="shared" si="105"/>
        <v>8157782.8468852043</v>
      </c>
      <c r="BB174" s="226">
        <f t="shared" si="105"/>
        <v>8157782.8468852043</v>
      </c>
      <c r="BC174" s="224">
        <v>8138946.3269385761</v>
      </c>
      <c r="BD174" s="224">
        <f t="shared" si="106"/>
        <v>8138946.3269385761</v>
      </c>
      <c r="BE174" s="224">
        <f t="shared" si="106"/>
        <v>8138946.3269385761</v>
      </c>
      <c r="BF174" s="224">
        <f t="shared" si="106"/>
        <v>8138946.3269385761</v>
      </c>
      <c r="BG174" s="224">
        <f t="shared" si="106"/>
        <v>8138946.3269385761</v>
      </c>
      <c r="BH174" s="224">
        <f t="shared" si="106"/>
        <v>8138946.3269385761</v>
      </c>
      <c r="BI174" s="224">
        <f t="shared" si="106"/>
        <v>8138946.3269385761</v>
      </c>
      <c r="BJ174" s="224">
        <f t="shared" si="106"/>
        <v>8138946.3269385761</v>
      </c>
      <c r="BK174" s="224">
        <f t="shared" si="106"/>
        <v>8138946.3269385761</v>
      </c>
      <c r="BL174" s="224">
        <f t="shared" si="106"/>
        <v>8138946.3269385761</v>
      </c>
      <c r="BM174" s="224">
        <f t="shared" si="106"/>
        <v>8138946.3269385761</v>
      </c>
      <c r="BN174" s="224">
        <f t="shared" si="106"/>
        <v>8138946.3269385761</v>
      </c>
      <c r="BO174" s="224">
        <f t="shared" si="106"/>
        <v>8138946.3269385761</v>
      </c>
    </row>
    <row r="175" spans="1:67">
      <c r="A175" s="223">
        <f>+A174+1</f>
        <v>3</v>
      </c>
      <c r="B175" s="228" t="s">
        <v>209</v>
      </c>
      <c r="C175" s="223">
        <v>173</v>
      </c>
      <c r="D175" s="224">
        <v>12098644.419531833</v>
      </c>
      <c r="E175" s="225">
        <f t="shared" si="99"/>
        <v>12098644.419531833</v>
      </c>
      <c r="F175" s="225">
        <f t="shared" si="99"/>
        <v>12098644.419531833</v>
      </c>
      <c r="G175" s="225">
        <f t="shared" si="99"/>
        <v>12098644.419531833</v>
      </c>
      <c r="H175" s="225">
        <f t="shared" si="99"/>
        <v>12098644.419531833</v>
      </c>
      <c r="I175" s="225">
        <f t="shared" si="99"/>
        <v>12098644.419531833</v>
      </c>
      <c r="J175" s="225">
        <f t="shared" si="99"/>
        <v>12098644.419531833</v>
      </c>
      <c r="K175" s="237">
        <f t="shared" si="108"/>
        <v>12098644.419531833</v>
      </c>
      <c r="L175" s="237">
        <f t="shared" si="108"/>
        <v>12098644.419531833</v>
      </c>
      <c r="M175" s="237">
        <f t="shared" si="108"/>
        <v>12098644.419531833</v>
      </c>
      <c r="N175" s="237">
        <f t="shared" si="108"/>
        <v>12098644.419531833</v>
      </c>
      <c r="O175" s="237">
        <f t="shared" si="108"/>
        <v>12098644.419531833</v>
      </c>
      <c r="P175" s="237">
        <f t="shared" si="108"/>
        <v>12098644.419531833</v>
      </c>
      <c r="Q175" s="237">
        <f t="shared" si="108"/>
        <v>12098644.419531833</v>
      </c>
      <c r="R175" s="237">
        <f t="shared" si="108"/>
        <v>12098644.419531833</v>
      </c>
      <c r="S175" s="237">
        <f t="shared" si="108"/>
        <v>12098644.419531833</v>
      </c>
      <c r="T175" s="224">
        <v>12098644.419531833</v>
      </c>
      <c r="U175" s="224">
        <f t="shared" si="107"/>
        <v>12098644.419531833</v>
      </c>
      <c r="V175" s="224">
        <f t="shared" si="107"/>
        <v>12098644.419531833</v>
      </c>
      <c r="W175" s="224">
        <f t="shared" si="107"/>
        <v>12098644.419531833</v>
      </c>
      <c r="X175" s="226">
        <v>12098644.419531833</v>
      </c>
      <c r="Y175" s="226">
        <f t="shared" si="101"/>
        <v>12098644.419531833</v>
      </c>
      <c r="Z175" s="226">
        <f t="shared" si="101"/>
        <v>12098644.419531833</v>
      </c>
      <c r="AA175" s="224">
        <v>12098644.419531833</v>
      </c>
      <c r="AB175" s="224">
        <v>12098644.419531833</v>
      </c>
      <c r="AC175" s="224">
        <v>12098644.419531833</v>
      </c>
      <c r="AD175" s="224">
        <f t="shared" si="102"/>
        <v>12098644.419531833</v>
      </c>
      <c r="AE175" s="224">
        <v>12098644.419531833</v>
      </c>
      <c r="AF175" s="224">
        <v>12098644.419531833</v>
      </c>
      <c r="AG175" s="224">
        <f t="shared" si="103"/>
        <v>12098644.419531833</v>
      </c>
      <c r="AH175" s="226">
        <v>12166312.826121308</v>
      </c>
      <c r="AI175" s="226">
        <f t="shared" si="104"/>
        <v>12166312.826121308</v>
      </c>
      <c r="AJ175" s="226">
        <f t="shared" si="104"/>
        <v>12166312.826121308</v>
      </c>
      <c r="AK175" s="226">
        <f t="shared" si="104"/>
        <v>12166312.826121308</v>
      </c>
      <c r="AL175" s="226">
        <f t="shared" si="104"/>
        <v>12166312.826121308</v>
      </c>
      <c r="AM175" s="226">
        <f t="shared" si="104"/>
        <v>12166312.826121308</v>
      </c>
      <c r="AN175" s="235">
        <v>12166312.826121308</v>
      </c>
      <c r="AO175" s="235">
        <f t="shared" si="100"/>
        <v>12166312.826121308</v>
      </c>
      <c r="AP175" s="235">
        <f t="shared" si="100"/>
        <v>12166312.826121308</v>
      </c>
      <c r="AQ175" s="236">
        <f t="shared" si="100"/>
        <v>12166312.826121308</v>
      </c>
      <c r="AR175" s="236">
        <f t="shared" si="100"/>
        <v>12166312.826121308</v>
      </c>
      <c r="AS175" s="236">
        <f t="shared" si="100"/>
        <v>12166312.826121308</v>
      </c>
      <c r="AT175" s="236">
        <f t="shared" si="100"/>
        <v>12166312.826121308</v>
      </c>
      <c r="AU175" s="236">
        <f t="shared" si="100"/>
        <v>12166312.826121308</v>
      </c>
      <c r="AV175" s="236">
        <f t="shared" si="100"/>
        <v>12166312.826121308</v>
      </c>
      <c r="AW175" s="226">
        <v>12126645.139499892</v>
      </c>
      <c r="AX175" s="226">
        <f t="shared" si="105"/>
        <v>12126645.139499892</v>
      </c>
      <c r="AY175" s="226">
        <f t="shared" si="105"/>
        <v>12126645.139499892</v>
      </c>
      <c r="AZ175" s="226">
        <f t="shared" si="105"/>
        <v>12126645.139499892</v>
      </c>
      <c r="BA175" s="226">
        <f t="shared" si="105"/>
        <v>12126645.139499892</v>
      </c>
      <c r="BB175" s="226">
        <f t="shared" si="105"/>
        <v>12126645.139499892</v>
      </c>
      <c r="BC175" s="224">
        <v>12098644.419531833</v>
      </c>
      <c r="BD175" s="224">
        <f t="shared" si="106"/>
        <v>12098644.419531833</v>
      </c>
      <c r="BE175" s="224">
        <f t="shared" si="106"/>
        <v>12098644.419531833</v>
      </c>
      <c r="BF175" s="224">
        <f t="shared" si="106"/>
        <v>12098644.419531833</v>
      </c>
      <c r="BG175" s="224">
        <f t="shared" si="106"/>
        <v>12098644.419531833</v>
      </c>
      <c r="BH175" s="224">
        <f t="shared" si="106"/>
        <v>12098644.419531833</v>
      </c>
      <c r="BI175" s="224">
        <f t="shared" si="106"/>
        <v>12098644.419531833</v>
      </c>
      <c r="BJ175" s="224">
        <f t="shared" si="106"/>
        <v>12098644.419531833</v>
      </c>
      <c r="BK175" s="224">
        <f t="shared" si="106"/>
        <v>12098644.419531833</v>
      </c>
      <c r="BL175" s="224">
        <f t="shared" si="106"/>
        <v>12098644.419531833</v>
      </c>
      <c r="BM175" s="224">
        <f t="shared" si="106"/>
        <v>12098644.419531833</v>
      </c>
      <c r="BN175" s="224">
        <f t="shared" si="106"/>
        <v>12098644.419531833</v>
      </c>
      <c r="BO175" s="224">
        <f t="shared" si="106"/>
        <v>12098644.419531833</v>
      </c>
    </row>
    <row r="176" spans="1:67" ht="30">
      <c r="A176" s="223">
        <f>+A175+1</f>
        <v>4</v>
      </c>
      <c r="B176" s="228" t="s">
        <v>169</v>
      </c>
      <c r="C176" s="223">
        <v>174</v>
      </c>
      <c r="D176" s="224">
        <v>9358539.4706320986</v>
      </c>
      <c r="E176" s="225">
        <f t="shared" si="99"/>
        <v>9358539.4706320986</v>
      </c>
      <c r="F176" s="225">
        <f t="shared" si="99"/>
        <v>9358539.4706320986</v>
      </c>
      <c r="G176" s="225">
        <f t="shared" si="99"/>
        <v>9358539.4706320986</v>
      </c>
      <c r="H176" s="225">
        <f t="shared" si="99"/>
        <v>9358539.4706320986</v>
      </c>
      <c r="I176" s="225">
        <f t="shared" si="99"/>
        <v>9358539.4706320986</v>
      </c>
      <c r="J176" s="225">
        <f t="shared" si="99"/>
        <v>9358539.4706320986</v>
      </c>
      <c r="K176" s="237">
        <f t="shared" si="108"/>
        <v>9358539.4706320986</v>
      </c>
      <c r="L176" s="237">
        <f t="shared" si="108"/>
        <v>9358539.4706320986</v>
      </c>
      <c r="M176" s="237">
        <f t="shared" si="108"/>
        <v>9358539.4706320986</v>
      </c>
      <c r="N176" s="237">
        <f t="shared" si="108"/>
        <v>9358539.4706320986</v>
      </c>
      <c r="O176" s="237">
        <f t="shared" si="108"/>
        <v>9358539.4706320986</v>
      </c>
      <c r="P176" s="237">
        <f t="shared" si="108"/>
        <v>9358539.4706320986</v>
      </c>
      <c r="Q176" s="237">
        <f t="shared" si="108"/>
        <v>9358539.4706320986</v>
      </c>
      <c r="R176" s="237">
        <f t="shared" si="108"/>
        <v>9358539.4706320986</v>
      </c>
      <c r="S176" s="237">
        <f t="shared" si="108"/>
        <v>9358539.4706320986</v>
      </c>
      <c r="T176" s="224">
        <v>9358539.4706320986</v>
      </c>
      <c r="U176" s="224">
        <f t="shared" si="107"/>
        <v>9358539.4706320986</v>
      </c>
      <c r="V176" s="224">
        <f t="shared" si="107"/>
        <v>9358539.4706320986</v>
      </c>
      <c r="W176" s="224">
        <f t="shared" si="107"/>
        <v>9358539.4706320986</v>
      </c>
      <c r="X176" s="226">
        <v>9358539.4706320986</v>
      </c>
      <c r="Y176" s="226">
        <f t="shared" si="101"/>
        <v>9358539.4706320986</v>
      </c>
      <c r="Z176" s="226">
        <f t="shared" si="101"/>
        <v>9358539.4706320986</v>
      </c>
      <c r="AA176" s="224">
        <v>9358539.4706320986</v>
      </c>
      <c r="AB176" s="224">
        <v>9358539.4706320986</v>
      </c>
      <c r="AC176" s="224">
        <v>9358539.4706320986</v>
      </c>
      <c r="AD176" s="224">
        <f t="shared" si="102"/>
        <v>9358539.4706320986</v>
      </c>
      <c r="AE176" s="224">
        <v>9358539.4706320986</v>
      </c>
      <c r="AF176" s="224">
        <v>9358539.4706320986</v>
      </c>
      <c r="AG176" s="224">
        <f t="shared" si="103"/>
        <v>9358539.4706320986</v>
      </c>
      <c r="AH176" s="226">
        <v>9410882.314344408</v>
      </c>
      <c r="AI176" s="226">
        <f t="shared" si="104"/>
        <v>9410882.314344408</v>
      </c>
      <c r="AJ176" s="226">
        <f t="shared" si="104"/>
        <v>9410882.314344408</v>
      </c>
      <c r="AK176" s="226">
        <f t="shared" si="104"/>
        <v>9410882.314344408</v>
      </c>
      <c r="AL176" s="226">
        <f t="shared" si="104"/>
        <v>9410882.314344408</v>
      </c>
      <c r="AM176" s="226">
        <f t="shared" si="104"/>
        <v>9410882.314344408</v>
      </c>
      <c r="AN176" s="235">
        <v>9410882.314344408</v>
      </c>
      <c r="AO176" s="235">
        <f t="shared" si="100"/>
        <v>9410882.314344408</v>
      </c>
      <c r="AP176" s="235">
        <f t="shared" si="100"/>
        <v>9410882.314344408</v>
      </c>
      <c r="AQ176" s="236">
        <f t="shared" si="100"/>
        <v>9410882.314344408</v>
      </c>
      <c r="AR176" s="236">
        <f t="shared" si="100"/>
        <v>9410882.314344408</v>
      </c>
      <c r="AS176" s="236">
        <f t="shared" si="100"/>
        <v>9410882.314344408</v>
      </c>
      <c r="AT176" s="236">
        <f t="shared" si="100"/>
        <v>9410882.314344408</v>
      </c>
      <c r="AU176" s="236">
        <f t="shared" si="100"/>
        <v>9410882.314344408</v>
      </c>
      <c r="AV176" s="236">
        <f t="shared" si="100"/>
        <v>9410882.314344408</v>
      </c>
      <c r="AW176" s="226">
        <v>9380198.5783751234</v>
      </c>
      <c r="AX176" s="226">
        <f t="shared" si="105"/>
        <v>9380198.5783751234</v>
      </c>
      <c r="AY176" s="226">
        <f t="shared" si="105"/>
        <v>9380198.5783751234</v>
      </c>
      <c r="AZ176" s="226">
        <f t="shared" si="105"/>
        <v>9380198.5783751234</v>
      </c>
      <c r="BA176" s="226">
        <f t="shared" si="105"/>
        <v>9380198.5783751234</v>
      </c>
      <c r="BB176" s="226">
        <f t="shared" si="105"/>
        <v>9380198.5783751234</v>
      </c>
      <c r="BC176" s="224">
        <v>9358539.4706320986</v>
      </c>
      <c r="BD176" s="224">
        <f t="shared" si="106"/>
        <v>9358539.4706320986</v>
      </c>
      <c r="BE176" s="224">
        <f t="shared" si="106"/>
        <v>9358539.4706320986</v>
      </c>
      <c r="BF176" s="224">
        <f t="shared" si="106"/>
        <v>9358539.4706320986</v>
      </c>
      <c r="BG176" s="224">
        <f t="shared" si="106"/>
        <v>9358539.4706320986</v>
      </c>
      <c r="BH176" s="224">
        <f t="shared" si="106"/>
        <v>9358539.4706320986</v>
      </c>
      <c r="BI176" s="224">
        <f t="shared" si="106"/>
        <v>9358539.4706320986</v>
      </c>
      <c r="BJ176" s="224">
        <f t="shared" si="106"/>
        <v>9358539.4706320986</v>
      </c>
      <c r="BK176" s="224">
        <f t="shared" si="106"/>
        <v>9358539.4706320986</v>
      </c>
      <c r="BL176" s="224">
        <f t="shared" si="106"/>
        <v>9358539.4706320986</v>
      </c>
      <c r="BM176" s="224">
        <f t="shared" si="106"/>
        <v>9358539.4706320986</v>
      </c>
      <c r="BN176" s="224">
        <f t="shared" si="106"/>
        <v>9358539.4706320986</v>
      </c>
      <c r="BO176" s="224">
        <f t="shared" si="106"/>
        <v>9358539.4706320986</v>
      </c>
    </row>
    <row r="177" spans="1:67">
      <c r="A177" s="256"/>
      <c r="B177" s="228" t="s">
        <v>1787</v>
      </c>
      <c r="C177" s="223">
        <v>175</v>
      </c>
      <c r="D177" s="258">
        <v>17843542</v>
      </c>
      <c r="E177" s="258">
        <v>17843542</v>
      </c>
      <c r="F177" s="258">
        <v>17843542</v>
      </c>
      <c r="G177" s="258">
        <v>17843542</v>
      </c>
      <c r="H177" s="258">
        <v>17843542</v>
      </c>
      <c r="I177" s="258">
        <v>17843542</v>
      </c>
      <c r="J177" s="258">
        <v>17843542</v>
      </c>
      <c r="K177" s="258">
        <v>17843542</v>
      </c>
      <c r="L177" s="258">
        <v>17843542</v>
      </c>
      <c r="M177" s="258">
        <v>17843542</v>
      </c>
      <c r="N177" s="258">
        <v>17843542</v>
      </c>
      <c r="O177" s="258">
        <v>17843542</v>
      </c>
      <c r="P177" s="258">
        <v>17843542</v>
      </c>
      <c r="Q177" s="258">
        <v>17843542</v>
      </c>
      <c r="R177" s="258">
        <v>17843542</v>
      </c>
      <c r="S177" s="258">
        <v>17843542</v>
      </c>
      <c r="T177" s="258">
        <v>17843542</v>
      </c>
      <c r="U177" s="258">
        <v>17843542</v>
      </c>
      <c r="V177" s="258">
        <v>17843542</v>
      </c>
      <c r="W177" s="258">
        <v>17843542</v>
      </c>
      <c r="X177" s="258">
        <v>17843542</v>
      </c>
      <c r="Y177" s="258">
        <v>17843542</v>
      </c>
      <c r="Z177" s="258">
        <v>17843542</v>
      </c>
      <c r="AA177" s="258">
        <v>17843542</v>
      </c>
      <c r="AB177" s="258">
        <v>17843542</v>
      </c>
      <c r="AC177" s="258">
        <v>17843542</v>
      </c>
      <c r="AD177" s="258">
        <v>17843542</v>
      </c>
      <c r="AE177" s="258">
        <v>17843542</v>
      </c>
      <c r="AF177" s="258">
        <v>17843542</v>
      </c>
      <c r="AG177" s="258">
        <v>17843542</v>
      </c>
      <c r="AH177" s="258">
        <v>17843542</v>
      </c>
      <c r="AI177" s="258">
        <v>17843542</v>
      </c>
      <c r="AJ177" s="258">
        <v>17843542</v>
      </c>
      <c r="AK177" s="258">
        <v>17843542</v>
      </c>
      <c r="AL177" s="258">
        <v>17843542</v>
      </c>
      <c r="AM177" s="258">
        <v>17843542</v>
      </c>
      <c r="AN177" s="258">
        <v>17843542</v>
      </c>
      <c r="AO177" s="258">
        <v>17843542</v>
      </c>
      <c r="AP177" s="258">
        <v>17843542</v>
      </c>
      <c r="AQ177" s="258">
        <v>17843542</v>
      </c>
      <c r="AR177" s="258">
        <v>17843542</v>
      </c>
      <c r="AS177" s="258">
        <v>17843542</v>
      </c>
      <c r="AT177" s="258">
        <v>17843542</v>
      </c>
      <c r="AU177" s="258">
        <v>17843542</v>
      </c>
      <c r="AV177" s="258">
        <v>17843542</v>
      </c>
      <c r="AW177" s="258">
        <v>17843542</v>
      </c>
      <c r="AX177" s="258">
        <v>17843542</v>
      </c>
      <c r="AY177" s="258">
        <v>17843542</v>
      </c>
      <c r="AZ177" s="258">
        <v>17843542</v>
      </c>
      <c r="BA177" s="258">
        <v>17843542</v>
      </c>
      <c r="BB177" s="258">
        <v>17843542</v>
      </c>
      <c r="BC177" s="258">
        <v>17843542</v>
      </c>
      <c r="BD177" s="258">
        <v>17843542</v>
      </c>
      <c r="BE177" s="258">
        <v>17843542</v>
      </c>
      <c r="BF177" s="258">
        <v>17843542</v>
      </c>
      <c r="BG177" s="258">
        <v>17843542</v>
      </c>
      <c r="BH177" s="258">
        <v>17843542</v>
      </c>
      <c r="BI177" s="258">
        <v>17843542</v>
      </c>
      <c r="BJ177" s="258">
        <v>17843542</v>
      </c>
      <c r="BK177" s="258">
        <v>17843542</v>
      </c>
      <c r="BL177" s="258">
        <v>17843542</v>
      </c>
      <c r="BM177" s="258">
        <v>17843542</v>
      </c>
      <c r="BN177" s="258">
        <v>17843542</v>
      </c>
      <c r="BO177" s="258">
        <v>17843542</v>
      </c>
    </row>
    <row r="178" spans="1:67">
      <c r="A178" s="223">
        <f>+A176+1</f>
        <v>5</v>
      </c>
      <c r="B178" s="228" t="s">
        <v>1788</v>
      </c>
      <c r="C178" s="223">
        <v>176</v>
      </c>
      <c r="D178" s="224">
        <v>19610953</v>
      </c>
      <c r="E178" s="224">
        <v>19610953</v>
      </c>
      <c r="F178" s="224">
        <v>19610953</v>
      </c>
      <c r="G178" s="224">
        <v>19610953</v>
      </c>
      <c r="H178" s="224">
        <v>19610953</v>
      </c>
      <c r="I178" s="224">
        <v>19610953</v>
      </c>
      <c r="J178" s="224">
        <v>19610953</v>
      </c>
      <c r="K178" s="224">
        <v>19610953</v>
      </c>
      <c r="L178" s="224">
        <v>19610953</v>
      </c>
      <c r="M178" s="224">
        <v>19610953</v>
      </c>
      <c r="N178" s="224">
        <v>19610953</v>
      </c>
      <c r="O178" s="224">
        <v>19610953</v>
      </c>
      <c r="P178" s="224">
        <v>19610953</v>
      </c>
      <c r="Q178" s="224">
        <v>19610953</v>
      </c>
      <c r="R178" s="224">
        <v>19610953</v>
      </c>
      <c r="S178" s="224">
        <v>19610953</v>
      </c>
      <c r="T178" s="224">
        <v>19610953</v>
      </c>
      <c r="U178" s="224">
        <v>19610953</v>
      </c>
      <c r="V178" s="224">
        <v>19610953</v>
      </c>
      <c r="W178" s="224">
        <v>19610953</v>
      </c>
      <c r="X178" s="224">
        <v>19610953</v>
      </c>
      <c r="Y178" s="224">
        <v>19610953</v>
      </c>
      <c r="Z178" s="224">
        <v>19610953</v>
      </c>
      <c r="AA178" s="224">
        <v>19610953</v>
      </c>
      <c r="AB178" s="224">
        <v>19610953</v>
      </c>
      <c r="AC178" s="224">
        <v>19610953</v>
      </c>
      <c r="AD178" s="224">
        <v>19610953</v>
      </c>
      <c r="AE178" s="224">
        <v>19610953</v>
      </c>
      <c r="AF178" s="224">
        <v>19610953</v>
      </c>
      <c r="AG178" s="224">
        <v>19610953</v>
      </c>
      <c r="AH178" s="224">
        <v>19610953</v>
      </c>
      <c r="AI178" s="224">
        <v>19610953</v>
      </c>
      <c r="AJ178" s="224">
        <v>19610953</v>
      </c>
      <c r="AK178" s="224">
        <v>19610953</v>
      </c>
      <c r="AL178" s="224">
        <v>19610953</v>
      </c>
      <c r="AM178" s="224">
        <v>19610953</v>
      </c>
      <c r="AN178" s="224">
        <v>19610953</v>
      </c>
      <c r="AO178" s="224">
        <v>19610953</v>
      </c>
      <c r="AP178" s="224">
        <v>19610953</v>
      </c>
      <c r="AQ178" s="224">
        <v>19610953</v>
      </c>
      <c r="AR178" s="224">
        <v>19610953</v>
      </c>
      <c r="AS178" s="224">
        <v>19610953</v>
      </c>
      <c r="AT178" s="224">
        <v>19610953</v>
      </c>
      <c r="AU178" s="224">
        <v>19610953</v>
      </c>
      <c r="AV178" s="224">
        <v>19610953</v>
      </c>
      <c r="AW178" s="224">
        <v>19610953</v>
      </c>
      <c r="AX178" s="224">
        <v>19610953</v>
      </c>
      <c r="AY178" s="224">
        <v>19610953</v>
      </c>
      <c r="AZ178" s="224">
        <v>19610953</v>
      </c>
      <c r="BA178" s="224">
        <v>19610953</v>
      </c>
      <c r="BB178" s="224">
        <v>19610953</v>
      </c>
      <c r="BC178" s="224">
        <v>19610953</v>
      </c>
      <c r="BD178" s="224">
        <v>19610953</v>
      </c>
      <c r="BE178" s="224">
        <v>19610953</v>
      </c>
      <c r="BF178" s="224">
        <v>19610953</v>
      </c>
      <c r="BG178" s="224">
        <v>19610953</v>
      </c>
      <c r="BH178" s="224">
        <v>19610953</v>
      </c>
      <c r="BI178" s="224">
        <v>19610953</v>
      </c>
      <c r="BJ178" s="224">
        <v>19610953</v>
      </c>
      <c r="BK178" s="224">
        <v>19610953</v>
      </c>
      <c r="BL178" s="224">
        <v>19610953</v>
      </c>
      <c r="BM178" s="224">
        <v>19610953</v>
      </c>
      <c r="BN178" s="224">
        <v>19610953</v>
      </c>
      <c r="BO178" s="224">
        <v>19610953</v>
      </c>
    </row>
    <row r="179" spans="1:67">
      <c r="A179" s="223" t="s">
        <v>30</v>
      </c>
      <c r="B179" s="230" t="s">
        <v>16</v>
      </c>
      <c r="C179" s="223">
        <v>177</v>
      </c>
      <c r="D179" s="234"/>
      <c r="E179" s="225">
        <f t="shared" ref="E179:J193" si="109">D179</f>
        <v>0</v>
      </c>
      <c r="F179" s="225">
        <f t="shared" si="109"/>
        <v>0</v>
      </c>
      <c r="G179" s="225">
        <f t="shared" si="109"/>
        <v>0</v>
      </c>
      <c r="H179" s="225">
        <f t="shared" si="109"/>
        <v>0</v>
      </c>
      <c r="I179" s="225">
        <f t="shared" si="109"/>
        <v>0</v>
      </c>
      <c r="J179" s="225">
        <f t="shared" si="109"/>
        <v>0</v>
      </c>
      <c r="K179" s="237"/>
      <c r="L179" s="237">
        <f t="shared" ref="K179:S193" si="110">K179</f>
        <v>0</v>
      </c>
      <c r="M179" s="237">
        <f t="shared" si="110"/>
        <v>0</v>
      </c>
      <c r="N179" s="237">
        <f t="shared" si="110"/>
        <v>0</v>
      </c>
      <c r="O179" s="237">
        <f t="shared" si="110"/>
        <v>0</v>
      </c>
      <c r="P179" s="237">
        <f t="shared" si="110"/>
        <v>0</v>
      </c>
      <c r="Q179" s="237">
        <f t="shared" si="110"/>
        <v>0</v>
      </c>
      <c r="R179" s="237">
        <f t="shared" si="110"/>
        <v>0</v>
      </c>
      <c r="S179" s="237">
        <f t="shared" si="110"/>
        <v>0</v>
      </c>
      <c r="T179" s="224"/>
      <c r="U179" s="224">
        <f t="shared" si="107"/>
        <v>0</v>
      </c>
      <c r="V179" s="224">
        <f t="shared" si="107"/>
        <v>0</v>
      </c>
      <c r="W179" s="224">
        <f t="shared" si="107"/>
        <v>0</v>
      </c>
      <c r="X179" s="226"/>
      <c r="Y179" s="226">
        <f t="shared" si="101"/>
        <v>0</v>
      </c>
      <c r="Z179" s="226">
        <f t="shared" si="101"/>
        <v>0</v>
      </c>
      <c r="AA179" s="234"/>
      <c r="AB179" s="234"/>
      <c r="AC179" s="234"/>
      <c r="AD179" s="224">
        <f t="shared" si="102"/>
        <v>0</v>
      </c>
      <c r="AE179" s="234"/>
      <c r="AF179" s="234"/>
      <c r="AG179" s="224">
        <f t="shared" si="103"/>
        <v>0</v>
      </c>
      <c r="AH179" s="226"/>
      <c r="AI179" s="226">
        <f t="shared" si="104"/>
        <v>0</v>
      </c>
      <c r="AJ179" s="226">
        <f t="shared" si="104"/>
        <v>0</v>
      </c>
      <c r="AK179" s="226">
        <f t="shared" si="104"/>
        <v>0</v>
      </c>
      <c r="AL179" s="226">
        <f t="shared" si="104"/>
        <v>0</v>
      </c>
      <c r="AM179" s="226">
        <f t="shared" si="104"/>
        <v>0</v>
      </c>
      <c r="AN179" s="235"/>
      <c r="AO179" s="235">
        <f t="shared" ref="AO179:AV193" si="111">AN179</f>
        <v>0</v>
      </c>
      <c r="AP179" s="235">
        <f t="shared" si="111"/>
        <v>0</v>
      </c>
      <c r="AQ179" s="236">
        <f t="shared" si="111"/>
        <v>0</v>
      </c>
      <c r="AR179" s="236">
        <f t="shared" si="111"/>
        <v>0</v>
      </c>
      <c r="AS179" s="236">
        <f t="shared" si="111"/>
        <v>0</v>
      </c>
      <c r="AT179" s="236">
        <f t="shared" si="111"/>
        <v>0</v>
      </c>
      <c r="AU179" s="236">
        <f t="shared" si="111"/>
        <v>0</v>
      </c>
      <c r="AV179" s="236">
        <f t="shared" si="111"/>
        <v>0</v>
      </c>
      <c r="AW179" s="226"/>
      <c r="AX179" s="226">
        <f t="shared" si="105"/>
        <v>0</v>
      </c>
      <c r="AY179" s="226">
        <f t="shared" si="105"/>
        <v>0</v>
      </c>
      <c r="AZ179" s="226">
        <f t="shared" si="105"/>
        <v>0</v>
      </c>
      <c r="BA179" s="226">
        <f t="shared" si="105"/>
        <v>0</v>
      </c>
      <c r="BB179" s="226">
        <f t="shared" si="105"/>
        <v>0</v>
      </c>
      <c r="BC179" s="224"/>
      <c r="BD179" s="224">
        <f t="shared" si="106"/>
        <v>0</v>
      </c>
      <c r="BE179" s="224">
        <f t="shared" si="106"/>
        <v>0</v>
      </c>
      <c r="BF179" s="224">
        <f t="shared" si="106"/>
        <v>0</v>
      </c>
      <c r="BG179" s="224">
        <f t="shared" si="106"/>
        <v>0</v>
      </c>
      <c r="BH179" s="224">
        <f t="shared" si="106"/>
        <v>0</v>
      </c>
      <c r="BI179" s="224">
        <f t="shared" si="106"/>
        <v>0</v>
      </c>
      <c r="BJ179" s="224">
        <f t="shared" si="106"/>
        <v>0</v>
      </c>
      <c r="BK179" s="224">
        <f t="shared" si="106"/>
        <v>0</v>
      </c>
      <c r="BL179" s="224">
        <f t="shared" si="106"/>
        <v>0</v>
      </c>
      <c r="BM179" s="224">
        <f t="shared" si="106"/>
        <v>0</v>
      </c>
      <c r="BN179" s="224">
        <f t="shared" si="106"/>
        <v>0</v>
      </c>
      <c r="BO179" s="224">
        <f t="shared" si="106"/>
        <v>0</v>
      </c>
    </row>
    <row r="180" spans="1:67">
      <c r="A180" s="223">
        <v>1</v>
      </c>
      <c r="B180" s="151" t="s">
        <v>213</v>
      </c>
      <c r="C180" s="223">
        <v>178</v>
      </c>
      <c r="D180" s="224">
        <v>3534206.0940848598</v>
      </c>
      <c r="E180" s="225">
        <f t="shared" si="109"/>
        <v>3534206.0940848598</v>
      </c>
      <c r="F180" s="225">
        <f t="shared" si="109"/>
        <v>3534206.0940848598</v>
      </c>
      <c r="G180" s="225">
        <f t="shared" si="109"/>
        <v>3534206.0940848598</v>
      </c>
      <c r="H180" s="225">
        <f t="shared" si="109"/>
        <v>3534206.0940848598</v>
      </c>
      <c r="I180" s="225">
        <f t="shared" si="109"/>
        <v>3534206.0940848598</v>
      </c>
      <c r="J180" s="225">
        <f t="shared" si="109"/>
        <v>3534206.0940848598</v>
      </c>
      <c r="K180" s="237">
        <f t="shared" si="110"/>
        <v>3534206.0940848598</v>
      </c>
      <c r="L180" s="237">
        <f t="shared" si="110"/>
        <v>3534206.0940848598</v>
      </c>
      <c r="M180" s="237">
        <f t="shared" si="110"/>
        <v>3534206.0940848598</v>
      </c>
      <c r="N180" s="237">
        <f t="shared" si="110"/>
        <v>3534206.0940848598</v>
      </c>
      <c r="O180" s="237">
        <f t="shared" si="110"/>
        <v>3534206.0940848598</v>
      </c>
      <c r="P180" s="237">
        <f t="shared" si="110"/>
        <v>3534206.0940848598</v>
      </c>
      <c r="Q180" s="237">
        <f t="shared" si="110"/>
        <v>3534206.0940848598</v>
      </c>
      <c r="R180" s="237">
        <f t="shared" si="110"/>
        <v>3534206.0940848598</v>
      </c>
      <c r="S180" s="237">
        <f t="shared" si="110"/>
        <v>3534206.0940848598</v>
      </c>
      <c r="T180" s="224">
        <v>3534206.0940848598</v>
      </c>
      <c r="U180" s="224">
        <f t="shared" si="107"/>
        <v>3534206.0940848598</v>
      </c>
      <c r="V180" s="224">
        <f t="shared" si="107"/>
        <v>3534206.0940848598</v>
      </c>
      <c r="W180" s="224">
        <f t="shared" si="107"/>
        <v>3534206.0940848598</v>
      </c>
      <c r="X180" s="226">
        <v>3534206.0940848598</v>
      </c>
      <c r="Y180" s="226">
        <f t="shared" si="101"/>
        <v>3534206.0940848598</v>
      </c>
      <c r="Z180" s="226">
        <f t="shared" si="101"/>
        <v>3534206.0940848598</v>
      </c>
      <c r="AA180" s="224">
        <v>3534206.0940848598</v>
      </c>
      <c r="AB180" s="224">
        <v>3534206.0940848598</v>
      </c>
      <c r="AC180" s="224">
        <v>3534206.0940848598</v>
      </c>
      <c r="AD180" s="224">
        <f t="shared" si="102"/>
        <v>3534206.0940848598</v>
      </c>
      <c r="AE180" s="224">
        <v>3534206.0940848598</v>
      </c>
      <c r="AF180" s="224">
        <v>3534206.0940848598</v>
      </c>
      <c r="AG180" s="224">
        <f t="shared" si="103"/>
        <v>3534206.0940848598</v>
      </c>
      <c r="AH180" s="226">
        <v>3553973.1098473403</v>
      </c>
      <c r="AI180" s="226">
        <f t="shared" si="104"/>
        <v>3553973.1098473403</v>
      </c>
      <c r="AJ180" s="226">
        <f t="shared" si="104"/>
        <v>3553973.1098473403</v>
      </c>
      <c r="AK180" s="226">
        <f t="shared" si="104"/>
        <v>3553973.1098473403</v>
      </c>
      <c r="AL180" s="226">
        <f t="shared" si="104"/>
        <v>3553973.1098473403</v>
      </c>
      <c r="AM180" s="226">
        <f t="shared" si="104"/>
        <v>3553973.1098473403</v>
      </c>
      <c r="AN180" s="235">
        <v>3553973.1098473403</v>
      </c>
      <c r="AO180" s="235">
        <f t="shared" si="111"/>
        <v>3553973.1098473403</v>
      </c>
      <c r="AP180" s="235">
        <f t="shared" si="111"/>
        <v>3553973.1098473403</v>
      </c>
      <c r="AQ180" s="236">
        <f t="shared" si="111"/>
        <v>3553973.1098473403</v>
      </c>
      <c r="AR180" s="236">
        <f t="shared" si="111"/>
        <v>3553973.1098473403</v>
      </c>
      <c r="AS180" s="236">
        <f t="shared" si="111"/>
        <v>3553973.1098473403</v>
      </c>
      <c r="AT180" s="236">
        <f t="shared" si="111"/>
        <v>3553973.1098473403</v>
      </c>
      <c r="AU180" s="236">
        <f t="shared" si="111"/>
        <v>3553973.1098473403</v>
      </c>
      <c r="AV180" s="236">
        <f t="shared" si="111"/>
        <v>3553973.1098473403</v>
      </c>
      <c r="AW180" s="226">
        <v>3542385.5488831275</v>
      </c>
      <c r="AX180" s="226">
        <f t="shared" si="105"/>
        <v>3542385.5488831275</v>
      </c>
      <c r="AY180" s="226">
        <f t="shared" si="105"/>
        <v>3542385.5488831275</v>
      </c>
      <c r="AZ180" s="226">
        <f t="shared" si="105"/>
        <v>3542385.5488831275</v>
      </c>
      <c r="BA180" s="226">
        <f t="shared" si="105"/>
        <v>3542385.5488831275</v>
      </c>
      <c r="BB180" s="226">
        <f t="shared" si="105"/>
        <v>3542385.5488831275</v>
      </c>
      <c r="BC180" s="224">
        <v>3534206.0940848598</v>
      </c>
      <c r="BD180" s="224">
        <f t="shared" si="106"/>
        <v>3534206.0940848598</v>
      </c>
      <c r="BE180" s="224">
        <f t="shared" si="106"/>
        <v>3534206.0940848598</v>
      </c>
      <c r="BF180" s="224">
        <f t="shared" si="106"/>
        <v>3534206.0940848598</v>
      </c>
      <c r="BG180" s="224">
        <f t="shared" si="106"/>
        <v>3534206.0940848598</v>
      </c>
      <c r="BH180" s="224">
        <f t="shared" si="106"/>
        <v>3534206.0940848598</v>
      </c>
      <c r="BI180" s="224">
        <f t="shared" si="106"/>
        <v>3534206.0940848598</v>
      </c>
      <c r="BJ180" s="224">
        <f t="shared" si="106"/>
        <v>3534206.0940848598</v>
      </c>
      <c r="BK180" s="224">
        <f t="shared" si="106"/>
        <v>3534206.0940848598</v>
      </c>
      <c r="BL180" s="224">
        <f t="shared" si="106"/>
        <v>3534206.0940848598</v>
      </c>
      <c r="BM180" s="224">
        <f t="shared" si="106"/>
        <v>3534206.0940848598</v>
      </c>
      <c r="BN180" s="224">
        <f t="shared" si="106"/>
        <v>3534206.0940848598</v>
      </c>
      <c r="BO180" s="224">
        <f t="shared" si="106"/>
        <v>3534206.0940848598</v>
      </c>
    </row>
    <row r="181" spans="1:67">
      <c r="A181" s="223">
        <f>A180+1</f>
        <v>2</v>
      </c>
      <c r="B181" s="151" t="s">
        <v>214</v>
      </c>
      <c r="C181" s="223">
        <v>179</v>
      </c>
      <c r="D181" s="224">
        <v>3534206.0940848598</v>
      </c>
      <c r="E181" s="225">
        <f t="shared" si="109"/>
        <v>3534206.0940848598</v>
      </c>
      <c r="F181" s="225">
        <f t="shared" si="109"/>
        <v>3534206.0940848598</v>
      </c>
      <c r="G181" s="225">
        <f t="shared" si="109"/>
        <v>3534206.0940848598</v>
      </c>
      <c r="H181" s="225">
        <f t="shared" si="109"/>
        <v>3534206.0940848598</v>
      </c>
      <c r="I181" s="225">
        <f t="shared" si="109"/>
        <v>3534206.0940848598</v>
      </c>
      <c r="J181" s="225">
        <f t="shared" si="109"/>
        <v>3534206.0940848598</v>
      </c>
      <c r="K181" s="237">
        <f t="shared" si="110"/>
        <v>3534206.0940848598</v>
      </c>
      <c r="L181" s="237">
        <f t="shared" si="110"/>
        <v>3534206.0940848598</v>
      </c>
      <c r="M181" s="237">
        <f t="shared" si="110"/>
        <v>3534206.0940848598</v>
      </c>
      <c r="N181" s="237">
        <f t="shared" si="110"/>
        <v>3534206.0940848598</v>
      </c>
      <c r="O181" s="237">
        <f t="shared" si="110"/>
        <v>3534206.0940848598</v>
      </c>
      <c r="P181" s="237">
        <f t="shared" si="110"/>
        <v>3534206.0940848598</v>
      </c>
      <c r="Q181" s="237">
        <f t="shared" si="110"/>
        <v>3534206.0940848598</v>
      </c>
      <c r="R181" s="237">
        <f t="shared" si="110"/>
        <v>3534206.0940848598</v>
      </c>
      <c r="S181" s="237">
        <f t="shared" si="110"/>
        <v>3534206.0940848598</v>
      </c>
      <c r="T181" s="224">
        <v>3534206.0940848598</v>
      </c>
      <c r="U181" s="224">
        <f t="shared" si="107"/>
        <v>3534206.0940848598</v>
      </c>
      <c r="V181" s="224">
        <f t="shared" si="107"/>
        <v>3534206.0940848598</v>
      </c>
      <c r="W181" s="224">
        <f t="shared" si="107"/>
        <v>3534206.0940848598</v>
      </c>
      <c r="X181" s="226">
        <v>3534206.0940848598</v>
      </c>
      <c r="Y181" s="226">
        <f t="shared" si="101"/>
        <v>3534206.0940848598</v>
      </c>
      <c r="Z181" s="226">
        <f t="shared" si="101"/>
        <v>3534206.0940848598</v>
      </c>
      <c r="AA181" s="224">
        <v>3534206.0940848598</v>
      </c>
      <c r="AB181" s="224">
        <v>3534206.0940848598</v>
      </c>
      <c r="AC181" s="224">
        <v>3534206.0940848598</v>
      </c>
      <c r="AD181" s="224">
        <f t="shared" si="102"/>
        <v>3534206.0940848598</v>
      </c>
      <c r="AE181" s="224">
        <v>3534206.0940848598</v>
      </c>
      <c r="AF181" s="224">
        <v>3534206.0940848598</v>
      </c>
      <c r="AG181" s="224">
        <f t="shared" si="103"/>
        <v>3534206.0940848598</v>
      </c>
      <c r="AH181" s="226">
        <v>3553973.1098473403</v>
      </c>
      <c r="AI181" s="226">
        <f t="shared" si="104"/>
        <v>3553973.1098473403</v>
      </c>
      <c r="AJ181" s="226">
        <f t="shared" si="104"/>
        <v>3553973.1098473403</v>
      </c>
      <c r="AK181" s="226">
        <f t="shared" si="104"/>
        <v>3553973.1098473403</v>
      </c>
      <c r="AL181" s="226">
        <f t="shared" si="104"/>
        <v>3553973.1098473403</v>
      </c>
      <c r="AM181" s="226">
        <f t="shared" si="104"/>
        <v>3553973.1098473403</v>
      </c>
      <c r="AN181" s="235">
        <v>3553973.1098473403</v>
      </c>
      <c r="AO181" s="235">
        <f t="shared" si="111"/>
        <v>3553973.1098473403</v>
      </c>
      <c r="AP181" s="235">
        <f t="shared" si="111"/>
        <v>3553973.1098473403</v>
      </c>
      <c r="AQ181" s="236">
        <f t="shared" si="111"/>
        <v>3553973.1098473403</v>
      </c>
      <c r="AR181" s="236">
        <f t="shared" si="111"/>
        <v>3553973.1098473403</v>
      </c>
      <c r="AS181" s="236">
        <f t="shared" si="111"/>
        <v>3553973.1098473403</v>
      </c>
      <c r="AT181" s="236">
        <f t="shared" si="111"/>
        <v>3553973.1098473403</v>
      </c>
      <c r="AU181" s="236">
        <f t="shared" si="111"/>
        <v>3553973.1098473403</v>
      </c>
      <c r="AV181" s="236">
        <f t="shared" si="111"/>
        <v>3553973.1098473403</v>
      </c>
      <c r="AW181" s="226">
        <v>3542385.5488831275</v>
      </c>
      <c r="AX181" s="226">
        <f t="shared" si="105"/>
        <v>3542385.5488831275</v>
      </c>
      <c r="AY181" s="226">
        <f t="shared" si="105"/>
        <v>3542385.5488831275</v>
      </c>
      <c r="AZ181" s="226">
        <f t="shared" si="105"/>
        <v>3542385.5488831275</v>
      </c>
      <c r="BA181" s="226">
        <f t="shared" si="105"/>
        <v>3542385.5488831275</v>
      </c>
      <c r="BB181" s="226">
        <f t="shared" si="105"/>
        <v>3542385.5488831275</v>
      </c>
      <c r="BC181" s="224">
        <v>3534206.0940848598</v>
      </c>
      <c r="BD181" s="224">
        <f t="shared" si="106"/>
        <v>3534206.0940848598</v>
      </c>
      <c r="BE181" s="224">
        <f t="shared" si="106"/>
        <v>3534206.0940848598</v>
      </c>
      <c r="BF181" s="224">
        <f t="shared" si="106"/>
        <v>3534206.0940848598</v>
      </c>
      <c r="BG181" s="224">
        <f t="shared" si="106"/>
        <v>3534206.0940848598</v>
      </c>
      <c r="BH181" s="224">
        <f t="shared" si="106"/>
        <v>3534206.0940848598</v>
      </c>
      <c r="BI181" s="224">
        <f t="shared" si="106"/>
        <v>3534206.0940848598</v>
      </c>
      <c r="BJ181" s="224">
        <f t="shared" si="106"/>
        <v>3534206.0940848598</v>
      </c>
      <c r="BK181" s="224">
        <f t="shared" si="106"/>
        <v>3534206.0940848598</v>
      </c>
      <c r="BL181" s="224">
        <f t="shared" si="106"/>
        <v>3534206.0940848598</v>
      </c>
      <c r="BM181" s="224">
        <f t="shared" si="106"/>
        <v>3534206.0940848598</v>
      </c>
      <c r="BN181" s="224">
        <f t="shared" si="106"/>
        <v>3534206.0940848598</v>
      </c>
      <c r="BO181" s="224">
        <f t="shared" si="106"/>
        <v>3534206.0940848598</v>
      </c>
    </row>
    <row r="182" spans="1:67">
      <c r="A182" s="223">
        <f>A181+1</f>
        <v>3</v>
      </c>
      <c r="B182" s="151" t="s">
        <v>165</v>
      </c>
      <c r="C182" s="223">
        <v>180</v>
      </c>
      <c r="D182" s="224">
        <v>3507583.2596169864</v>
      </c>
      <c r="E182" s="225">
        <f t="shared" si="109"/>
        <v>3507583.2596169864</v>
      </c>
      <c r="F182" s="225">
        <f t="shared" si="109"/>
        <v>3507583.2596169864</v>
      </c>
      <c r="G182" s="225">
        <f t="shared" si="109"/>
        <v>3507583.2596169864</v>
      </c>
      <c r="H182" s="225">
        <f t="shared" si="109"/>
        <v>3507583.2596169864</v>
      </c>
      <c r="I182" s="225">
        <f t="shared" si="109"/>
        <v>3507583.2596169864</v>
      </c>
      <c r="J182" s="225">
        <f t="shared" si="109"/>
        <v>3507583.2596169864</v>
      </c>
      <c r="K182" s="237">
        <f t="shared" si="110"/>
        <v>3507583.2596169864</v>
      </c>
      <c r="L182" s="237">
        <f t="shared" si="110"/>
        <v>3507583.2596169864</v>
      </c>
      <c r="M182" s="237">
        <f t="shared" si="110"/>
        <v>3507583.2596169864</v>
      </c>
      <c r="N182" s="237">
        <f t="shared" si="110"/>
        <v>3507583.2596169864</v>
      </c>
      <c r="O182" s="237">
        <f t="shared" si="110"/>
        <v>3507583.2596169864</v>
      </c>
      <c r="P182" s="237">
        <f t="shared" si="110"/>
        <v>3507583.2596169864</v>
      </c>
      <c r="Q182" s="237">
        <f t="shared" si="110"/>
        <v>3507583.2596169864</v>
      </c>
      <c r="R182" s="237">
        <f t="shared" si="110"/>
        <v>3507583.2596169864</v>
      </c>
      <c r="S182" s="237">
        <f t="shared" si="110"/>
        <v>3507583.2596169864</v>
      </c>
      <c r="T182" s="224">
        <v>3507583.2596169864</v>
      </c>
      <c r="U182" s="224">
        <f t="shared" si="107"/>
        <v>3507583.2596169864</v>
      </c>
      <c r="V182" s="224">
        <f t="shared" si="107"/>
        <v>3507583.2596169864</v>
      </c>
      <c r="W182" s="224">
        <f t="shared" si="107"/>
        <v>3507583.2596169864</v>
      </c>
      <c r="X182" s="226">
        <v>3507583.2596169864</v>
      </c>
      <c r="Y182" s="226">
        <f t="shared" si="101"/>
        <v>3507583.2596169864</v>
      </c>
      <c r="Z182" s="226">
        <f t="shared" si="101"/>
        <v>3507583.2596169864</v>
      </c>
      <c r="AA182" s="224">
        <v>3507583.2596169864</v>
      </c>
      <c r="AB182" s="224">
        <v>3507583.2596169864</v>
      </c>
      <c r="AC182" s="224">
        <v>3507583.2596169864</v>
      </c>
      <c r="AD182" s="224">
        <f t="shared" si="102"/>
        <v>3507583.2596169864</v>
      </c>
      <c r="AE182" s="224">
        <v>3507583.2596169864</v>
      </c>
      <c r="AF182" s="224">
        <v>3507583.2596169864</v>
      </c>
      <c r="AG182" s="224">
        <f t="shared" si="103"/>
        <v>3507583.2596169864</v>
      </c>
      <c r="AH182" s="226">
        <v>3527201.372351585</v>
      </c>
      <c r="AI182" s="226">
        <f t="shared" si="104"/>
        <v>3527201.372351585</v>
      </c>
      <c r="AJ182" s="226">
        <f t="shared" si="104"/>
        <v>3527201.372351585</v>
      </c>
      <c r="AK182" s="226">
        <f t="shared" si="104"/>
        <v>3527201.372351585</v>
      </c>
      <c r="AL182" s="226">
        <f t="shared" si="104"/>
        <v>3527201.372351585</v>
      </c>
      <c r="AM182" s="226">
        <f t="shared" si="104"/>
        <v>3527201.372351585</v>
      </c>
      <c r="AN182" s="235">
        <v>3527201.372351585</v>
      </c>
      <c r="AO182" s="235">
        <f t="shared" si="111"/>
        <v>3527201.372351585</v>
      </c>
      <c r="AP182" s="235">
        <f t="shared" si="111"/>
        <v>3527201.372351585</v>
      </c>
      <c r="AQ182" s="236">
        <f t="shared" si="111"/>
        <v>3527201.372351585</v>
      </c>
      <c r="AR182" s="236">
        <f t="shared" si="111"/>
        <v>3527201.372351585</v>
      </c>
      <c r="AS182" s="236">
        <f t="shared" si="111"/>
        <v>3527201.372351585</v>
      </c>
      <c r="AT182" s="236">
        <f t="shared" si="111"/>
        <v>3527201.372351585</v>
      </c>
      <c r="AU182" s="236">
        <f t="shared" si="111"/>
        <v>3527201.372351585</v>
      </c>
      <c r="AV182" s="236">
        <f t="shared" si="111"/>
        <v>3527201.372351585</v>
      </c>
      <c r="AW182" s="226">
        <v>3515701.0993692339</v>
      </c>
      <c r="AX182" s="226">
        <f t="shared" si="105"/>
        <v>3515701.0993692339</v>
      </c>
      <c r="AY182" s="226">
        <f t="shared" si="105"/>
        <v>3515701.0993692339</v>
      </c>
      <c r="AZ182" s="226">
        <f t="shared" si="105"/>
        <v>3515701.0993692339</v>
      </c>
      <c r="BA182" s="226">
        <f t="shared" si="105"/>
        <v>3515701.0993692339</v>
      </c>
      <c r="BB182" s="226">
        <f t="shared" si="105"/>
        <v>3515701.0993692339</v>
      </c>
      <c r="BC182" s="224">
        <v>3507583.2596169864</v>
      </c>
      <c r="BD182" s="224">
        <f t="shared" si="106"/>
        <v>3507583.2596169864</v>
      </c>
      <c r="BE182" s="224">
        <f t="shared" si="106"/>
        <v>3507583.2596169864</v>
      </c>
      <c r="BF182" s="224">
        <f t="shared" si="106"/>
        <v>3507583.2596169864</v>
      </c>
      <c r="BG182" s="224">
        <f t="shared" si="106"/>
        <v>3507583.2596169864</v>
      </c>
      <c r="BH182" s="224">
        <f t="shared" si="106"/>
        <v>3507583.2596169864</v>
      </c>
      <c r="BI182" s="224">
        <f t="shared" si="106"/>
        <v>3507583.2596169864</v>
      </c>
      <c r="BJ182" s="224">
        <f t="shared" si="106"/>
        <v>3507583.2596169864</v>
      </c>
      <c r="BK182" s="224">
        <f t="shared" si="106"/>
        <v>3507583.2596169864</v>
      </c>
      <c r="BL182" s="224">
        <f t="shared" si="106"/>
        <v>3507583.2596169864</v>
      </c>
      <c r="BM182" s="224">
        <f t="shared" si="106"/>
        <v>3507583.2596169864</v>
      </c>
      <c r="BN182" s="224">
        <f t="shared" si="106"/>
        <v>3507583.2596169864</v>
      </c>
      <c r="BO182" s="224">
        <f t="shared" si="106"/>
        <v>3507583.2596169864</v>
      </c>
    </row>
    <row r="183" spans="1:67">
      <c r="A183" s="223">
        <f>A182+1</f>
        <v>4</v>
      </c>
      <c r="B183" s="151" t="s">
        <v>170</v>
      </c>
      <c r="C183" s="223">
        <v>181</v>
      </c>
      <c r="D183" s="224">
        <v>4125143.9599312064</v>
      </c>
      <c r="E183" s="225">
        <f t="shared" si="109"/>
        <v>4125143.9599312064</v>
      </c>
      <c r="F183" s="225">
        <f t="shared" si="109"/>
        <v>4125143.9599312064</v>
      </c>
      <c r="G183" s="225">
        <f t="shared" si="109"/>
        <v>4125143.9599312064</v>
      </c>
      <c r="H183" s="225">
        <f t="shared" si="109"/>
        <v>4125143.9599312064</v>
      </c>
      <c r="I183" s="225">
        <f t="shared" si="109"/>
        <v>4125143.9599312064</v>
      </c>
      <c r="J183" s="225">
        <f t="shared" si="109"/>
        <v>4125143.9599312064</v>
      </c>
      <c r="K183" s="237">
        <f t="shared" si="110"/>
        <v>4125143.9599312064</v>
      </c>
      <c r="L183" s="237">
        <f t="shared" si="110"/>
        <v>4125143.9599312064</v>
      </c>
      <c r="M183" s="237">
        <f t="shared" si="110"/>
        <v>4125143.9599312064</v>
      </c>
      <c r="N183" s="237">
        <f t="shared" si="110"/>
        <v>4125143.9599312064</v>
      </c>
      <c r="O183" s="237">
        <f t="shared" si="110"/>
        <v>4125143.9599312064</v>
      </c>
      <c r="P183" s="237">
        <f t="shared" si="110"/>
        <v>4125143.9599312064</v>
      </c>
      <c r="Q183" s="237">
        <f t="shared" si="110"/>
        <v>4125143.9599312064</v>
      </c>
      <c r="R183" s="237">
        <f t="shared" si="110"/>
        <v>4125143.9599312064</v>
      </c>
      <c r="S183" s="237">
        <f t="shared" si="110"/>
        <v>4125143.9599312064</v>
      </c>
      <c r="T183" s="224">
        <v>4125143.9599312064</v>
      </c>
      <c r="U183" s="224">
        <f t="shared" si="107"/>
        <v>4125143.9599312064</v>
      </c>
      <c r="V183" s="224">
        <f t="shared" si="107"/>
        <v>4125143.9599312064</v>
      </c>
      <c r="W183" s="224">
        <f t="shared" si="107"/>
        <v>4125143.9599312064</v>
      </c>
      <c r="X183" s="226">
        <v>4125143.9599312064</v>
      </c>
      <c r="Y183" s="226">
        <f t="shared" si="101"/>
        <v>4125143.9599312064</v>
      </c>
      <c r="Z183" s="226">
        <f t="shared" si="101"/>
        <v>4125143.9599312064</v>
      </c>
      <c r="AA183" s="224">
        <v>4125143.9599312064</v>
      </c>
      <c r="AB183" s="224">
        <v>4125143.9599312064</v>
      </c>
      <c r="AC183" s="224">
        <v>4125143.9599312064</v>
      </c>
      <c r="AD183" s="224">
        <f t="shared" si="102"/>
        <v>4125143.9599312064</v>
      </c>
      <c r="AE183" s="224">
        <v>4125143.9599312064</v>
      </c>
      <c r="AF183" s="224">
        <v>4125143.9599312064</v>
      </c>
      <c r="AG183" s="224">
        <f t="shared" si="103"/>
        <v>4125143.9599312064</v>
      </c>
      <c r="AH183" s="226">
        <v>4148216.12479871</v>
      </c>
      <c r="AI183" s="226">
        <f t="shared" si="104"/>
        <v>4148216.12479871</v>
      </c>
      <c r="AJ183" s="226">
        <f t="shared" si="104"/>
        <v>4148216.12479871</v>
      </c>
      <c r="AK183" s="226">
        <f t="shared" si="104"/>
        <v>4148216.12479871</v>
      </c>
      <c r="AL183" s="226">
        <f t="shared" si="104"/>
        <v>4148216.12479871</v>
      </c>
      <c r="AM183" s="226">
        <f t="shared" si="104"/>
        <v>4148216.12479871</v>
      </c>
      <c r="AN183" s="235">
        <v>4148216.12479871</v>
      </c>
      <c r="AO183" s="235">
        <f t="shared" si="111"/>
        <v>4148216.12479871</v>
      </c>
      <c r="AP183" s="235">
        <f t="shared" si="111"/>
        <v>4148216.12479871</v>
      </c>
      <c r="AQ183" s="236">
        <f t="shared" si="111"/>
        <v>4148216.12479871</v>
      </c>
      <c r="AR183" s="236">
        <f t="shared" si="111"/>
        <v>4148216.12479871</v>
      </c>
      <c r="AS183" s="236">
        <f t="shared" si="111"/>
        <v>4148216.12479871</v>
      </c>
      <c r="AT183" s="236">
        <f t="shared" si="111"/>
        <v>4148216.12479871</v>
      </c>
      <c r="AU183" s="236">
        <f t="shared" si="111"/>
        <v>4148216.12479871</v>
      </c>
      <c r="AV183" s="236">
        <f t="shared" si="111"/>
        <v>4148216.12479871</v>
      </c>
      <c r="AW183" s="226">
        <v>4134691.0626350013</v>
      </c>
      <c r="AX183" s="226">
        <f t="shared" si="105"/>
        <v>4134691.0626350013</v>
      </c>
      <c r="AY183" s="226">
        <f t="shared" si="105"/>
        <v>4134691.0626350013</v>
      </c>
      <c r="AZ183" s="226">
        <f t="shared" si="105"/>
        <v>4134691.0626350013</v>
      </c>
      <c r="BA183" s="226">
        <f t="shared" si="105"/>
        <v>4134691.0626350013</v>
      </c>
      <c r="BB183" s="226">
        <f t="shared" si="105"/>
        <v>4134691.0626350013</v>
      </c>
      <c r="BC183" s="224">
        <v>4125143.9599312064</v>
      </c>
      <c r="BD183" s="224">
        <f t="shared" si="106"/>
        <v>4125143.9599312064</v>
      </c>
      <c r="BE183" s="224">
        <f t="shared" si="106"/>
        <v>4125143.9599312064</v>
      </c>
      <c r="BF183" s="224">
        <f t="shared" si="106"/>
        <v>4125143.9599312064</v>
      </c>
      <c r="BG183" s="224">
        <f t="shared" si="106"/>
        <v>4125143.9599312064</v>
      </c>
      <c r="BH183" s="224">
        <f t="shared" si="106"/>
        <v>4125143.9599312064</v>
      </c>
      <c r="BI183" s="224">
        <f t="shared" si="106"/>
        <v>4125143.9599312064</v>
      </c>
      <c r="BJ183" s="224">
        <f t="shared" si="106"/>
        <v>4125143.9599312064</v>
      </c>
      <c r="BK183" s="224">
        <f t="shared" si="106"/>
        <v>4125143.9599312064</v>
      </c>
      <c r="BL183" s="224">
        <f t="shared" si="106"/>
        <v>4125143.9599312064</v>
      </c>
      <c r="BM183" s="224">
        <f t="shared" si="106"/>
        <v>4125143.9599312064</v>
      </c>
      <c r="BN183" s="224">
        <f t="shared" si="106"/>
        <v>4125143.9599312064</v>
      </c>
      <c r="BO183" s="224">
        <f t="shared" si="106"/>
        <v>4125143.9599312064</v>
      </c>
    </row>
    <row r="184" spans="1:67">
      <c r="A184" s="223">
        <f>A183+1</f>
        <v>5</v>
      </c>
      <c r="B184" s="228" t="s">
        <v>171</v>
      </c>
      <c r="C184" s="223">
        <v>182</v>
      </c>
      <c r="D184" s="224">
        <v>4096410.2329026978</v>
      </c>
      <c r="E184" s="225">
        <f t="shared" si="109"/>
        <v>4096410.2329026978</v>
      </c>
      <c r="F184" s="225">
        <f t="shared" si="109"/>
        <v>4096410.2329026978</v>
      </c>
      <c r="G184" s="225">
        <f t="shared" si="109"/>
        <v>4096410.2329026978</v>
      </c>
      <c r="H184" s="225">
        <f t="shared" si="109"/>
        <v>4096410.2329026978</v>
      </c>
      <c r="I184" s="225">
        <f t="shared" si="109"/>
        <v>4096410.2329026978</v>
      </c>
      <c r="J184" s="225">
        <f t="shared" si="109"/>
        <v>4096410.2329026978</v>
      </c>
      <c r="K184" s="237">
        <f t="shared" si="110"/>
        <v>4096410.2329026978</v>
      </c>
      <c r="L184" s="237">
        <f t="shared" si="110"/>
        <v>4096410.2329026978</v>
      </c>
      <c r="M184" s="237">
        <f t="shared" si="110"/>
        <v>4096410.2329026978</v>
      </c>
      <c r="N184" s="237">
        <f t="shared" si="110"/>
        <v>4096410.2329026978</v>
      </c>
      <c r="O184" s="237">
        <f t="shared" si="110"/>
        <v>4096410.2329026978</v>
      </c>
      <c r="P184" s="237">
        <f t="shared" si="110"/>
        <v>4096410.2329026978</v>
      </c>
      <c r="Q184" s="237">
        <f t="shared" si="110"/>
        <v>4096410.2329026978</v>
      </c>
      <c r="R184" s="237">
        <f t="shared" si="110"/>
        <v>4096410.2329026978</v>
      </c>
      <c r="S184" s="237">
        <f t="shared" si="110"/>
        <v>4096410.2329026978</v>
      </c>
      <c r="T184" s="224">
        <v>4096410.2329026978</v>
      </c>
      <c r="U184" s="224">
        <f t="shared" si="107"/>
        <v>4096410.2329026978</v>
      </c>
      <c r="V184" s="224">
        <f t="shared" si="107"/>
        <v>4096410.2329026978</v>
      </c>
      <c r="W184" s="224">
        <f t="shared" si="107"/>
        <v>4096410.2329026978</v>
      </c>
      <c r="X184" s="226">
        <v>4096410.2329026978</v>
      </c>
      <c r="Y184" s="226">
        <f t="shared" si="101"/>
        <v>4096410.2329026978</v>
      </c>
      <c r="Z184" s="226">
        <f t="shared" si="101"/>
        <v>4096410.2329026978</v>
      </c>
      <c r="AA184" s="224">
        <v>4096410.2329026978</v>
      </c>
      <c r="AB184" s="224">
        <v>4096410.2329026978</v>
      </c>
      <c r="AC184" s="224">
        <v>4096410.2329026978</v>
      </c>
      <c r="AD184" s="224">
        <f t="shared" si="102"/>
        <v>4096410.2329026978</v>
      </c>
      <c r="AE184" s="224">
        <v>4096410.2329026978</v>
      </c>
      <c r="AF184" s="224">
        <v>4096410.2329026978</v>
      </c>
      <c r="AG184" s="224">
        <f t="shared" si="103"/>
        <v>4096410.2329026978</v>
      </c>
      <c r="AH184" s="226">
        <v>4118590.4415706019</v>
      </c>
      <c r="AI184" s="226">
        <f t="shared" si="104"/>
        <v>4118590.4415706019</v>
      </c>
      <c r="AJ184" s="226">
        <f t="shared" si="104"/>
        <v>4118590.4415706019</v>
      </c>
      <c r="AK184" s="226">
        <f t="shared" si="104"/>
        <v>4118590.4415706019</v>
      </c>
      <c r="AL184" s="226">
        <f t="shared" si="104"/>
        <v>4118590.4415706019</v>
      </c>
      <c r="AM184" s="226">
        <f t="shared" si="104"/>
        <v>4118590.4415706019</v>
      </c>
      <c r="AN184" s="235">
        <v>4118590.4415706019</v>
      </c>
      <c r="AO184" s="235">
        <f t="shared" si="111"/>
        <v>4118590.4415706019</v>
      </c>
      <c r="AP184" s="235">
        <f t="shared" si="111"/>
        <v>4118590.4415706019</v>
      </c>
      <c r="AQ184" s="236">
        <f t="shared" si="111"/>
        <v>4118590.4415706019</v>
      </c>
      <c r="AR184" s="236">
        <f t="shared" si="111"/>
        <v>4118590.4415706019</v>
      </c>
      <c r="AS184" s="236">
        <f t="shared" si="111"/>
        <v>4118590.4415706019</v>
      </c>
      <c r="AT184" s="236">
        <f t="shared" si="111"/>
        <v>4118590.4415706019</v>
      </c>
      <c r="AU184" s="236">
        <f t="shared" si="111"/>
        <v>4118590.4415706019</v>
      </c>
      <c r="AV184" s="236">
        <f t="shared" si="111"/>
        <v>4118590.4415706019</v>
      </c>
      <c r="AW184" s="226">
        <v>4105161.9725436168</v>
      </c>
      <c r="AX184" s="226">
        <f t="shared" si="105"/>
        <v>4105161.9725436168</v>
      </c>
      <c r="AY184" s="226">
        <f t="shared" si="105"/>
        <v>4105161.9725436168</v>
      </c>
      <c r="AZ184" s="226">
        <f t="shared" si="105"/>
        <v>4105161.9725436168</v>
      </c>
      <c r="BA184" s="226">
        <f t="shared" si="105"/>
        <v>4105161.9725436168</v>
      </c>
      <c r="BB184" s="226">
        <f t="shared" si="105"/>
        <v>4105161.9725436168</v>
      </c>
      <c r="BC184" s="224">
        <v>4096410.2329026978</v>
      </c>
      <c r="BD184" s="224">
        <f t="shared" si="106"/>
        <v>4096410.2329026978</v>
      </c>
      <c r="BE184" s="224">
        <f t="shared" si="106"/>
        <v>4096410.2329026978</v>
      </c>
      <c r="BF184" s="224">
        <f t="shared" si="106"/>
        <v>4096410.2329026978</v>
      </c>
      <c r="BG184" s="224">
        <f t="shared" si="106"/>
        <v>4096410.2329026978</v>
      </c>
      <c r="BH184" s="224">
        <f t="shared" si="106"/>
        <v>4096410.2329026978</v>
      </c>
      <c r="BI184" s="224">
        <f t="shared" si="106"/>
        <v>4096410.2329026978</v>
      </c>
      <c r="BJ184" s="224">
        <f t="shared" si="106"/>
        <v>4096410.2329026978</v>
      </c>
      <c r="BK184" s="224">
        <f t="shared" si="106"/>
        <v>4096410.2329026978</v>
      </c>
      <c r="BL184" s="224">
        <f t="shared" si="106"/>
        <v>4096410.2329026978</v>
      </c>
      <c r="BM184" s="224">
        <f t="shared" si="106"/>
        <v>4096410.2329026978</v>
      </c>
      <c r="BN184" s="224">
        <f t="shared" si="106"/>
        <v>4096410.2329026978</v>
      </c>
      <c r="BO184" s="224">
        <f t="shared" si="106"/>
        <v>4096410.2329026978</v>
      </c>
    </row>
    <row r="185" spans="1:67">
      <c r="A185" s="223" t="s">
        <v>31</v>
      </c>
      <c r="B185" s="230" t="s">
        <v>201</v>
      </c>
      <c r="C185" s="223">
        <v>183</v>
      </c>
      <c r="D185" s="234"/>
      <c r="E185" s="225">
        <f t="shared" si="109"/>
        <v>0</v>
      </c>
      <c r="F185" s="225">
        <f t="shared" si="109"/>
        <v>0</v>
      </c>
      <c r="G185" s="225">
        <f t="shared" si="109"/>
        <v>0</v>
      </c>
      <c r="H185" s="225">
        <f t="shared" si="109"/>
        <v>0</v>
      </c>
      <c r="I185" s="225">
        <f t="shared" si="109"/>
        <v>0</v>
      </c>
      <c r="J185" s="225">
        <f t="shared" si="109"/>
        <v>0</v>
      </c>
      <c r="K185" s="237"/>
      <c r="L185" s="237">
        <f t="shared" si="110"/>
        <v>0</v>
      </c>
      <c r="M185" s="237">
        <f t="shared" si="110"/>
        <v>0</v>
      </c>
      <c r="N185" s="237">
        <f t="shared" si="110"/>
        <v>0</v>
      </c>
      <c r="O185" s="237">
        <f t="shared" si="110"/>
        <v>0</v>
      </c>
      <c r="P185" s="237">
        <f t="shared" si="110"/>
        <v>0</v>
      </c>
      <c r="Q185" s="237">
        <f t="shared" si="110"/>
        <v>0</v>
      </c>
      <c r="R185" s="237">
        <f t="shared" si="110"/>
        <v>0</v>
      </c>
      <c r="S185" s="237">
        <f t="shared" si="110"/>
        <v>0</v>
      </c>
      <c r="T185" s="224"/>
      <c r="U185" s="224">
        <f t="shared" si="107"/>
        <v>0</v>
      </c>
      <c r="V185" s="224">
        <f t="shared" si="107"/>
        <v>0</v>
      </c>
      <c r="W185" s="224">
        <f t="shared" si="107"/>
        <v>0</v>
      </c>
      <c r="X185" s="226"/>
      <c r="Y185" s="226">
        <f t="shared" si="101"/>
        <v>0</v>
      </c>
      <c r="Z185" s="226">
        <f t="shared" si="101"/>
        <v>0</v>
      </c>
      <c r="AA185" s="234"/>
      <c r="AB185" s="234"/>
      <c r="AC185" s="234"/>
      <c r="AD185" s="224">
        <f t="shared" si="102"/>
        <v>0</v>
      </c>
      <c r="AE185" s="234"/>
      <c r="AF185" s="234"/>
      <c r="AG185" s="224">
        <f t="shared" si="103"/>
        <v>0</v>
      </c>
      <c r="AH185" s="226"/>
      <c r="AI185" s="226">
        <f t="shared" si="104"/>
        <v>0</v>
      </c>
      <c r="AJ185" s="226">
        <f t="shared" si="104"/>
        <v>0</v>
      </c>
      <c r="AK185" s="226">
        <f t="shared" si="104"/>
        <v>0</v>
      </c>
      <c r="AL185" s="226">
        <f t="shared" si="104"/>
        <v>0</v>
      </c>
      <c r="AM185" s="226">
        <f t="shared" si="104"/>
        <v>0</v>
      </c>
      <c r="AN185" s="235"/>
      <c r="AO185" s="235">
        <f t="shared" si="111"/>
        <v>0</v>
      </c>
      <c r="AP185" s="235">
        <f t="shared" si="111"/>
        <v>0</v>
      </c>
      <c r="AQ185" s="236">
        <f t="shared" si="111"/>
        <v>0</v>
      </c>
      <c r="AR185" s="236">
        <f t="shared" si="111"/>
        <v>0</v>
      </c>
      <c r="AS185" s="236">
        <f t="shared" si="111"/>
        <v>0</v>
      </c>
      <c r="AT185" s="236">
        <f t="shared" si="111"/>
        <v>0</v>
      </c>
      <c r="AU185" s="236">
        <f t="shared" si="111"/>
        <v>0</v>
      </c>
      <c r="AV185" s="236">
        <f t="shared" si="111"/>
        <v>0</v>
      </c>
      <c r="AW185" s="226"/>
      <c r="AX185" s="226">
        <f t="shared" si="105"/>
        <v>0</v>
      </c>
      <c r="AY185" s="226">
        <f t="shared" si="105"/>
        <v>0</v>
      </c>
      <c r="AZ185" s="226">
        <f t="shared" si="105"/>
        <v>0</v>
      </c>
      <c r="BA185" s="226">
        <f t="shared" si="105"/>
        <v>0</v>
      </c>
      <c r="BB185" s="226">
        <f t="shared" si="105"/>
        <v>0</v>
      </c>
      <c r="BC185" s="224"/>
      <c r="BD185" s="224">
        <f t="shared" si="106"/>
        <v>0</v>
      </c>
      <c r="BE185" s="224">
        <f t="shared" si="106"/>
        <v>0</v>
      </c>
      <c r="BF185" s="224">
        <f t="shared" si="106"/>
        <v>0</v>
      </c>
      <c r="BG185" s="224">
        <f t="shared" si="106"/>
        <v>0</v>
      </c>
      <c r="BH185" s="224">
        <f t="shared" si="106"/>
        <v>0</v>
      </c>
      <c r="BI185" s="224">
        <f t="shared" si="106"/>
        <v>0</v>
      </c>
      <c r="BJ185" s="224">
        <f t="shared" si="106"/>
        <v>0</v>
      </c>
      <c r="BK185" s="224">
        <f t="shared" si="106"/>
        <v>0</v>
      </c>
      <c r="BL185" s="224">
        <f t="shared" si="106"/>
        <v>0</v>
      </c>
      <c r="BM185" s="224">
        <f t="shared" si="106"/>
        <v>0</v>
      </c>
      <c r="BN185" s="224">
        <f t="shared" si="106"/>
        <v>0</v>
      </c>
      <c r="BO185" s="224">
        <f t="shared" si="106"/>
        <v>0</v>
      </c>
    </row>
    <row r="186" spans="1:67">
      <c r="A186" s="223">
        <v>1</v>
      </c>
      <c r="B186" s="151" t="s">
        <v>202</v>
      </c>
      <c r="C186" s="223">
        <v>184</v>
      </c>
      <c r="D186" s="225">
        <v>500000</v>
      </c>
      <c r="E186" s="225">
        <f t="shared" si="109"/>
        <v>500000</v>
      </c>
      <c r="F186" s="225">
        <f t="shared" si="109"/>
        <v>500000</v>
      </c>
      <c r="G186" s="225">
        <f t="shared" si="109"/>
        <v>500000</v>
      </c>
      <c r="H186" s="225">
        <f t="shared" si="109"/>
        <v>500000</v>
      </c>
      <c r="I186" s="225">
        <f t="shared" si="109"/>
        <v>500000</v>
      </c>
      <c r="J186" s="225">
        <f t="shared" si="109"/>
        <v>500000</v>
      </c>
      <c r="K186" s="226">
        <v>1000000</v>
      </c>
      <c r="L186" s="237">
        <f t="shared" si="110"/>
        <v>1000000</v>
      </c>
      <c r="M186" s="237">
        <f t="shared" si="110"/>
        <v>1000000</v>
      </c>
      <c r="N186" s="237">
        <f t="shared" si="110"/>
        <v>1000000</v>
      </c>
      <c r="O186" s="237">
        <f t="shared" si="110"/>
        <v>1000000</v>
      </c>
      <c r="P186" s="237">
        <f t="shared" si="110"/>
        <v>1000000</v>
      </c>
      <c r="Q186" s="237">
        <f t="shared" si="110"/>
        <v>1000000</v>
      </c>
      <c r="R186" s="237">
        <f t="shared" si="110"/>
        <v>1000000</v>
      </c>
      <c r="S186" s="237">
        <f t="shared" si="110"/>
        <v>1000000</v>
      </c>
      <c r="T186" s="226">
        <v>500000</v>
      </c>
      <c r="U186" s="224">
        <f t="shared" si="107"/>
        <v>500000</v>
      </c>
      <c r="V186" s="224">
        <f t="shared" si="107"/>
        <v>500000</v>
      </c>
      <c r="W186" s="224">
        <f t="shared" si="107"/>
        <v>500000</v>
      </c>
      <c r="X186" s="226">
        <v>500000</v>
      </c>
      <c r="Y186" s="226">
        <f t="shared" si="101"/>
        <v>500000</v>
      </c>
      <c r="Z186" s="226">
        <f t="shared" si="101"/>
        <v>500000</v>
      </c>
      <c r="AA186" s="226">
        <v>500000</v>
      </c>
      <c r="AB186" s="226">
        <v>500000</v>
      </c>
      <c r="AC186" s="226">
        <v>500000</v>
      </c>
      <c r="AD186" s="224">
        <f t="shared" si="102"/>
        <v>500000</v>
      </c>
      <c r="AE186" s="226">
        <v>500000</v>
      </c>
      <c r="AF186" s="226">
        <v>500000</v>
      </c>
      <c r="AG186" s="224">
        <f t="shared" si="103"/>
        <v>500000</v>
      </c>
      <c r="AH186" s="226">
        <v>500000</v>
      </c>
      <c r="AI186" s="226">
        <f t="shared" si="104"/>
        <v>500000</v>
      </c>
      <c r="AJ186" s="226">
        <f t="shared" si="104"/>
        <v>500000</v>
      </c>
      <c r="AK186" s="226">
        <f t="shared" si="104"/>
        <v>500000</v>
      </c>
      <c r="AL186" s="226">
        <f t="shared" si="104"/>
        <v>500000</v>
      </c>
      <c r="AM186" s="226">
        <f t="shared" si="104"/>
        <v>500000</v>
      </c>
      <c r="AN186" s="235">
        <v>500000</v>
      </c>
      <c r="AO186" s="235">
        <f t="shared" si="111"/>
        <v>500000</v>
      </c>
      <c r="AP186" s="235">
        <f t="shared" si="111"/>
        <v>500000</v>
      </c>
      <c r="AQ186" s="236">
        <f t="shared" si="111"/>
        <v>500000</v>
      </c>
      <c r="AR186" s="236">
        <f t="shared" si="111"/>
        <v>500000</v>
      </c>
      <c r="AS186" s="236">
        <f t="shared" si="111"/>
        <v>500000</v>
      </c>
      <c r="AT186" s="236">
        <f t="shared" si="111"/>
        <v>500000</v>
      </c>
      <c r="AU186" s="236">
        <f t="shared" si="111"/>
        <v>500000</v>
      </c>
      <c r="AV186" s="236">
        <f t="shared" si="111"/>
        <v>500000</v>
      </c>
      <c r="AW186" s="226">
        <v>500000</v>
      </c>
      <c r="AX186" s="226">
        <f t="shared" si="105"/>
        <v>500000</v>
      </c>
      <c r="AY186" s="226">
        <f t="shared" si="105"/>
        <v>500000</v>
      </c>
      <c r="AZ186" s="226">
        <f t="shared" si="105"/>
        <v>500000</v>
      </c>
      <c r="BA186" s="226">
        <f t="shared" si="105"/>
        <v>500000</v>
      </c>
      <c r="BB186" s="226">
        <f t="shared" si="105"/>
        <v>500000</v>
      </c>
      <c r="BC186" s="226">
        <v>500000</v>
      </c>
      <c r="BD186" s="224">
        <f t="shared" si="106"/>
        <v>500000</v>
      </c>
      <c r="BE186" s="224">
        <f t="shared" si="106"/>
        <v>500000</v>
      </c>
      <c r="BF186" s="224">
        <f t="shared" si="106"/>
        <v>500000</v>
      </c>
      <c r="BG186" s="224">
        <f t="shared" si="106"/>
        <v>500000</v>
      </c>
      <c r="BH186" s="224">
        <f t="shared" si="106"/>
        <v>500000</v>
      </c>
      <c r="BI186" s="224">
        <f t="shared" si="106"/>
        <v>500000</v>
      </c>
      <c r="BJ186" s="224">
        <f t="shared" si="106"/>
        <v>500000</v>
      </c>
      <c r="BK186" s="224">
        <f t="shared" si="106"/>
        <v>500000</v>
      </c>
      <c r="BL186" s="224">
        <f t="shared" si="106"/>
        <v>500000</v>
      </c>
      <c r="BM186" s="224">
        <f t="shared" si="106"/>
        <v>500000</v>
      </c>
      <c r="BN186" s="224">
        <f t="shared" si="106"/>
        <v>500000</v>
      </c>
      <c r="BO186" s="224">
        <f t="shared" si="106"/>
        <v>500000</v>
      </c>
    </row>
    <row r="187" spans="1:67">
      <c r="A187" s="223">
        <f>A186+1</f>
        <v>2</v>
      </c>
      <c r="B187" s="151" t="s">
        <v>203</v>
      </c>
      <c r="C187" s="223">
        <v>185</v>
      </c>
      <c r="D187" s="225">
        <v>1000000</v>
      </c>
      <c r="E187" s="225">
        <f t="shared" si="109"/>
        <v>1000000</v>
      </c>
      <c r="F187" s="225">
        <f t="shared" si="109"/>
        <v>1000000</v>
      </c>
      <c r="G187" s="225">
        <f t="shared" si="109"/>
        <v>1000000</v>
      </c>
      <c r="H187" s="225">
        <f t="shared" si="109"/>
        <v>1000000</v>
      </c>
      <c r="I187" s="225">
        <f t="shared" si="109"/>
        <v>1000000</v>
      </c>
      <c r="J187" s="225">
        <f t="shared" si="109"/>
        <v>1000000</v>
      </c>
      <c r="K187" s="226">
        <v>1000000</v>
      </c>
      <c r="L187" s="237">
        <f t="shared" si="110"/>
        <v>1000000</v>
      </c>
      <c r="M187" s="237">
        <f t="shared" si="110"/>
        <v>1000000</v>
      </c>
      <c r="N187" s="237">
        <f t="shared" si="110"/>
        <v>1000000</v>
      </c>
      <c r="O187" s="237">
        <f t="shared" si="110"/>
        <v>1000000</v>
      </c>
      <c r="P187" s="237">
        <f t="shared" si="110"/>
        <v>1000000</v>
      </c>
      <c r="Q187" s="237">
        <f t="shared" si="110"/>
        <v>1000000</v>
      </c>
      <c r="R187" s="237">
        <f t="shared" si="110"/>
        <v>1000000</v>
      </c>
      <c r="S187" s="237">
        <f t="shared" si="110"/>
        <v>1000000</v>
      </c>
      <c r="T187" s="226">
        <v>1000000</v>
      </c>
      <c r="U187" s="224">
        <f t="shared" si="107"/>
        <v>1000000</v>
      </c>
      <c r="V187" s="224">
        <f t="shared" si="107"/>
        <v>1000000</v>
      </c>
      <c r="W187" s="224">
        <f t="shared" si="107"/>
        <v>1000000</v>
      </c>
      <c r="X187" s="226">
        <v>1000000</v>
      </c>
      <c r="Y187" s="226">
        <f t="shared" si="101"/>
        <v>1000000</v>
      </c>
      <c r="Z187" s="226">
        <f t="shared" si="101"/>
        <v>1000000</v>
      </c>
      <c r="AA187" s="226">
        <v>1000000</v>
      </c>
      <c r="AB187" s="226">
        <v>1000000</v>
      </c>
      <c r="AC187" s="226">
        <v>1000000</v>
      </c>
      <c r="AD187" s="224">
        <f t="shared" si="102"/>
        <v>1000000</v>
      </c>
      <c r="AE187" s="226">
        <v>1000000</v>
      </c>
      <c r="AF187" s="226">
        <v>1000000</v>
      </c>
      <c r="AG187" s="224">
        <f t="shared" si="103"/>
        <v>1000000</v>
      </c>
      <c r="AH187" s="226">
        <v>1000000</v>
      </c>
      <c r="AI187" s="226">
        <f t="shared" si="104"/>
        <v>1000000</v>
      </c>
      <c r="AJ187" s="226">
        <f t="shared" si="104"/>
        <v>1000000</v>
      </c>
      <c r="AK187" s="226">
        <f t="shared" si="104"/>
        <v>1000000</v>
      </c>
      <c r="AL187" s="226">
        <f t="shared" si="104"/>
        <v>1000000</v>
      </c>
      <c r="AM187" s="226">
        <f t="shared" si="104"/>
        <v>1000000</v>
      </c>
      <c r="AN187" s="235">
        <v>1000000</v>
      </c>
      <c r="AO187" s="235">
        <f t="shared" si="111"/>
        <v>1000000</v>
      </c>
      <c r="AP187" s="235">
        <f t="shared" si="111"/>
        <v>1000000</v>
      </c>
      <c r="AQ187" s="236">
        <f t="shared" si="111"/>
        <v>1000000</v>
      </c>
      <c r="AR187" s="236">
        <f t="shared" si="111"/>
        <v>1000000</v>
      </c>
      <c r="AS187" s="236">
        <f t="shared" si="111"/>
        <v>1000000</v>
      </c>
      <c r="AT187" s="236">
        <f t="shared" si="111"/>
        <v>1000000</v>
      </c>
      <c r="AU187" s="236">
        <f t="shared" si="111"/>
        <v>1000000</v>
      </c>
      <c r="AV187" s="236">
        <f t="shared" si="111"/>
        <v>1000000</v>
      </c>
      <c r="AW187" s="226">
        <v>1000000</v>
      </c>
      <c r="AX187" s="226">
        <f t="shared" si="105"/>
        <v>1000000</v>
      </c>
      <c r="AY187" s="226">
        <f t="shared" si="105"/>
        <v>1000000</v>
      </c>
      <c r="AZ187" s="226">
        <f t="shared" si="105"/>
        <v>1000000</v>
      </c>
      <c r="BA187" s="226">
        <f t="shared" si="105"/>
        <v>1000000</v>
      </c>
      <c r="BB187" s="226">
        <f t="shared" si="105"/>
        <v>1000000</v>
      </c>
      <c r="BC187" s="226">
        <v>1000000</v>
      </c>
      <c r="BD187" s="224">
        <f t="shared" si="106"/>
        <v>1000000</v>
      </c>
      <c r="BE187" s="224">
        <f t="shared" si="106"/>
        <v>1000000</v>
      </c>
      <c r="BF187" s="224">
        <f t="shared" si="106"/>
        <v>1000000</v>
      </c>
      <c r="BG187" s="224">
        <f t="shared" si="106"/>
        <v>1000000</v>
      </c>
      <c r="BH187" s="224">
        <f t="shared" si="106"/>
        <v>1000000</v>
      </c>
      <c r="BI187" s="224">
        <f t="shared" si="106"/>
        <v>1000000</v>
      </c>
      <c r="BJ187" s="224">
        <f t="shared" si="106"/>
        <v>1000000</v>
      </c>
      <c r="BK187" s="224">
        <f t="shared" si="106"/>
        <v>1000000</v>
      </c>
      <c r="BL187" s="224">
        <f t="shared" si="106"/>
        <v>1000000</v>
      </c>
      <c r="BM187" s="224">
        <f t="shared" si="106"/>
        <v>1000000</v>
      </c>
      <c r="BN187" s="224">
        <f t="shared" si="106"/>
        <v>1000000</v>
      </c>
      <c r="BO187" s="224">
        <f t="shared" si="106"/>
        <v>1000000</v>
      </c>
    </row>
    <row r="188" spans="1:67">
      <c r="A188" s="223">
        <f t="shared" ref="A188:A193" si="112">A187+1</f>
        <v>3</v>
      </c>
      <c r="B188" s="151" t="s">
        <v>204</v>
      </c>
      <c r="C188" s="223">
        <v>186</v>
      </c>
      <c r="D188" s="225">
        <v>1000000</v>
      </c>
      <c r="E188" s="225">
        <f t="shared" si="109"/>
        <v>1000000</v>
      </c>
      <c r="F188" s="225">
        <f t="shared" si="109"/>
        <v>1000000</v>
      </c>
      <c r="G188" s="225">
        <f t="shared" si="109"/>
        <v>1000000</v>
      </c>
      <c r="H188" s="225">
        <f t="shared" si="109"/>
        <v>1000000</v>
      </c>
      <c r="I188" s="225">
        <f t="shared" si="109"/>
        <v>1000000</v>
      </c>
      <c r="J188" s="225">
        <f t="shared" si="109"/>
        <v>1000000</v>
      </c>
      <c r="K188" s="226">
        <v>1000000</v>
      </c>
      <c r="L188" s="237">
        <f t="shared" si="110"/>
        <v>1000000</v>
      </c>
      <c r="M188" s="237">
        <f t="shared" si="110"/>
        <v>1000000</v>
      </c>
      <c r="N188" s="237">
        <f t="shared" si="110"/>
        <v>1000000</v>
      </c>
      <c r="O188" s="237">
        <f t="shared" si="110"/>
        <v>1000000</v>
      </c>
      <c r="P188" s="237">
        <f t="shared" si="110"/>
        <v>1000000</v>
      </c>
      <c r="Q188" s="237">
        <f t="shared" si="110"/>
        <v>1000000</v>
      </c>
      <c r="R188" s="237">
        <f t="shared" si="110"/>
        <v>1000000</v>
      </c>
      <c r="S188" s="237">
        <f t="shared" si="110"/>
        <v>1000000</v>
      </c>
      <c r="T188" s="226">
        <v>1000000</v>
      </c>
      <c r="U188" s="224">
        <f t="shared" si="107"/>
        <v>1000000</v>
      </c>
      <c r="V188" s="224">
        <f t="shared" si="107"/>
        <v>1000000</v>
      </c>
      <c r="W188" s="224">
        <f t="shared" si="107"/>
        <v>1000000</v>
      </c>
      <c r="X188" s="226">
        <v>1000000</v>
      </c>
      <c r="Y188" s="226">
        <f t="shared" ref="Y188:Z207" si="113">X188</f>
        <v>1000000</v>
      </c>
      <c r="Z188" s="226">
        <f t="shared" si="113"/>
        <v>1000000</v>
      </c>
      <c r="AA188" s="226">
        <v>1000000</v>
      </c>
      <c r="AB188" s="226">
        <v>1000000</v>
      </c>
      <c r="AC188" s="226">
        <v>1000000</v>
      </c>
      <c r="AD188" s="224">
        <f t="shared" si="102"/>
        <v>1000000</v>
      </c>
      <c r="AE188" s="226">
        <v>1000000</v>
      </c>
      <c r="AF188" s="226">
        <v>1000000</v>
      </c>
      <c r="AG188" s="224">
        <f t="shared" si="103"/>
        <v>1000000</v>
      </c>
      <c r="AH188" s="226">
        <v>1000000</v>
      </c>
      <c r="AI188" s="226">
        <f t="shared" ref="AI188:AM196" si="114">AH188</f>
        <v>1000000</v>
      </c>
      <c r="AJ188" s="226">
        <f t="shared" si="114"/>
        <v>1000000</v>
      </c>
      <c r="AK188" s="226">
        <f t="shared" si="114"/>
        <v>1000000</v>
      </c>
      <c r="AL188" s="226">
        <f t="shared" si="114"/>
        <v>1000000</v>
      </c>
      <c r="AM188" s="226">
        <f t="shared" si="114"/>
        <v>1000000</v>
      </c>
      <c r="AN188" s="235">
        <v>1000000</v>
      </c>
      <c r="AO188" s="235">
        <f t="shared" si="111"/>
        <v>1000000</v>
      </c>
      <c r="AP188" s="235">
        <f t="shared" si="111"/>
        <v>1000000</v>
      </c>
      <c r="AQ188" s="236">
        <f t="shared" si="111"/>
        <v>1000000</v>
      </c>
      <c r="AR188" s="236">
        <f t="shared" si="111"/>
        <v>1000000</v>
      </c>
      <c r="AS188" s="236">
        <f t="shared" si="111"/>
        <v>1000000</v>
      </c>
      <c r="AT188" s="236">
        <f t="shared" si="111"/>
        <v>1000000</v>
      </c>
      <c r="AU188" s="236">
        <f t="shared" si="111"/>
        <v>1000000</v>
      </c>
      <c r="AV188" s="236">
        <f t="shared" si="111"/>
        <v>1000000</v>
      </c>
      <c r="AW188" s="226">
        <v>1000000</v>
      </c>
      <c r="AX188" s="226">
        <f t="shared" ref="AX188:BB196" si="115">AW188</f>
        <v>1000000</v>
      </c>
      <c r="AY188" s="226">
        <f t="shared" si="115"/>
        <v>1000000</v>
      </c>
      <c r="AZ188" s="226">
        <f t="shared" si="115"/>
        <v>1000000</v>
      </c>
      <c r="BA188" s="226">
        <f t="shared" si="115"/>
        <v>1000000</v>
      </c>
      <c r="BB188" s="226">
        <f t="shared" si="115"/>
        <v>1000000</v>
      </c>
      <c r="BC188" s="226">
        <v>1000000</v>
      </c>
      <c r="BD188" s="224">
        <f t="shared" ref="BD188:BO207" si="116">BC188</f>
        <v>1000000</v>
      </c>
      <c r="BE188" s="224">
        <f t="shared" si="116"/>
        <v>1000000</v>
      </c>
      <c r="BF188" s="224">
        <f t="shared" si="116"/>
        <v>1000000</v>
      </c>
      <c r="BG188" s="224">
        <f t="shared" si="116"/>
        <v>1000000</v>
      </c>
      <c r="BH188" s="224">
        <f t="shared" si="116"/>
        <v>1000000</v>
      </c>
      <c r="BI188" s="224">
        <f t="shared" si="116"/>
        <v>1000000</v>
      </c>
      <c r="BJ188" s="224">
        <f t="shared" si="116"/>
        <v>1000000</v>
      </c>
      <c r="BK188" s="224">
        <f t="shared" si="116"/>
        <v>1000000</v>
      </c>
      <c r="BL188" s="224">
        <f t="shared" si="116"/>
        <v>1000000</v>
      </c>
      <c r="BM188" s="224">
        <f t="shared" si="116"/>
        <v>1000000</v>
      </c>
      <c r="BN188" s="224">
        <f t="shared" si="116"/>
        <v>1000000</v>
      </c>
      <c r="BO188" s="224">
        <f t="shared" si="116"/>
        <v>1000000</v>
      </c>
    </row>
    <row r="189" spans="1:67">
      <c r="A189" s="223">
        <f t="shared" si="112"/>
        <v>4</v>
      </c>
      <c r="B189" s="151" t="s">
        <v>205</v>
      </c>
      <c r="C189" s="223">
        <v>187</v>
      </c>
      <c r="D189" s="225">
        <v>1500000</v>
      </c>
      <c r="E189" s="225">
        <f t="shared" si="109"/>
        <v>1500000</v>
      </c>
      <c r="F189" s="225">
        <f t="shared" si="109"/>
        <v>1500000</v>
      </c>
      <c r="G189" s="225">
        <f t="shared" si="109"/>
        <v>1500000</v>
      </c>
      <c r="H189" s="225">
        <f t="shared" si="109"/>
        <v>1500000</v>
      </c>
      <c r="I189" s="225">
        <f t="shared" si="109"/>
        <v>1500000</v>
      </c>
      <c r="J189" s="225">
        <f t="shared" si="109"/>
        <v>1500000</v>
      </c>
      <c r="K189" s="226">
        <v>1500000</v>
      </c>
      <c r="L189" s="237">
        <f t="shared" si="110"/>
        <v>1500000</v>
      </c>
      <c r="M189" s="237">
        <f t="shared" si="110"/>
        <v>1500000</v>
      </c>
      <c r="N189" s="237">
        <f t="shared" si="110"/>
        <v>1500000</v>
      </c>
      <c r="O189" s="237">
        <f t="shared" si="110"/>
        <v>1500000</v>
      </c>
      <c r="P189" s="237">
        <f t="shared" si="110"/>
        <v>1500000</v>
      </c>
      <c r="Q189" s="237">
        <f t="shared" si="110"/>
        <v>1500000</v>
      </c>
      <c r="R189" s="237">
        <f t="shared" si="110"/>
        <v>1500000</v>
      </c>
      <c r="S189" s="237">
        <f t="shared" si="110"/>
        <v>1500000</v>
      </c>
      <c r="T189" s="226">
        <v>1500000</v>
      </c>
      <c r="U189" s="224">
        <f t="shared" ref="U189:W196" si="117">T189</f>
        <v>1500000</v>
      </c>
      <c r="V189" s="224">
        <f t="shared" si="117"/>
        <v>1500000</v>
      </c>
      <c r="W189" s="224">
        <f t="shared" si="117"/>
        <v>1500000</v>
      </c>
      <c r="X189" s="226">
        <v>1500000</v>
      </c>
      <c r="Y189" s="226">
        <f t="shared" si="113"/>
        <v>1500000</v>
      </c>
      <c r="Z189" s="226">
        <f t="shared" si="113"/>
        <v>1500000</v>
      </c>
      <c r="AA189" s="226">
        <v>1500000</v>
      </c>
      <c r="AB189" s="226">
        <v>1500000</v>
      </c>
      <c r="AC189" s="226">
        <v>1500000</v>
      </c>
      <c r="AD189" s="224">
        <f t="shared" si="102"/>
        <v>1500000</v>
      </c>
      <c r="AE189" s="226">
        <v>1500000</v>
      </c>
      <c r="AF189" s="226">
        <v>1500000</v>
      </c>
      <c r="AG189" s="224">
        <f t="shared" si="103"/>
        <v>1500000</v>
      </c>
      <c r="AH189" s="226">
        <v>1500000</v>
      </c>
      <c r="AI189" s="226">
        <f t="shared" si="114"/>
        <v>1500000</v>
      </c>
      <c r="AJ189" s="226">
        <f t="shared" si="114"/>
        <v>1500000</v>
      </c>
      <c r="AK189" s="226">
        <f t="shared" si="114"/>
        <v>1500000</v>
      </c>
      <c r="AL189" s="226">
        <f t="shared" si="114"/>
        <v>1500000</v>
      </c>
      <c r="AM189" s="226">
        <f t="shared" si="114"/>
        <v>1500000</v>
      </c>
      <c r="AN189" s="235">
        <v>1500000</v>
      </c>
      <c r="AO189" s="235">
        <f t="shared" si="111"/>
        <v>1500000</v>
      </c>
      <c r="AP189" s="235">
        <f t="shared" si="111"/>
        <v>1500000</v>
      </c>
      <c r="AQ189" s="236">
        <f t="shared" si="111"/>
        <v>1500000</v>
      </c>
      <c r="AR189" s="236">
        <f t="shared" si="111"/>
        <v>1500000</v>
      </c>
      <c r="AS189" s="236">
        <f t="shared" si="111"/>
        <v>1500000</v>
      </c>
      <c r="AT189" s="236">
        <f t="shared" si="111"/>
        <v>1500000</v>
      </c>
      <c r="AU189" s="236">
        <f t="shared" si="111"/>
        <v>1500000</v>
      </c>
      <c r="AV189" s="236">
        <f t="shared" si="111"/>
        <v>1500000</v>
      </c>
      <c r="AW189" s="226">
        <v>1500000</v>
      </c>
      <c r="AX189" s="226">
        <f t="shared" si="115"/>
        <v>1500000</v>
      </c>
      <c r="AY189" s="226">
        <f t="shared" si="115"/>
        <v>1500000</v>
      </c>
      <c r="AZ189" s="226">
        <f t="shared" si="115"/>
        <v>1500000</v>
      </c>
      <c r="BA189" s="226">
        <f t="shared" si="115"/>
        <v>1500000</v>
      </c>
      <c r="BB189" s="226">
        <f t="shared" si="115"/>
        <v>1500000</v>
      </c>
      <c r="BC189" s="226">
        <v>1500000</v>
      </c>
      <c r="BD189" s="224">
        <f t="shared" si="116"/>
        <v>1500000</v>
      </c>
      <c r="BE189" s="224">
        <f t="shared" si="116"/>
        <v>1500000</v>
      </c>
      <c r="BF189" s="224">
        <f t="shared" si="116"/>
        <v>1500000</v>
      </c>
      <c r="BG189" s="224">
        <f t="shared" si="116"/>
        <v>1500000</v>
      </c>
      <c r="BH189" s="224">
        <f t="shared" si="116"/>
        <v>1500000</v>
      </c>
      <c r="BI189" s="224">
        <f t="shared" si="116"/>
        <v>1500000</v>
      </c>
      <c r="BJ189" s="224">
        <f t="shared" si="116"/>
        <v>1500000</v>
      </c>
      <c r="BK189" s="224">
        <f t="shared" si="116"/>
        <v>1500000</v>
      </c>
      <c r="BL189" s="224">
        <f t="shared" si="116"/>
        <v>1500000</v>
      </c>
      <c r="BM189" s="224">
        <f t="shared" si="116"/>
        <v>1500000</v>
      </c>
      <c r="BN189" s="224">
        <f t="shared" si="116"/>
        <v>1500000</v>
      </c>
      <c r="BO189" s="224">
        <f t="shared" si="116"/>
        <v>1500000</v>
      </c>
    </row>
    <row r="190" spans="1:67">
      <c r="A190" s="223">
        <f t="shared" si="112"/>
        <v>5</v>
      </c>
      <c r="B190" s="151" t="s">
        <v>206</v>
      </c>
      <c r="C190" s="223">
        <v>188</v>
      </c>
      <c r="D190" s="225">
        <v>1500000</v>
      </c>
      <c r="E190" s="225">
        <f t="shared" si="109"/>
        <v>1500000</v>
      </c>
      <c r="F190" s="225">
        <f t="shared" si="109"/>
        <v>1500000</v>
      </c>
      <c r="G190" s="225">
        <f t="shared" si="109"/>
        <v>1500000</v>
      </c>
      <c r="H190" s="225">
        <f t="shared" si="109"/>
        <v>1500000</v>
      </c>
      <c r="I190" s="225">
        <f t="shared" si="109"/>
        <v>1500000</v>
      </c>
      <c r="J190" s="225">
        <f t="shared" si="109"/>
        <v>1500000</v>
      </c>
      <c r="K190" s="226">
        <v>1500000</v>
      </c>
      <c r="L190" s="237">
        <f t="shared" si="110"/>
        <v>1500000</v>
      </c>
      <c r="M190" s="237">
        <f t="shared" si="110"/>
        <v>1500000</v>
      </c>
      <c r="N190" s="237">
        <f t="shared" si="110"/>
        <v>1500000</v>
      </c>
      <c r="O190" s="237">
        <f t="shared" si="110"/>
        <v>1500000</v>
      </c>
      <c r="P190" s="237">
        <f t="shared" si="110"/>
        <v>1500000</v>
      </c>
      <c r="Q190" s="237">
        <f t="shared" si="110"/>
        <v>1500000</v>
      </c>
      <c r="R190" s="237">
        <f t="shared" si="110"/>
        <v>1500000</v>
      </c>
      <c r="S190" s="237">
        <f t="shared" si="110"/>
        <v>1500000</v>
      </c>
      <c r="T190" s="226">
        <v>1500000</v>
      </c>
      <c r="U190" s="224">
        <f t="shared" si="117"/>
        <v>1500000</v>
      </c>
      <c r="V190" s="224">
        <f t="shared" si="117"/>
        <v>1500000</v>
      </c>
      <c r="W190" s="224">
        <f t="shared" si="117"/>
        <v>1500000</v>
      </c>
      <c r="X190" s="226">
        <v>1500000</v>
      </c>
      <c r="Y190" s="226">
        <f t="shared" si="113"/>
        <v>1500000</v>
      </c>
      <c r="Z190" s="226">
        <f t="shared" si="113"/>
        <v>1500000</v>
      </c>
      <c r="AA190" s="226">
        <v>1500000</v>
      </c>
      <c r="AB190" s="226">
        <v>1500000</v>
      </c>
      <c r="AC190" s="226">
        <v>1500000</v>
      </c>
      <c r="AD190" s="224">
        <f t="shared" si="102"/>
        <v>1500000</v>
      </c>
      <c r="AE190" s="226">
        <v>1500000</v>
      </c>
      <c r="AF190" s="226">
        <v>1500000</v>
      </c>
      <c r="AG190" s="224">
        <f t="shared" si="103"/>
        <v>1500000</v>
      </c>
      <c r="AH190" s="226">
        <v>1500000</v>
      </c>
      <c r="AI190" s="226">
        <f t="shared" si="114"/>
        <v>1500000</v>
      </c>
      <c r="AJ190" s="226">
        <f t="shared" si="114"/>
        <v>1500000</v>
      </c>
      <c r="AK190" s="226">
        <f t="shared" si="114"/>
        <v>1500000</v>
      </c>
      <c r="AL190" s="226">
        <f t="shared" si="114"/>
        <v>1500000</v>
      </c>
      <c r="AM190" s="226">
        <f t="shared" si="114"/>
        <v>1500000</v>
      </c>
      <c r="AN190" s="235">
        <v>1500000</v>
      </c>
      <c r="AO190" s="235">
        <f t="shared" si="111"/>
        <v>1500000</v>
      </c>
      <c r="AP190" s="235">
        <f t="shared" si="111"/>
        <v>1500000</v>
      </c>
      <c r="AQ190" s="236">
        <f t="shared" si="111"/>
        <v>1500000</v>
      </c>
      <c r="AR190" s="236">
        <f t="shared" si="111"/>
        <v>1500000</v>
      </c>
      <c r="AS190" s="236">
        <f t="shared" si="111"/>
        <v>1500000</v>
      </c>
      <c r="AT190" s="236">
        <f t="shared" si="111"/>
        <v>1500000</v>
      </c>
      <c r="AU190" s="236">
        <f t="shared" si="111"/>
        <v>1500000</v>
      </c>
      <c r="AV190" s="236">
        <f t="shared" si="111"/>
        <v>1500000</v>
      </c>
      <c r="AW190" s="226">
        <v>1500000</v>
      </c>
      <c r="AX190" s="226">
        <f t="shared" si="115"/>
        <v>1500000</v>
      </c>
      <c r="AY190" s="226">
        <f t="shared" si="115"/>
        <v>1500000</v>
      </c>
      <c r="AZ190" s="226">
        <f t="shared" si="115"/>
        <v>1500000</v>
      </c>
      <c r="BA190" s="226">
        <f t="shared" si="115"/>
        <v>1500000</v>
      </c>
      <c r="BB190" s="226">
        <f t="shared" si="115"/>
        <v>1500000</v>
      </c>
      <c r="BC190" s="226">
        <v>1500000</v>
      </c>
      <c r="BD190" s="224">
        <f t="shared" si="116"/>
        <v>1500000</v>
      </c>
      <c r="BE190" s="224">
        <f t="shared" si="116"/>
        <v>1500000</v>
      </c>
      <c r="BF190" s="224">
        <f t="shared" si="116"/>
        <v>1500000</v>
      </c>
      <c r="BG190" s="224">
        <f t="shared" si="116"/>
        <v>1500000</v>
      </c>
      <c r="BH190" s="224">
        <f t="shared" si="116"/>
        <v>1500000</v>
      </c>
      <c r="BI190" s="224">
        <f t="shared" si="116"/>
        <v>1500000</v>
      </c>
      <c r="BJ190" s="224">
        <f t="shared" si="116"/>
        <v>1500000</v>
      </c>
      <c r="BK190" s="224">
        <f t="shared" si="116"/>
        <v>1500000</v>
      </c>
      <c r="BL190" s="224">
        <f t="shared" si="116"/>
        <v>1500000</v>
      </c>
      <c r="BM190" s="224">
        <f t="shared" si="116"/>
        <v>1500000</v>
      </c>
      <c r="BN190" s="224">
        <f t="shared" si="116"/>
        <v>1500000</v>
      </c>
      <c r="BO190" s="224">
        <f t="shared" si="116"/>
        <v>1500000</v>
      </c>
    </row>
    <row r="191" spans="1:67">
      <c r="A191" s="223">
        <f t="shared" si="112"/>
        <v>6</v>
      </c>
      <c r="B191" s="151" t="s">
        <v>207</v>
      </c>
      <c r="C191" s="223">
        <v>189</v>
      </c>
      <c r="D191" s="225">
        <v>2000000</v>
      </c>
      <c r="E191" s="225">
        <f t="shared" si="109"/>
        <v>2000000</v>
      </c>
      <c r="F191" s="225">
        <f t="shared" si="109"/>
        <v>2000000</v>
      </c>
      <c r="G191" s="225">
        <f t="shared" si="109"/>
        <v>2000000</v>
      </c>
      <c r="H191" s="225">
        <f t="shared" si="109"/>
        <v>2000000</v>
      </c>
      <c r="I191" s="225">
        <f t="shared" si="109"/>
        <v>2000000</v>
      </c>
      <c r="J191" s="225">
        <f t="shared" si="109"/>
        <v>2000000</v>
      </c>
      <c r="K191" s="226">
        <v>2000000</v>
      </c>
      <c r="L191" s="237">
        <f t="shared" si="110"/>
        <v>2000000</v>
      </c>
      <c r="M191" s="237">
        <f t="shared" si="110"/>
        <v>2000000</v>
      </c>
      <c r="N191" s="237">
        <f t="shared" si="110"/>
        <v>2000000</v>
      </c>
      <c r="O191" s="237">
        <f t="shared" si="110"/>
        <v>2000000</v>
      </c>
      <c r="P191" s="237">
        <f t="shared" si="110"/>
        <v>2000000</v>
      </c>
      <c r="Q191" s="237">
        <f t="shared" si="110"/>
        <v>2000000</v>
      </c>
      <c r="R191" s="237">
        <f t="shared" si="110"/>
        <v>2000000</v>
      </c>
      <c r="S191" s="237">
        <f t="shared" si="110"/>
        <v>2000000</v>
      </c>
      <c r="T191" s="226">
        <v>2000000</v>
      </c>
      <c r="U191" s="224">
        <f t="shared" si="117"/>
        <v>2000000</v>
      </c>
      <c r="V191" s="224">
        <f t="shared" si="117"/>
        <v>2000000</v>
      </c>
      <c r="W191" s="224">
        <f t="shared" si="117"/>
        <v>2000000</v>
      </c>
      <c r="X191" s="226">
        <v>2000000</v>
      </c>
      <c r="Y191" s="226">
        <f t="shared" si="113"/>
        <v>2000000</v>
      </c>
      <c r="Z191" s="226">
        <f t="shared" si="113"/>
        <v>2000000</v>
      </c>
      <c r="AA191" s="226">
        <v>2000000</v>
      </c>
      <c r="AB191" s="226">
        <v>2000000</v>
      </c>
      <c r="AC191" s="226">
        <v>2000000</v>
      </c>
      <c r="AD191" s="224">
        <f t="shared" si="102"/>
        <v>2000000</v>
      </c>
      <c r="AE191" s="226">
        <v>2000000</v>
      </c>
      <c r="AF191" s="226">
        <v>2000000</v>
      </c>
      <c r="AG191" s="224">
        <f t="shared" si="103"/>
        <v>2000000</v>
      </c>
      <c r="AH191" s="226">
        <v>2000000</v>
      </c>
      <c r="AI191" s="226">
        <f t="shared" si="114"/>
        <v>2000000</v>
      </c>
      <c r="AJ191" s="226">
        <f t="shared" si="114"/>
        <v>2000000</v>
      </c>
      <c r="AK191" s="226">
        <f t="shared" si="114"/>
        <v>2000000</v>
      </c>
      <c r="AL191" s="226">
        <f t="shared" si="114"/>
        <v>2000000</v>
      </c>
      <c r="AM191" s="226">
        <f t="shared" si="114"/>
        <v>2000000</v>
      </c>
      <c r="AN191" s="235">
        <v>2000000</v>
      </c>
      <c r="AO191" s="235">
        <f t="shared" si="111"/>
        <v>2000000</v>
      </c>
      <c r="AP191" s="235">
        <f t="shared" si="111"/>
        <v>2000000</v>
      </c>
      <c r="AQ191" s="236">
        <f t="shared" si="111"/>
        <v>2000000</v>
      </c>
      <c r="AR191" s="236">
        <f t="shared" si="111"/>
        <v>2000000</v>
      </c>
      <c r="AS191" s="236">
        <f t="shared" si="111"/>
        <v>2000000</v>
      </c>
      <c r="AT191" s="236">
        <f t="shared" si="111"/>
        <v>2000000</v>
      </c>
      <c r="AU191" s="236">
        <f t="shared" si="111"/>
        <v>2000000</v>
      </c>
      <c r="AV191" s="236">
        <f t="shared" si="111"/>
        <v>2000000</v>
      </c>
      <c r="AW191" s="226">
        <v>2000000</v>
      </c>
      <c r="AX191" s="226">
        <f t="shared" si="115"/>
        <v>2000000</v>
      </c>
      <c r="AY191" s="226">
        <f t="shared" si="115"/>
        <v>2000000</v>
      </c>
      <c r="AZ191" s="226">
        <f t="shared" si="115"/>
        <v>2000000</v>
      </c>
      <c r="BA191" s="226">
        <f t="shared" si="115"/>
        <v>2000000</v>
      </c>
      <c r="BB191" s="226">
        <f t="shared" si="115"/>
        <v>2000000</v>
      </c>
      <c r="BC191" s="226">
        <v>2000000</v>
      </c>
      <c r="BD191" s="224">
        <f t="shared" si="116"/>
        <v>2000000</v>
      </c>
      <c r="BE191" s="224">
        <f t="shared" si="116"/>
        <v>2000000</v>
      </c>
      <c r="BF191" s="224">
        <f t="shared" si="116"/>
        <v>2000000</v>
      </c>
      <c r="BG191" s="224">
        <f t="shared" si="116"/>
        <v>2000000</v>
      </c>
      <c r="BH191" s="224">
        <f t="shared" si="116"/>
        <v>2000000</v>
      </c>
      <c r="BI191" s="224">
        <f t="shared" si="116"/>
        <v>2000000</v>
      </c>
      <c r="BJ191" s="224">
        <f t="shared" si="116"/>
        <v>2000000</v>
      </c>
      <c r="BK191" s="224">
        <f t="shared" si="116"/>
        <v>2000000</v>
      </c>
      <c r="BL191" s="224">
        <f t="shared" si="116"/>
        <v>2000000</v>
      </c>
      <c r="BM191" s="224">
        <f t="shared" si="116"/>
        <v>2000000</v>
      </c>
      <c r="BN191" s="224">
        <f t="shared" si="116"/>
        <v>2000000</v>
      </c>
      <c r="BO191" s="224">
        <f t="shared" si="116"/>
        <v>2000000</v>
      </c>
    </row>
    <row r="192" spans="1:67" ht="30">
      <c r="A192" s="223">
        <f t="shared" si="112"/>
        <v>7</v>
      </c>
      <c r="B192" s="228" t="s">
        <v>313</v>
      </c>
      <c r="C192" s="223">
        <v>190</v>
      </c>
      <c r="D192" s="225">
        <v>2500000</v>
      </c>
      <c r="E192" s="225">
        <f t="shared" si="109"/>
        <v>2500000</v>
      </c>
      <c r="F192" s="225">
        <f t="shared" si="109"/>
        <v>2500000</v>
      </c>
      <c r="G192" s="225">
        <f t="shared" si="109"/>
        <v>2500000</v>
      </c>
      <c r="H192" s="225">
        <f t="shared" si="109"/>
        <v>2500000</v>
      </c>
      <c r="I192" s="225">
        <f t="shared" si="109"/>
        <v>2500000</v>
      </c>
      <c r="J192" s="225">
        <f t="shared" si="109"/>
        <v>2500000</v>
      </c>
      <c r="K192" s="247">
        <v>2500000</v>
      </c>
      <c r="L192" s="237">
        <f t="shared" si="110"/>
        <v>2500000</v>
      </c>
      <c r="M192" s="237">
        <f t="shared" si="110"/>
        <v>2500000</v>
      </c>
      <c r="N192" s="237">
        <f t="shared" si="110"/>
        <v>2500000</v>
      </c>
      <c r="O192" s="237">
        <f t="shared" si="110"/>
        <v>2500000</v>
      </c>
      <c r="P192" s="237">
        <f t="shared" si="110"/>
        <v>2500000</v>
      </c>
      <c r="Q192" s="237">
        <f t="shared" si="110"/>
        <v>2500000</v>
      </c>
      <c r="R192" s="237">
        <f t="shared" si="110"/>
        <v>2500000</v>
      </c>
      <c r="S192" s="237">
        <f t="shared" si="110"/>
        <v>2500000</v>
      </c>
      <c r="T192" s="247">
        <v>2500000</v>
      </c>
      <c r="U192" s="224">
        <f t="shared" si="117"/>
        <v>2500000</v>
      </c>
      <c r="V192" s="224">
        <f t="shared" si="117"/>
        <v>2500000</v>
      </c>
      <c r="W192" s="224">
        <f t="shared" si="117"/>
        <v>2500000</v>
      </c>
      <c r="X192" s="226">
        <v>2500000</v>
      </c>
      <c r="Y192" s="226">
        <f t="shared" si="113"/>
        <v>2500000</v>
      </c>
      <c r="Z192" s="226">
        <f t="shared" si="113"/>
        <v>2500000</v>
      </c>
      <c r="AA192" s="247">
        <v>2500000</v>
      </c>
      <c r="AB192" s="247">
        <v>2500000</v>
      </c>
      <c r="AC192" s="247">
        <v>2500000</v>
      </c>
      <c r="AD192" s="224">
        <f t="shared" si="102"/>
        <v>2500000</v>
      </c>
      <c r="AE192" s="247">
        <v>2500000</v>
      </c>
      <c r="AF192" s="247">
        <v>2500000</v>
      </c>
      <c r="AG192" s="224">
        <f t="shared" si="103"/>
        <v>2500000</v>
      </c>
      <c r="AH192" s="226">
        <v>2500000</v>
      </c>
      <c r="AI192" s="226">
        <f t="shared" si="114"/>
        <v>2500000</v>
      </c>
      <c r="AJ192" s="226">
        <f t="shared" si="114"/>
        <v>2500000</v>
      </c>
      <c r="AK192" s="226">
        <f t="shared" si="114"/>
        <v>2500000</v>
      </c>
      <c r="AL192" s="226">
        <f t="shared" si="114"/>
        <v>2500000</v>
      </c>
      <c r="AM192" s="226">
        <f t="shared" si="114"/>
        <v>2500000</v>
      </c>
      <c r="AN192" s="235">
        <v>2500000</v>
      </c>
      <c r="AO192" s="235">
        <f t="shared" si="111"/>
        <v>2500000</v>
      </c>
      <c r="AP192" s="235">
        <f t="shared" si="111"/>
        <v>2500000</v>
      </c>
      <c r="AQ192" s="236">
        <f t="shared" si="111"/>
        <v>2500000</v>
      </c>
      <c r="AR192" s="236">
        <f t="shared" si="111"/>
        <v>2500000</v>
      </c>
      <c r="AS192" s="236">
        <f t="shared" si="111"/>
        <v>2500000</v>
      </c>
      <c r="AT192" s="236">
        <f t="shared" si="111"/>
        <v>2500000</v>
      </c>
      <c r="AU192" s="236">
        <f t="shared" si="111"/>
        <v>2500000</v>
      </c>
      <c r="AV192" s="236">
        <f t="shared" si="111"/>
        <v>2500000</v>
      </c>
      <c r="AW192" s="247">
        <v>2500000</v>
      </c>
      <c r="AX192" s="226">
        <f t="shared" si="115"/>
        <v>2500000</v>
      </c>
      <c r="AY192" s="226">
        <f t="shared" si="115"/>
        <v>2500000</v>
      </c>
      <c r="AZ192" s="226">
        <f t="shared" si="115"/>
        <v>2500000</v>
      </c>
      <c r="BA192" s="226">
        <f t="shared" si="115"/>
        <v>2500000</v>
      </c>
      <c r="BB192" s="226">
        <f t="shared" si="115"/>
        <v>2500000</v>
      </c>
      <c r="BC192" s="247">
        <v>2500000</v>
      </c>
      <c r="BD192" s="224">
        <f t="shared" si="116"/>
        <v>2500000</v>
      </c>
      <c r="BE192" s="224">
        <f t="shared" si="116"/>
        <v>2500000</v>
      </c>
      <c r="BF192" s="224">
        <f t="shared" si="116"/>
        <v>2500000</v>
      </c>
      <c r="BG192" s="224">
        <f t="shared" si="116"/>
        <v>2500000</v>
      </c>
      <c r="BH192" s="224">
        <f t="shared" si="116"/>
        <v>2500000</v>
      </c>
      <c r="BI192" s="224">
        <f t="shared" si="116"/>
        <v>2500000</v>
      </c>
      <c r="BJ192" s="224">
        <f t="shared" si="116"/>
        <v>2500000</v>
      </c>
      <c r="BK192" s="224">
        <f t="shared" si="116"/>
        <v>2500000</v>
      </c>
      <c r="BL192" s="224">
        <f t="shared" si="116"/>
        <v>2500000</v>
      </c>
      <c r="BM192" s="224">
        <f t="shared" si="116"/>
        <v>2500000</v>
      </c>
      <c r="BN192" s="224">
        <f t="shared" si="116"/>
        <v>2500000</v>
      </c>
      <c r="BO192" s="224">
        <f t="shared" si="116"/>
        <v>2500000</v>
      </c>
    </row>
    <row r="193" spans="1:67" ht="30">
      <c r="A193" s="223">
        <f t="shared" si="112"/>
        <v>8</v>
      </c>
      <c r="B193" s="228" t="s">
        <v>314</v>
      </c>
      <c r="C193" s="223">
        <v>191</v>
      </c>
      <c r="D193" s="225">
        <v>3000000</v>
      </c>
      <c r="E193" s="225">
        <f t="shared" si="109"/>
        <v>3000000</v>
      </c>
      <c r="F193" s="225">
        <f t="shared" si="109"/>
        <v>3000000</v>
      </c>
      <c r="G193" s="225">
        <f t="shared" si="109"/>
        <v>3000000</v>
      </c>
      <c r="H193" s="225">
        <f t="shared" si="109"/>
        <v>3000000</v>
      </c>
      <c r="I193" s="225">
        <f t="shared" si="109"/>
        <v>3000000</v>
      </c>
      <c r="J193" s="225">
        <f t="shared" si="109"/>
        <v>3000000</v>
      </c>
      <c r="K193" s="247">
        <v>3000000</v>
      </c>
      <c r="L193" s="237">
        <f t="shared" si="110"/>
        <v>3000000</v>
      </c>
      <c r="M193" s="237">
        <f t="shared" si="110"/>
        <v>3000000</v>
      </c>
      <c r="N193" s="237">
        <f t="shared" si="110"/>
        <v>3000000</v>
      </c>
      <c r="O193" s="237">
        <f t="shared" si="110"/>
        <v>3000000</v>
      </c>
      <c r="P193" s="237">
        <f t="shared" si="110"/>
        <v>3000000</v>
      </c>
      <c r="Q193" s="237">
        <f t="shared" si="110"/>
        <v>3000000</v>
      </c>
      <c r="R193" s="237">
        <f t="shared" si="110"/>
        <v>3000000</v>
      </c>
      <c r="S193" s="237">
        <f t="shared" si="110"/>
        <v>3000000</v>
      </c>
      <c r="T193" s="247">
        <v>3000000</v>
      </c>
      <c r="U193" s="224">
        <f t="shared" si="117"/>
        <v>3000000</v>
      </c>
      <c r="V193" s="224">
        <f t="shared" si="117"/>
        <v>3000000</v>
      </c>
      <c r="W193" s="224">
        <f t="shared" si="117"/>
        <v>3000000</v>
      </c>
      <c r="X193" s="226">
        <v>3000000</v>
      </c>
      <c r="Y193" s="226">
        <f t="shared" si="113"/>
        <v>3000000</v>
      </c>
      <c r="Z193" s="226">
        <f t="shared" si="113"/>
        <v>3000000</v>
      </c>
      <c r="AA193" s="247">
        <v>3000000</v>
      </c>
      <c r="AB193" s="247">
        <v>3000000</v>
      </c>
      <c r="AC193" s="247">
        <v>3000000</v>
      </c>
      <c r="AD193" s="224">
        <f t="shared" si="102"/>
        <v>3000000</v>
      </c>
      <c r="AE193" s="247">
        <v>3000000</v>
      </c>
      <c r="AF193" s="247">
        <v>3000000</v>
      </c>
      <c r="AG193" s="224">
        <f t="shared" si="103"/>
        <v>3000000</v>
      </c>
      <c r="AH193" s="226">
        <v>3000000</v>
      </c>
      <c r="AI193" s="226">
        <f t="shared" si="114"/>
        <v>3000000</v>
      </c>
      <c r="AJ193" s="226">
        <f t="shared" si="114"/>
        <v>3000000</v>
      </c>
      <c r="AK193" s="226">
        <f t="shared" si="114"/>
        <v>3000000</v>
      </c>
      <c r="AL193" s="226">
        <f t="shared" si="114"/>
        <v>3000000</v>
      </c>
      <c r="AM193" s="226">
        <f t="shared" si="114"/>
        <v>3000000</v>
      </c>
      <c r="AN193" s="235">
        <v>3000000</v>
      </c>
      <c r="AO193" s="235">
        <f t="shared" si="111"/>
        <v>3000000</v>
      </c>
      <c r="AP193" s="235">
        <f t="shared" si="111"/>
        <v>3000000</v>
      </c>
      <c r="AQ193" s="236">
        <f t="shared" si="111"/>
        <v>3000000</v>
      </c>
      <c r="AR193" s="236">
        <f t="shared" si="111"/>
        <v>3000000</v>
      </c>
      <c r="AS193" s="236">
        <f t="shared" si="111"/>
        <v>3000000</v>
      </c>
      <c r="AT193" s="236">
        <f t="shared" si="111"/>
        <v>3000000</v>
      </c>
      <c r="AU193" s="236">
        <f t="shared" si="111"/>
        <v>3000000</v>
      </c>
      <c r="AV193" s="236">
        <f t="shared" si="111"/>
        <v>3000000</v>
      </c>
      <c r="AW193" s="247">
        <v>3000000</v>
      </c>
      <c r="AX193" s="226">
        <f t="shared" si="115"/>
        <v>3000000</v>
      </c>
      <c r="AY193" s="226">
        <f t="shared" si="115"/>
        <v>3000000</v>
      </c>
      <c r="AZ193" s="226">
        <f t="shared" si="115"/>
        <v>3000000</v>
      </c>
      <c r="BA193" s="226">
        <f t="shared" si="115"/>
        <v>3000000</v>
      </c>
      <c r="BB193" s="226">
        <f t="shared" si="115"/>
        <v>3000000</v>
      </c>
      <c r="BC193" s="247">
        <v>3000000</v>
      </c>
      <c r="BD193" s="224">
        <f t="shared" si="116"/>
        <v>3000000</v>
      </c>
      <c r="BE193" s="224">
        <f t="shared" si="116"/>
        <v>3000000</v>
      </c>
      <c r="BF193" s="224">
        <f t="shared" si="116"/>
        <v>3000000</v>
      </c>
      <c r="BG193" s="224">
        <f t="shared" si="116"/>
        <v>3000000</v>
      </c>
      <c r="BH193" s="224">
        <f t="shared" si="116"/>
        <v>3000000</v>
      </c>
      <c r="BI193" s="224">
        <f t="shared" si="116"/>
        <v>3000000</v>
      </c>
      <c r="BJ193" s="224">
        <f t="shared" si="116"/>
        <v>3000000</v>
      </c>
      <c r="BK193" s="224">
        <f t="shared" si="116"/>
        <v>3000000</v>
      </c>
      <c r="BL193" s="224">
        <f t="shared" si="116"/>
        <v>3000000</v>
      </c>
      <c r="BM193" s="224">
        <f t="shared" si="116"/>
        <v>3000000</v>
      </c>
      <c r="BN193" s="224">
        <f t="shared" si="116"/>
        <v>3000000</v>
      </c>
      <c r="BO193" s="224">
        <f t="shared" si="116"/>
        <v>3000000</v>
      </c>
    </row>
    <row r="194" spans="1:67">
      <c r="A194" s="223" t="s">
        <v>330</v>
      </c>
      <c r="B194" s="249" t="s">
        <v>331</v>
      </c>
      <c r="C194" s="223">
        <v>192</v>
      </c>
      <c r="D194" s="225"/>
      <c r="E194" s="225"/>
      <c r="F194" s="225"/>
      <c r="G194" s="225"/>
      <c r="H194" s="225"/>
      <c r="I194" s="225"/>
      <c r="J194" s="225"/>
      <c r="K194" s="247"/>
      <c r="L194" s="237"/>
      <c r="M194" s="237"/>
      <c r="N194" s="237"/>
      <c r="O194" s="237"/>
      <c r="P194" s="237"/>
      <c r="Q194" s="237"/>
      <c r="R194" s="237"/>
      <c r="S194" s="237"/>
      <c r="T194" s="224"/>
      <c r="U194" s="224">
        <f t="shared" si="117"/>
        <v>0</v>
      </c>
      <c r="V194" s="224">
        <f t="shared" si="117"/>
        <v>0</v>
      </c>
      <c r="W194" s="224">
        <f t="shared" si="117"/>
        <v>0</v>
      </c>
      <c r="X194" s="226"/>
      <c r="Y194" s="226">
        <f t="shared" si="113"/>
        <v>0</v>
      </c>
      <c r="Z194" s="226">
        <f t="shared" si="113"/>
        <v>0</v>
      </c>
      <c r="AA194" s="247"/>
      <c r="AB194" s="247"/>
      <c r="AC194" s="247"/>
      <c r="AD194" s="224">
        <f t="shared" si="102"/>
        <v>0</v>
      </c>
      <c r="AE194" s="247"/>
      <c r="AF194" s="247"/>
      <c r="AG194" s="224">
        <f t="shared" si="103"/>
        <v>0</v>
      </c>
      <c r="AH194" s="226"/>
      <c r="AI194" s="226">
        <f t="shared" si="114"/>
        <v>0</v>
      </c>
      <c r="AJ194" s="226">
        <f t="shared" si="114"/>
        <v>0</v>
      </c>
      <c r="AK194" s="226">
        <f t="shared" si="114"/>
        <v>0</v>
      </c>
      <c r="AL194" s="226">
        <f t="shared" si="114"/>
        <v>0</v>
      </c>
      <c r="AM194" s="226">
        <f t="shared" si="114"/>
        <v>0</v>
      </c>
      <c r="AN194" s="235"/>
      <c r="AO194" s="235">
        <f t="shared" ref="AO194:AV211" si="118">AN194</f>
        <v>0</v>
      </c>
      <c r="AP194" s="235">
        <f t="shared" si="118"/>
        <v>0</v>
      </c>
      <c r="AQ194" s="236">
        <f t="shared" si="118"/>
        <v>0</v>
      </c>
      <c r="AR194" s="236">
        <f t="shared" si="118"/>
        <v>0</v>
      </c>
      <c r="AS194" s="236">
        <f t="shared" si="118"/>
        <v>0</v>
      </c>
      <c r="AT194" s="236">
        <f t="shared" si="118"/>
        <v>0</v>
      </c>
      <c r="AU194" s="236">
        <f t="shared" si="118"/>
        <v>0</v>
      </c>
      <c r="AV194" s="236">
        <f t="shared" si="118"/>
        <v>0</v>
      </c>
      <c r="AW194" s="226"/>
      <c r="AX194" s="226">
        <f t="shared" si="115"/>
        <v>0</v>
      </c>
      <c r="AY194" s="226">
        <f t="shared" si="115"/>
        <v>0</v>
      </c>
      <c r="AZ194" s="226">
        <f t="shared" si="115"/>
        <v>0</v>
      </c>
      <c r="BA194" s="226">
        <f t="shared" si="115"/>
        <v>0</v>
      </c>
      <c r="BB194" s="226">
        <f t="shared" si="115"/>
        <v>0</v>
      </c>
      <c r="BC194" s="224"/>
      <c r="BD194" s="224">
        <f t="shared" si="116"/>
        <v>0</v>
      </c>
      <c r="BE194" s="224">
        <f t="shared" si="116"/>
        <v>0</v>
      </c>
      <c r="BF194" s="224">
        <f t="shared" si="116"/>
        <v>0</v>
      </c>
      <c r="BG194" s="224">
        <f t="shared" si="116"/>
        <v>0</v>
      </c>
      <c r="BH194" s="224">
        <f t="shared" si="116"/>
        <v>0</v>
      </c>
      <c r="BI194" s="224">
        <f t="shared" si="116"/>
        <v>0</v>
      </c>
      <c r="BJ194" s="224">
        <f t="shared" si="116"/>
        <v>0</v>
      </c>
      <c r="BK194" s="224">
        <f t="shared" si="116"/>
        <v>0</v>
      </c>
      <c r="BL194" s="224">
        <f t="shared" si="116"/>
        <v>0</v>
      </c>
      <c r="BM194" s="224">
        <f t="shared" si="116"/>
        <v>0</v>
      </c>
      <c r="BN194" s="224">
        <f t="shared" si="116"/>
        <v>0</v>
      </c>
      <c r="BO194" s="224">
        <f t="shared" si="116"/>
        <v>0</v>
      </c>
    </row>
    <row r="195" spans="1:67">
      <c r="A195" s="256"/>
      <c r="B195" s="265" t="s">
        <v>1780</v>
      </c>
      <c r="C195" s="223">
        <v>193</v>
      </c>
      <c r="D195" s="259">
        <v>4984875</v>
      </c>
      <c r="E195" s="259">
        <f t="shared" ref="E195:E202" si="119">D195</f>
        <v>4984875</v>
      </c>
      <c r="F195" s="259">
        <f t="shared" ref="F195:T195" si="120">E195</f>
        <v>4984875</v>
      </c>
      <c r="G195" s="259">
        <f t="shared" si="120"/>
        <v>4984875</v>
      </c>
      <c r="H195" s="259">
        <f t="shared" si="120"/>
        <v>4984875</v>
      </c>
      <c r="I195" s="259">
        <f t="shared" si="120"/>
        <v>4984875</v>
      </c>
      <c r="J195" s="259">
        <f t="shared" si="120"/>
        <v>4984875</v>
      </c>
      <c r="K195" s="259">
        <f t="shared" si="120"/>
        <v>4984875</v>
      </c>
      <c r="L195" s="259">
        <f t="shared" si="120"/>
        <v>4984875</v>
      </c>
      <c r="M195" s="259">
        <f t="shared" si="120"/>
        <v>4984875</v>
      </c>
      <c r="N195" s="259">
        <f t="shared" si="120"/>
        <v>4984875</v>
      </c>
      <c r="O195" s="259">
        <f t="shared" si="120"/>
        <v>4984875</v>
      </c>
      <c r="P195" s="259">
        <f t="shared" si="120"/>
        <v>4984875</v>
      </c>
      <c r="Q195" s="259">
        <f t="shared" si="120"/>
        <v>4984875</v>
      </c>
      <c r="R195" s="259">
        <f t="shared" si="120"/>
        <v>4984875</v>
      </c>
      <c r="S195" s="259">
        <f t="shared" si="120"/>
        <v>4984875</v>
      </c>
      <c r="T195" s="259">
        <f t="shared" si="120"/>
        <v>4984875</v>
      </c>
      <c r="U195" s="259">
        <f t="shared" si="117"/>
        <v>4984875</v>
      </c>
      <c r="V195" s="259">
        <f t="shared" si="117"/>
        <v>4984875</v>
      </c>
      <c r="W195" s="259">
        <f t="shared" si="117"/>
        <v>4984875</v>
      </c>
      <c r="X195" s="259">
        <f>W195</f>
        <v>4984875</v>
      </c>
      <c r="Y195" s="259">
        <f t="shared" si="113"/>
        <v>4984875</v>
      </c>
      <c r="Z195" s="259">
        <f t="shared" si="113"/>
        <v>4984875</v>
      </c>
      <c r="AA195" s="259">
        <f t="shared" ref="AA195:AC196" si="121">Z195</f>
        <v>4984875</v>
      </c>
      <c r="AB195" s="259">
        <f t="shared" si="121"/>
        <v>4984875</v>
      </c>
      <c r="AC195" s="259">
        <f t="shared" si="121"/>
        <v>4984875</v>
      </c>
      <c r="AD195" s="259">
        <f t="shared" si="102"/>
        <v>4984875</v>
      </c>
      <c r="AE195" s="259">
        <f>AD195</f>
        <v>4984875</v>
      </c>
      <c r="AF195" s="259">
        <f>AE195</f>
        <v>4984875</v>
      </c>
      <c r="AG195" s="259">
        <f t="shared" si="103"/>
        <v>4984875</v>
      </c>
      <c r="AH195" s="259">
        <f>AG195</f>
        <v>4984875</v>
      </c>
      <c r="AI195" s="259">
        <f t="shared" si="114"/>
        <v>4984875</v>
      </c>
      <c r="AJ195" s="259">
        <f t="shared" si="114"/>
        <v>4984875</v>
      </c>
      <c r="AK195" s="259">
        <f t="shared" si="114"/>
        <v>4984875</v>
      </c>
      <c r="AL195" s="259">
        <f t="shared" si="114"/>
        <v>4984875</v>
      </c>
      <c r="AM195" s="259">
        <f t="shared" si="114"/>
        <v>4984875</v>
      </c>
      <c r="AN195" s="259">
        <f>AM195</f>
        <v>4984875</v>
      </c>
      <c r="AO195" s="259">
        <f t="shared" si="118"/>
        <v>4984875</v>
      </c>
      <c r="AP195" s="259">
        <f t="shared" si="118"/>
        <v>4984875</v>
      </c>
      <c r="AQ195" s="259">
        <f t="shared" si="118"/>
        <v>4984875</v>
      </c>
      <c r="AR195" s="259">
        <f t="shared" si="118"/>
        <v>4984875</v>
      </c>
      <c r="AS195" s="259">
        <f t="shared" si="118"/>
        <v>4984875</v>
      </c>
      <c r="AT195" s="259">
        <f t="shared" si="118"/>
        <v>4984875</v>
      </c>
      <c r="AU195" s="259">
        <f t="shared" si="118"/>
        <v>4984875</v>
      </c>
      <c r="AV195" s="259">
        <f t="shared" si="118"/>
        <v>4984875</v>
      </c>
      <c r="AW195" s="259">
        <f>AV195</f>
        <v>4984875</v>
      </c>
      <c r="AX195" s="259">
        <f t="shared" si="115"/>
        <v>4984875</v>
      </c>
      <c r="AY195" s="259">
        <f t="shared" si="115"/>
        <v>4984875</v>
      </c>
      <c r="AZ195" s="259">
        <f t="shared" si="115"/>
        <v>4984875</v>
      </c>
      <c r="BA195" s="259">
        <f t="shared" si="115"/>
        <v>4984875</v>
      </c>
      <c r="BB195" s="259">
        <f t="shared" si="115"/>
        <v>4984875</v>
      </c>
      <c r="BC195" s="259">
        <f>BB195</f>
        <v>4984875</v>
      </c>
      <c r="BD195" s="259">
        <f t="shared" si="116"/>
        <v>4984875</v>
      </c>
      <c r="BE195" s="259">
        <f t="shared" si="116"/>
        <v>4984875</v>
      </c>
      <c r="BF195" s="259">
        <f t="shared" si="116"/>
        <v>4984875</v>
      </c>
      <c r="BG195" s="259">
        <f t="shared" si="116"/>
        <v>4984875</v>
      </c>
      <c r="BH195" s="259">
        <f t="shared" si="116"/>
        <v>4984875</v>
      </c>
      <c r="BI195" s="259">
        <f t="shared" si="116"/>
        <v>4984875</v>
      </c>
      <c r="BJ195" s="259">
        <f t="shared" si="116"/>
        <v>4984875</v>
      </c>
      <c r="BK195" s="259">
        <f t="shared" si="116"/>
        <v>4984875</v>
      </c>
      <c r="BL195" s="259">
        <f t="shared" si="116"/>
        <v>4984875</v>
      </c>
      <c r="BM195" s="259">
        <f t="shared" si="116"/>
        <v>4984875</v>
      </c>
      <c r="BN195" s="259">
        <f t="shared" si="116"/>
        <v>4984875</v>
      </c>
      <c r="BO195" s="259">
        <f t="shared" si="116"/>
        <v>4984875</v>
      </c>
    </row>
    <row r="196" spans="1:67">
      <c r="A196" s="256"/>
      <c r="B196" s="265" t="s">
        <v>1781</v>
      </c>
      <c r="C196" s="223">
        <v>194</v>
      </c>
      <c r="D196" s="259">
        <v>6235055</v>
      </c>
      <c r="E196" s="259">
        <f t="shared" si="119"/>
        <v>6235055</v>
      </c>
      <c r="F196" s="259">
        <f t="shared" ref="F196:T196" si="122">E196</f>
        <v>6235055</v>
      </c>
      <c r="G196" s="259">
        <f t="shared" si="122"/>
        <v>6235055</v>
      </c>
      <c r="H196" s="259">
        <f t="shared" si="122"/>
        <v>6235055</v>
      </c>
      <c r="I196" s="259">
        <f t="shared" si="122"/>
        <v>6235055</v>
      </c>
      <c r="J196" s="259">
        <f t="shared" si="122"/>
        <v>6235055</v>
      </c>
      <c r="K196" s="259">
        <f t="shared" si="122"/>
        <v>6235055</v>
      </c>
      <c r="L196" s="259">
        <f t="shared" si="122"/>
        <v>6235055</v>
      </c>
      <c r="M196" s="259">
        <f t="shared" si="122"/>
        <v>6235055</v>
      </c>
      <c r="N196" s="259">
        <f t="shared" si="122"/>
        <v>6235055</v>
      </c>
      <c r="O196" s="259">
        <f t="shared" si="122"/>
        <v>6235055</v>
      </c>
      <c r="P196" s="259">
        <f t="shared" si="122"/>
        <v>6235055</v>
      </c>
      <c r="Q196" s="259">
        <f t="shared" si="122"/>
        <v>6235055</v>
      </c>
      <c r="R196" s="259">
        <f t="shared" si="122"/>
        <v>6235055</v>
      </c>
      <c r="S196" s="259">
        <f t="shared" si="122"/>
        <v>6235055</v>
      </c>
      <c r="T196" s="259">
        <f t="shared" si="122"/>
        <v>6235055</v>
      </c>
      <c r="U196" s="259">
        <f t="shared" si="117"/>
        <v>6235055</v>
      </c>
      <c r="V196" s="259">
        <f t="shared" si="117"/>
        <v>6235055</v>
      </c>
      <c r="W196" s="259">
        <f t="shared" si="117"/>
        <v>6235055</v>
      </c>
      <c r="X196" s="259">
        <f>W196</f>
        <v>6235055</v>
      </c>
      <c r="Y196" s="259">
        <f>X196</f>
        <v>6235055</v>
      </c>
      <c r="Z196" s="259">
        <f>Y196</f>
        <v>6235055</v>
      </c>
      <c r="AA196" s="259">
        <f t="shared" si="121"/>
        <v>6235055</v>
      </c>
      <c r="AB196" s="259">
        <f t="shared" si="121"/>
        <v>6235055</v>
      </c>
      <c r="AC196" s="259">
        <f t="shared" si="121"/>
        <v>6235055</v>
      </c>
      <c r="AD196" s="259">
        <f>AC196</f>
        <v>6235055</v>
      </c>
      <c r="AE196" s="259">
        <f>AD196</f>
        <v>6235055</v>
      </c>
      <c r="AF196" s="259">
        <f>AE196</f>
        <v>6235055</v>
      </c>
      <c r="AG196" s="259">
        <f>AF196</f>
        <v>6235055</v>
      </c>
      <c r="AH196" s="259">
        <f>AG196</f>
        <v>6235055</v>
      </c>
      <c r="AI196" s="259">
        <f t="shared" si="114"/>
        <v>6235055</v>
      </c>
      <c r="AJ196" s="259">
        <f t="shared" si="114"/>
        <v>6235055</v>
      </c>
      <c r="AK196" s="259">
        <f t="shared" si="114"/>
        <v>6235055</v>
      </c>
      <c r="AL196" s="259">
        <f t="shared" si="114"/>
        <v>6235055</v>
      </c>
      <c r="AM196" s="259">
        <f t="shared" si="114"/>
        <v>6235055</v>
      </c>
      <c r="AN196" s="259">
        <f>AM196</f>
        <v>6235055</v>
      </c>
      <c r="AO196" s="259">
        <f t="shared" ref="AO196:AV196" si="123">AN196</f>
        <v>6235055</v>
      </c>
      <c r="AP196" s="259">
        <f t="shared" si="123"/>
        <v>6235055</v>
      </c>
      <c r="AQ196" s="259">
        <f t="shared" si="123"/>
        <v>6235055</v>
      </c>
      <c r="AR196" s="259">
        <f t="shared" si="123"/>
        <v>6235055</v>
      </c>
      <c r="AS196" s="259">
        <f t="shared" si="123"/>
        <v>6235055</v>
      </c>
      <c r="AT196" s="259">
        <f t="shared" si="123"/>
        <v>6235055</v>
      </c>
      <c r="AU196" s="259">
        <f t="shared" si="123"/>
        <v>6235055</v>
      </c>
      <c r="AV196" s="259">
        <f t="shared" si="123"/>
        <v>6235055</v>
      </c>
      <c r="AW196" s="259">
        <f>AV196</f>
        <v>6235055</v>
      </c>
      <c r="AX196" s="259">
        <f t="shared" si="115"/>
        <v>6235055</v>
      </c>
      <c r="AY196" s="259">
        <f t="shared" si="115"/>
        <v>6235055</v>
      </c>
      <c r="AZ196" s="259">
        <f t="shared" si="115"/>
        <v>6235055</v>
      </c>
      <c r="BA196" s="259">
        <f t="shared" si="115"/>
        <v>6235055</v>
      </c>
      <c r="BB196" s="259">
        <f t="shared" si="115"/>
        <v>6235055</v>
      </c>
      <c r="BC196" s="259">
        <f>BB196</f>
        <v>6235055</v>
      </c>
      <c r="BD196" s="259">
        <f t="shared" ref="BD196:BM196" si="124">BC196</f>
        <v>6235055</v>
      </c>
      <c r="BE196" s="259">
        <f t="shared" si="124"/>
        <v>6235055</v>
      </c>
      <c r="BF196" s="259">
        <f t="shared" si="124"/>
        <v>6235055</v>
      </c>
      <c r="BG196" s="259">
        <f t="shared" si="124"/>
        <v>6235055</v>
      </c>
      <c r="BH196" s="259">
        <f t="shared" si="124"/>
        <v>6235055</v>
      </c>
      <c r="BI196" s="259">
        <f t="shared" si="124"/>
        <v>6235055</v>
      </c>
      <c r="BJ196" s="259">
        <f t="shared" si="124"/>
        <v>6235055</v>
      </c>
      <c r="BK196" s="259">
        <f t="shared" si="124"/>
        <v>6235055</v>
      </c>
      <c r="BL196" s="259">
        <f t="shared" si="124"/>
        <v>6235055</v>
      </c>
      <c r="BM196" s="259">
        <f t="shared" si="124"/>
        <v>6235055</v>
      </c>
      <c r="BN196" s="259">
        <f t="shared" si="116"/>
        <v>6235055</v>
      </c>
      <c r="BO196" s="259">
        <f t="shared" si="116"/>
        <v>6235055</v>
      </c>
    </row>
    <row r="197" spans="1:67">
      <c r="A197" s="223">
        <v>1</v>
      </c>
      <c r="B197" s="151" t="s">
        <v>332</v>
      </c>
      <c r="C197" s="223">
        <v>195</v>
      </c>
      <c r="D197" s="225">
        <v>27390662.299558982</v>
      </c>
      <c r="E197" s="259">
        <f t="shared" si="119"/>
        <v>27390662.299558982</v>
      </c>
      <c r="F197" s="259">
        <f t="shared" ref="F197:BO201" si="125">E197</f>
        <v>27390662.299558982</v>
      </c>
      <c r="G197" s="259">
        <f t="shared" si="125"/>
        <v>27390662.299558982</v>
      </c>
      <c r="H197" s="259">
        <f t="shared" si="125"/>
        <v>27390662.299558982</v>
      </c>
      <c r="I197" s="259">
        <f t="shared" si="125"/>
        <v>27390662.299558982</v>
      </c>
      <c r="J197" s="259">
        <f t="shared" si="125"/>
        <v>27390662.299558982</v>
      </c>
      <c r="K197" s="259">
        <f t="shared" si="125"/>
        <v>27390662.299558982</v>
      </c>
      <c r="L197" s="259">
        <f t="shared" si="125"/>
        <v>27390662.299558982</v>
      </c>
      <c r="M197" s="259">
        <f t="shared" si="125"/>
        <v>27390662.299558982</v>
      </c>
      <c r="N197" s="259">
        <f t="shared" si="125"/>
        <v>27390662.299558982</v>
      </c>
      <c r="O197" s="259">
        <f t="shared" si="125"/>
        <v>27390662.299558982</v>
      </c>
      <c r="P197" s="259">
        <f t="shared" si="125"/>
        <v>27390662.299558982</v>
      </c>
      <c r="Q197" s="259">
        <f t="shared" si="125"/>
        <v>27390662.299558982</v>
      </c>
      <c r="R197" s="259">
        <f t="shared" si="125"/>
        <v>27390662.299558982</v>
      </c>
      <c r="S197" s="259">
        <f t="shared" si="125"/>
        <v>27390662.299558982</v>
      </c>
      <c r="T197" s="259">
        <f t="shared" si="125"/>
        <v>27390662.299558982</v>
      </c>
      <c r="U197" s="259">
        <f t="shared" si="125"/>
        <v>27390662.299558982</v>
      </c>
      <c r="V197" s="259">
        <f t="shared" si="125"/>
        <v>27390662.299558982</v>
      </c>
      <c r="W197" s="259">
        <f t="shared" si="125"/>
        <v>27390662.299558982</v>
      </c>
      <c r="X197" s="259">
        <f t="shared" si="125"/>
        <v>27390662.299558982</v>
      </c>
      <c r="Y197" s="259">
        <f t="shared" si="125"/>
        <v>27390662.299558982</v>
      </c>
      <c r="Z197" s="259">
        <f t="shared" si="125"/>
        <v>27390662.299558982</v>
      </c>
      <c r="AA197" s="259">
        <f t="shared" si="125"/>
        <v>27390662.299558982</v>
      </c>
      <c r="AB197" s="259">
        <f t="shared" si="125"/>
        <v>27390662.299558982</v>
      </c>
      <c r="AC197" s="259">
        <f t="shared" si="125"/>
        <v>27390662.299558982</v>
      </c>
      <c r="AD197" s="259">
        <f t="shared" si="125"/>
        <v>27390662.299558982</v>
      </c>
      <c r="AE197" s="259">
        <f t="shared" si="125"/>
        <v>27390662.299558982</v>
      </c>
      <c r="AF197" s="259">
        <f t="shared" si="125"/>
        <v>27390662.299558982</v>
      </c>
      <c r="AG197" s="259">
        <f t="shared" si="125"/>
        <v>27390662.299558982</v>
      </c>
      <c r="AH197" s="259">
        <f t="shared" si="125"/>
        <v>27390662.299558982</v>
      </c>
      <c r="AI197" s="259">
        <f t="shared" si="125"/>
        <v>27390662.299558982</v>
      </c>
      <c r="AJ197" s="259">
        <f t="shared" si="125"/>
        <v>27390662.299558982</v>
      </c>
      <c r="AK197" s="259">
        <f t="shared" si="125"/>
        <v>27390662.299558982</v>
      </c>
      <c r="AL197" s="259">
        <f t="shared" si="125"/>
        <v>27390662.299558982</v>
      </c>
      <c r="AM197" s="259">
        <f t="shared" si="125"/>
        <v>27390662.299558982</v>
      </c>
      <c r="AN197" s="259">
        <f t="shared" si="125"/>
        <v>27390662.299558982</v>
      </c>
      <c r="AO197" s="259">
        <f t="shared" si="125"/>
        <v>27390662.299558982</v>
      </c>
      <c r="AP197" s="259">
        <f t="shared" si="125"/>
        <v>27390662.299558982</v>
      </c>
      <c r="AQ197" s="259">
        <f t="shared" si="125"/>
        <v>27390662.299558982</v>
      </c>
      <c r="AR197" s="259">
        <f t="shared" si="125"/>
        <v>27390662.299558982</v>
      </c>
      <c r="AS197" s="259">
        <f t="shared" si="125"/>
        <v>27390662.299558982</v>
      </c>
      <c r="AT197" s="259">
        <f t="shared" si="125"/>
        <v>27390662.299558982</v>
      </c>
      <c r="AU197" s="259">
        <f t="shared" si="125"/>
        <v>27390662.299558982</v>
      </c>
      <c r="AV197" s="259">
        <f t="shared" si="125"/>
        <v>27390662.299558982</v>
      </c>
      <c r="AW197" s="259">
        <f t="shared" si="125"/>
        <v>27390662.299558982</v>
      </c>
      <c r="AX197" s="259">
        <f t="shared" si="125"/>
        <v>27390662.299558982</v>
      </c>
      <c r="AY197" s="259">
        <f t="shared" si="125"/>
        <v>27390662.299558982</v>
      </c>
      <c r="AZ197" s="259">
        <f t="shared" si="125"/>
        <v>27390662.299558982</v>
      </c>
      <c r="BA197" s="259">
        <f t="shared" si="125"/>
        <v>27390662.299558982</v>
      </c>
      <c r="BB197" s="259">
        <f t="shared" si="125"/>
        <v>27390662.299558982</v>
      </c>
      <c r="BC197" s="259">
        <f t="shared" si="125"/>
        <v>27390662.299558982</v>
      </c>
      <c r="BD197" s="259">
        <f t="shared" si="125"/>
        <v>27390662.299558982</v>
      </c>
      <c r="BE197" s="259">
        <f t="shared" si="125"/>
        <v>27390662.299558982</v>
      </c>
      <c r="BF197" s="259">
        <f t="shared" si="125"/>
        <v>27390662.299558982</v>
      </c>
      <c r="BG197" s="259">
        <f t="shared" si="125"/>
        <v>27390662.299558982</v>
      </c>
      <c r="BH197" s="259">
        <f t="shared" si="125"/>
        <v>27390662.299558982</v>
      </c>
      <c r="BI197" s="259">
        <f t="shared" si="125"/>
        <v>27390662.299558982</v>
      </c>
      <c r="BJ197" s="259">
        <f t="shared" si="125"/>
        <v>27390662.299558982</v>
      </c>
      <c r="BK197" s="259">
        <f t="shared" si="125"/>
        <v>27390662.299558982</v>
      </c>
      <c r="BL197" s="259">
        <f t="shared" si="125"/>
        <v>27390662.299558982</v>
      </c>
      <c r="BM197" s="259">
        <f t="shared" si="125"/>
        <v>27390662.299558982</v>
      </c>
      <c r="BN197" s="259">
        <f t="shared" si="125"/>
        <v>27390662.299558982</v>
      </c>
      <c r="BO197" s="259">
        <f t="shared" si="125"/>
        <v>27390662.299558982</v>
      </c>
    </row>
    <row r="198" spans="1:67">
      <c r="A198" s="223">
        <v>2</v>
      </c>
      <c r="B198" s="151" t="s">
        <v>333</v>
      </c>
      <c r="C198" s="223">
        <v>196</v>
      </c>
      <c r="D198" s="225">
        <v>29411813</v>
      </c>
      <c r="E198" s="259">
        <f t="shared" si="119"/>
        <v>29411813</v>
      </c>
      <c r="F198" s="259">
        <f t="shared" si="125"/>
        <v>29411813</v>
      </c>
      <c r="G198" s="259">
        <f t="shared" si="125"/>
        <v>29411813</v>
      </c>
      <c r="H198" s="259">
        <f t="shared" si="125"/>
        <v>29411813</v>
      </c>
      <c r="I198" s="259">
        <f t="shared" si="125"/>
        <v>29411813</v>
      </c>
      <c r="J198" s="259">
        <f t="shared" si="125"/>
        <v>29411813</v>
      </c>
      <c r="K198" s="259">
        <f t="shared" si="125"/>
        <v>29411813</v>
      </c>
      <c r="L198" s="259">
        <f t="shared" si="125"/>
        <v>29411813</v>
      </c>
      <c r="M198" s="259">
        <f t="shared" si="125"/>
        <v>29411813</v>
      </c>
      <c r="N198" s="259">
        <f t="shared" si="125"/>
        <v>29411813</v>
      </c>
      <c r="O198" s="259">
        <f t="shared" si="125"/>
        <v>29411813</v>
      </c>
      <c r="P198" s="259">
        <f t="shared" si="125"/>
        <v>29411813</v>
      </c>
      <c r="Q198" s="259">
        <f t="shared" si="125"/>
        <v>29411813</v>
      </c>
      <c r="R198" s="259">
        <f t="shared" si="125"/>
        <v>29411813</v>
      </c>
      <c r="S198" s="259">
        <f t="shared" si="125"/>
        <v>29411813</v>
      </c>
      <c r="T198" s="259">
        <f t="shared" si="125"/>
        <v>29411813</v>
      </c>
      <c r="U198" s="259">
        <f t="shared" si="125"/>
        <v>29411813</v>
      </c>
      <c r="V198" s="259">
        <f t="shared" si="125"/>
        <v>29411813</v>
      </c>
      <c r="W198" s="259">
        <f t="shared" si="125"/>
        <v>29411813</v>
      </c>
      <c r="X198" s="259">
        <f t="shared" si="125"/>
        <v>29411813</v>
      </c>
      <c r="Y198" s="259">
        <f t="shared" si="125"/>
        <v>29411813</v>
      </c>
      <c r="Z198" s="259">
        <f t="shared" si="125"/>
        <v>29411813</v>
      </c>
      <c r="AA198" s="259">
        <f t="shared" si="125"/>
        <v>29411813</v>
      </c>
      <c r="AB198" s="259">
        <f t="shared" si="125"/>
        <v>29411813</v>
      </c>
      <c r="AC198" s="259">
        <f t="shared" si="125"/>
        <v>29411813</v>
      </c>
      <c r="AD198" s="259">
        <f t="shared" si="125"/>
        <v>29411813</v>
      </c>
      <c r="AE198" s="259">
        <f t="shared" si="125"/>
        <v>29411813</v>
      </c>
      <c r="AF198" s="259">
        <f t="shared" si="125"/>
        <v>29411813</v>
      </c>
      <c r="AG198" s="259">
        <f t="shared" si="125"/>
        <v>29411813</v>
      </c>
      <c r="AH198" s="259">
        <f t="shared" si="125"/>
        <v>29411813</v>
      </c>
      <c r="AI198" s="259">
        <f t="shared" si="125"/>
        <v>29411813</v>
      </c>
      <c r="AJ198" s="259">
        <f t="shared" si="125"/>
        <v>29411813</v>
      </c>
      <c r="AK198" s="259">
        <f t="shared" si="125"/>
        <v>29411813</v>
      </c>
      <c r="AL198" s="259">
        <f t="shared" si="125"/>
        <v>29411813</v>
      </c>
      <c r="AM198" s="259">
        <f t="shared" si="125"/>
        <v>29411813</v>
      </c>
      <c r="AN198" s="259">
        <f t="shared" si="125"/>
        <v>29411813</v>
      </c>
      <c r="AO198" s="259">
        <f t="shared" si="125"/>
        <v>29411813</v>
      </c>
      <c r="AP198" s="259">
        <f t="shared" si="125"/>
        <v>29411813</v>
      </c>
      <c r="AQ198" s="259">
        <f t="shared" si="125"/>
        <v>29411813</v>
      </c>
      <c r="AR198" s="259">
        <f t="shared" si="125"/>
        <v>29411813</v>
      </c>
      <c r="AS198" s="259">
        <f t="shared" si="125"/>
        <v>29411813</v>
      </c>
      <c r="AT198" s="259">
        <f t="shared" si="125"/>
        <v>29411813</v>
      </c>
      <c r="AU198" s="259">
        <f t="shared" si="125"/>
        <v>29411813</v>
      </c>
      <c r="AV198" s="259">
        <f t="shared" si="125"/>
        <v>29411813</v>
      </c>
      <c r="AW198" s="259">
        <f t="shared" si="125"/>
        <v>29411813</v>
      </c>
      <c r="AX198" s="259">
        <f t="shared" si="125"/>
        <v>29411813</v>
      </c>
      <c r="AY198" s="259">
        <f t="shared" si="125"/>
        <v>29411813</v>
      </c>
      <c r="AZ198" s="259">
        <f t="shared" si="125"/>
        <v>29411813</v>
      </c>
      <c r="BA198" s="259">
        <f t="shared" si="125"/>
        <v>29411813</v>
      </c>
      <c r="BB198" s="259">
        <f t="shared" si="125"/>
        <v>29411813</v>
      </c>
      <c r="BC198" s="259">
        <f t="shared" si="125"/>
        <v>29411813</v>
      </c>
      <c r="BD198" s="259">
        <f t="shared" si="125"/>
        <v>29411813</v>
      </c>
      <c r="BE198" s="259">
        <f t="shared" si="125"/>
        <v>29411813</v>
      </c>
      <c r="BF198" s="259">
        <f t="shared" si="125"/>
        <v>29411813</v>
      </c>
      <c r="BG198" s="259">
        <f t="shared" si="125"/>
        <v>29411813</v>
      </c>
      <c r="BH198" s="259">
        <f t="shared" si="125"/>
        <v>29411813</v>
      </c>
      <c r="BI198" s="259">
        <f t="shared" si="125"/>
        <v>29411813</v>
      </c>
      <c r="BJ198" s="259">
        <f t="shared" si="125"/>
        <v>29411813</v>
      </c>
      <c r="BK198" s="259">
        <f t="shared" si="125"/>
        <v>29411813</v>
      </c>
      <c r="BL198" s="259">
        <f t="shared" si="125"/>
        <v>29411813</v>
      </c>
      <c r="BM198" s="259">
        <f t="shared" si="125"/>
        <v>29411813</v>
      </c>
      <c r="BN198" s="259">
        <f t="shared" si="125"/>
        <v>29411813</v>
      </c>
      <c r="BO198" s="259">
        <f t="shared" si="125"/>
        <v>29411813</v>
      </c>
    </row>
    <row r="199" spans="1:67">
      <c r="A199" s="223">
        <v>3</v>
      </c>
      <c r="B199" s="151" t="s">
        <v>334</v>
      </c>
      <c r="C199" s="223">
        <v>197</v>
      </c>
      <c r="D199" s="225">
        <v>27390662.299558982</v>
      </c>
      <c r="E199" s="259">
        <f t="shared" si="119"/>
        <v>27390662.299558982</v>
      </c>
      <c r="F199" s="259">
        <f t="shared" si="125"/>
        <v>27390662.299558982</v>
      </c>
      <c r="G199" s="259">
        <f t="shared" si="125"/>
        <v>27390662.299558982</v>
      </c>
      <c r="H199" s="259">
        <f t="shared" si="125"/>
        <v>27390662.299558982</v>
      </c>
      <c r="I199" s="259">
        <f t="shared" si="125"/>
        <v>27390662.299558982</v>
      </c>
      <c r="J199" s="259">
        <f t="shared" si="125"/>
        <v>27390662.299558982</v>
      </c>
      <c r="K199" s="259">
        <f t="shared" si="125"/>
        <v>27390662.299558982</v>
      </c>
      <c r="L199" s="259">
        <f t="shared" si="125"/>
        <v>27390662.299558982</v>
      </c>
      <c r="M199" s="259">
        <f t="shared" si="125"/>
        <v>27390662.299558982</v>
      </c>
      <c r="N199" s="259">
        <f t="shared" si="125"/>
        <v>27390662.299558982</v>
      </c>
      <c r="O199" s="259">
        <f t="shared" si="125"/>
        <v>27390662.299558982</v>
      </c>
      <c r="P199" s="259">
        <f t="shared" si="125"/>
        <v>27390662.299558982</v>
      </c>
      <c r="Q199" s="259">
        <f t="shared" si="125"/>
        <v>27390662.299558982</v>
      </c>
      <c r="R199" s="259">
        <f t="shared" si="125"/>
        <v>27390662.299558982</v>
      </c>
      <c r="S199" s="259">
        <f t="shared" si="125"/>
        <v>27390662.299558982</v>
      </c>
      <c r="T199" s="259">
        <f t="shared" si="125"/>
        <v>27390662.299558982</v>
      </c>
      <c r="U199" s="259">
        <f t="shared" si="125"/>
        <v>27390662.299558982</v>
      </c>
      <c r="V199" s="259">
        <f t="shared" si="125"/>
        <v>27390662.299558982</v>
      </c>
      <c r="W199" s="259">
        <f t="shared" si="125"/>
        <v>27390662.299558982</v>
      </c>
      <c r="X199" s="259">
        <f t="shared" si="125"/>
        <v>27390662.299558982</v>
      </c>
      <c r="Y199" s="259">
        <f t="shared" si="125"/>
        <v>27390662.299558982</v>
      </c>
      <c r="Z199" s="259">
        <f t="shared" si="125"/>
        <v>27390662.299558982</v>
      </c>
      <c r="AA199" s="259">
        <f t="shared" si="125"/>
        <v>27390662.299558982</v>
      </c>
      <c r="AB199" s="259">
        <f t="shared" si="125"/>
        <v>27390662.299558982</v>
      </c>
      <c r="AC199" s="259">
        <f t="shared" si="125"/>
        <v>27390662.299558982</v>
      </c>
      <c r="AD199" s="259">
        <f t="shared" si="125"/>
        <v>27390662.299558982</v>
      </c>
      <c r="AE199" s="259">
        <f t="shared" si="125"/>
        <v>27390662.299558982</v>
      </c>
      <c r="AF199" s="259">
        <f t="shared" si="125"/>
        <v>27390662.299558982</v>
      </c>
      <c r="AG199" s="259">
        <f t="shared" si="125"/>
        <v>27390662.299558982</v>
      </c>
      <c r="AH199" s="259">
        <f t="shared" si="125"/>
        <v>27390662.299558982</v>
      </c>
      <c r="AI199" s="259">
        <f t="shared" si="125"/>
        <v>27390662.299558982</v>
      </c>
      <c r="AJ199" s="259">
        <f t="shared" si="125"/>
        <v>27390662.299558982</v>
      </c>
      <c r="AK199" s="259">
        <f t="shared" si="125"/>
        <v>27390662.299558982</v>
      </c>
      <c r="AL199" s="259">
        <f t="shared" si="125"/>
        <v>27390662.299558982</v>
      </c>
      <c r="AM199" s="259">
        <f t="shared" si="125"/>
        <v>27390662.299558982</v>
      </c>
      <c r="AN199" s="259">
        <f t="shared" si="125"/>
        <v>27390662.299558982</v>
      </c>
      <c r="AO199" s="259">
        <f t="shared" si="125"/>
        <v>27390662.299558982</v>
      </c>
      <c r="AP199" s="259">
        <f t="shared" si="125"/>
        <v>27390662.299558982</v>
      </c>
      <c r="AQ199" s="259">
        <f t="shared" si="125"/>
        <v>27390662.299558982</v>
      </c>
      <c r="AR199" s="259">
        <f t="shared" si="125"/>
        <v>27390662.299558982</v>
      </c>
      <c r="AS199" s="259">
        <f t="shared" si="125"/>
        <v>27390662.299558982</v>
      </c>
      <c r="AT199" s="259">
        <f t="shared" si="125"/>
        <v>27390662.299558982</v>
      </c>
      <c r="AU199" s="259">
        <f t="shared" si="125"/>
        <v>27390662.299558982</v>
      </c>
      <c r="AV199" s="259">
        <f t="shared" si="125"/>
        <v>27390662.299558982</v>
      </c>
      <c r="AW199" s="259">
        <f t="shared" si="125"/>
        <v>27390662.299558982</v>
      </c>
      <c r="AX199" s="259">
        <f t="shared" si="125"/>
        <v>27390662.299558982</v>
      </c>
      <c r="AY199" s="259">
        <f t="shared" si="125"/>
        <v>27390662.299558982</v>
      </c>
      <c r="AZ199" s="259">
        <f t="shared" si="125"/>
        <v>27390662.299558982</v>
      </c>
      <c r="BA199" s="259">
        <f t="shared" si="125"/>
        <v>27390662.299558982</v>
      </c>
      <c r="BB199" s="259">
        <f t="shared" si="125"/>
        <v>27390662.299558982</v>
      </c>
      <c r="BC199" s="259">
        <f t="shared" si="125"/>
        <v>27390662.299558982</v>
      </c>
      <c r="BD199" s="259">
        <f t="shared" si="125"/>
        <v>27390662.299558982</v>
      </c>
      <c r="BE199" s="259">
        <f t="shared" si="125"/>
        <v>27390662.299558982</v>
      </c>
      <c r="BF199" s="259">
        <f t="shared" si="125"/>
        <v>27390662.299558982</v>
      </c>
      <c r="BG199" s="259">
        <f t="shared" si="125"/>
        <v>27390662.299558982</v>
      </c>
      <c r="BH199" s="259">
        <f t="shared" si="125"/>
        <v>27390662.299558982</v>
      </c>
      <c r="BI199" s="259">
        <f t="shared" si="125"/>
        <v>27390662.299558982</v>
      </c>
      <c r="BJ199" s="259">
        <f t="shared" si="125"/>
        <v>27390662.299558982</v>
      </c>
      <c r="BK199" s="259">
        <f t="shared" si="125"/>
        <v>27390662.299558982</v>
      </c>
      <c r="BL199" s="259">
        <f t="shared" si="125"/>
        <v>27390662.299558982</v>
      </c>
      <c r="BM199" s="259">
        <f t="shared" si="125"/>
        <v>27390662.299558982</v>
      </c>
      <c r="BN199" s="259">
        <f t="shared" si="125"/>
        <v>27390662.299558982</v>
      </c>
      <c r="BO199" s="259">
        <f t="shared" si="125"/>
        <v>27390662.299558982</v>
      </c>
    </row>
    <row r="200" spans="1:67">
      <c r="A200" s="223">
        <v>4</v>
      </c>
      <c r="B200" s="151" t="s">
        <v>335</v>
      </c>
      <c r="C200" s="223">
        <v>198</v>
      </c>
      <c r="D200" s="225">
        <v>36572072</v>
      </c>
      <c r="E200" s="259">
        <f t="shared" si="119"/>
        <v>36572072</v>
      </c>
      <c r="F200" s="259">
        <f t="shared" si="125"/>
        <v>36572072</v>
      </c>
      <c r="G200" s="259">
        <f t="shared" si="125"/>
        <v>36572072</v>
      </c>
      <c r="H200" s="259">
        <f t="shared" si="125"/>
        <v>36572072</v>
      </c>
      <c r="I200" s="259">
        <f t="shared" si="125"/>
        <v>36572072</v>
      </c>
      <c r="J200" s="259">
        <f t="shared" si="125"/>
        <v>36572072</v>
      </c>
      <c r="K200" s="259">
        <f t="shared" si="125"/>
        <v>36572072</v>
      </c>
      <c r="L200" s="259">
        <f t="shared" si="125"/>
        <v>36572072</v>
      </c>
      <c r="M200" s="259">
        <f t="shared" si="125"/>
        <v>36572072</v>
      </c>
      <c r="N200" s="259">
        <f t="shared" si="125"/>
        <v>36572072</v>
      </c>
      <c r="O200" s="259">
        <f t="shared" si="125"/>
        <v>36572072</v>
      </c>
      <c r="P200" s="259">
        <f t="shared" si="125"/>
        <v>36572072</v>
      </c>
      <c r="Q200" s="259">
        <f t="shared" si="125"/>
        <v>36572072</v>
      </c>
      <c r="R200" s="259">
        <f t="shared" si="125"/>
        <v>36572072</v>
      </c>
      <c r="S200" s="259">
        <f t="shared" si="125"/>
        <v>36572072</v>
      </c>
      <c r="T200" s="259">
        <f t="shared" si="125"/>
        <v>36572072</v>
      </c>
      <c r="U200" s="259">
        <f t="shared" si="125"/>
        <v>36572072</v>
      </c>
      <c r="V200" s="259">
        <f t="shared" si="125"/>
        <v>36572072</v>
      </c>
      <c r="W200" s="259">
        <f t="shared" si="125"/>
        <v>36572072</v>
      </c>
      <c r="X200" s="259">
        <f t="shared" si="125"/>
        <v>36572072</v>
      </c>
      <c r="Y200" s="259">
        <f t="shared" si="125"/>
        <v>36572072</v>
      </c>
      <c r="Z200" s="259">
        <f t="shared" si="125"/>
        <v>36572072</v>
      </c>
      <c r="AA200" s="259">
        <f t="shared" si="125"/>
        <v>36572072</v>
      </c>
      <c r="AB200" s="259">
        <f t="shared" si="125"/>
        <v>36572072</v>
      </c>
      <c r="AC200" s="259">
        <f t="shared" si="125"/>
        <v>36572072</v>
      </c>
      <c r="AD200" s="259">
        <f t="shared" si="125"/>
        <v>36572072</v>
      </c>
      <c r="AE200" s="259">
        <f t="shared" si="125"/>
        <v>36572072</v>
      </c>
      <c r="AF200" s="259">
        <f t="shared" si="125"/>
        <v>36572072</v>
      </c>
      <c r="AG200" s="259">
        <f t="shared" si="125"/>
        <v>36572072</v>
      </c>
      <c r="AH200" s="259">
        <f t="shared" si="125"/>
        <v>36572072</v>
      </c>
      <c r="AI200" s="259">
        <f t="shared" si="125"/>
        <v>36572072</v>
      </c>
      <c r="AJ200" s="259">
        <f t="shared" si="125"/>
        <v>36572072</v>
      </c>
      <c r="AK200" s="259">
        <f t="shared" si="125"/>
        <v>36572072</v>
      </c>
      <c r="AL200" s="259">
        <f t="shared" si="125"/>
        <v>36572072</v>
      </c>
      <c r="AM200" s="259">
        <f t="shared" si="125"/>
        <v>36572072</v>
      </c>
      <c r="AN200" s="259">
        <f t="shared" si="125"/>
        <v>36572072</v>
      </c>
      <c r="AO200" s="259">
        <f t="shared" si="125"/>
        <v>36572072</v>
      </c>
      <c r="AP200" s="259">
        <f t="shared" si="125"/>
        <v>36572072</v>
      </c>
      <c r="AQ200" s="259">
        <f t="shared" si="125"/>
        <v>36572072</v>
      </c>
      <c r="AR200" s="259">
        <f t="shared" si="125"/>
        <v>36572072</v>
      </c>
      <c r="AS200" s="259">
        <f t="shared" si="125"/>
        <v>36572072</v>
      </c>
      <c r="AT200" s="259">
        <f t="shared" si="125"/>
        <v>36572072</v>
      </c>
      <c r="AU200" s="259">
        <f t="shared" si="125"/>
        <v>36572072</v>
      </c>
      <c r="AV200" s="259">
        <f t="shared" si="125"/>
        <v>36572072</v>
      </c>
      <c r="AW200" s="259">
        <f t="shared" si="125"/>
        <v>36572072</v>
      </c>
      <c r="AX200" s="259">
        <f t="shared" si="125"/>
        <v>36572072</v>
      </c>
      <c r="AY200" s="259">
        <f t="shared" si="125"/>
        <v>36572072</v>
      </c>
      <c r="AZ200" s="259">
        <f t="shared" si="125"/>
        <v>36572072</v>
      </c>
      <c r="BA200" s="259">
        <f t="shared" si="125"/>
        <v>36572072</v>
      </c>
      <c r="BB200" s="259">
        <f t="shared" si="125"/>
        <v>36572072</v>
      </c>
      <c r="BC200" s="259">
        <f t="shared" si="125"/>
        <v>36572072</v>
      </c>
      <c r="BD200" s="259">
        <f t="shared" si="125"/>
        <v>36572072</v>
      </c>
      <c r="BE200" s="259">
        <f t="shared" si="125"/>
        <v>36572072</v>
      </c>
      <c r="BF200" s="259">
        <f t="shared" si="125"/>
        <v>36572072</v>
      </c>
      <c r="BG200" s="259">
        <f t="shared" si="125"/>
        <v>36572072</v>
      </c>
      <c r="BH200" s="259">
        <f t="shared" si="125"/>
        <v>36572072</v>
      </c>
      <c r="BI200" s="259">
        <f t="shared" si="125"/>
        <v>36572072</v>
      </c>
      <c r="BJ200" s="259">
        <f t="shared" si="125"/>
        <v>36572072</v>
      </c>
      <c r="BK200" s="259">
        <f t="shared" si="125"/>
        <v>36572072</v>
      </c>
      <c r="BL200" s="259">
        <f t="shared" si="125"/>
        <v>36572072</v>
      </c>
      <c r="BM200" s="259">
        <f t="shared" si="125"/>
        <v>36572072</v>
      </c>
      <c r="BN200" s="259">
        <f t="shared" si="125"/>
        <v>36572072</v>
      </c>
      <c r="BO200" s="259">
        <f t="shared" si="125"/>
        <v>36572072</v>
      </c>
    </row>
    <row r="201" spans="1:67">
      <c r="A201" s="256"/>
      <c r="B201" s="151" t="s">
        <v>1565</v>
      </c>
      <c r="C201" s="223">
        <v>199</v>
      </c>
      <c r="D201" s="259">
        <v>36572072</v>
      </c>
      <c r="E201" s="259">
        <f t="shared" si="119"/>
        <v>36572072</v>
      </c>
      <c r="F201" s="259">
        <f t="shared" si="125"/>
        <v>36572072</v>
      </c>
      <c r="G201" s="259">
        <f t="shared" si="125"/>
        <v>36572072</v>
      </c>
      <c r="H201" s="259">
        <f t="shared" si="125"/>
        <v>36572072</v>
      </c>
      <c r="I201" s="259">
        <f t="shared" si="125"/>
        <v>36572072</v>
      </c>
      <c r="J201" s="259">
        <f t="shared" si="125"/>
        <v>36572072</v>
      </c>
      <c r="K201" s="259">
        <f t="shared" si="125"/>
        <v>36572072</v>
      </c>
      <c r="L201" s="259">
        <f t="shared" si="125"/>
        <v>36572072</v>
      </c>
      <c r="M201" s="259">
        <f t="shared" ref="F201:BO202" si="126">L201</f>
        <v>36572072</v>
      </c>
      <c r="N201" s="259">
        <f t="shared" si="126"/>
        <v>36572072</v>
      </c>
      <c r="O201" s="259">
        <f t="shared" si="126"/>
        <v>36572072</v>
      </c>
      <c r="P201" s="259">
        <f t="shared" si="126"/>
        <v>36572072</v>
      </c>
      <c r="Q201" s="259">
        <f t="shared" si="126"/>
        <v>36572072</v>
      </c>
      <c r="R201" s="259">
        <f t="shared" si="126"/>
        <v>36572072</v>
      </c>
      <c r="S201" s="259">
        <f t="shared" si="126"/>
        <v>36572072</v>
      </c>
      <c r="T201" s="259">
        <f t="shared" si="126"/>
        <v>36572072</v>
      </c>
      <c r="U201" s="259">
        <f t="shared" si="126"/>
        <v>36572072</v>
      </c>
      <c r="V201" s="259">
        <f t="shared" si="126"/>
        <v>36572072</v>
      </c>
      <c r="W201" s="259">
        <f t="shared" si="126"/>
        <v>36572072</v>
      </c>
      <c r="X201" s="259">
        <f t="shared" si="126"/>
        <v>36572072</v>
      </c>
      <c r="Y201" s="259">
        <f t="shared" si="126"/>
        <v>36572072</v>
      </c>
      <c r="Z201" s="259">
        <f t="shared" si="126"/>
        <v>36572072</v>
      </c>
      <c r="AA201" s="259">
        <f t="shared" si="126"/>
        <v>36572072</v>
      </c>
      <c r="AB201" s="259">
        <f t="shared" si="126"/>
        <v>36572072</v>
      </c>
      <c r="AC201" s="259">
        <f t="shared" si="126"/>
        <v>36572072</v>
      </c>
      <c r="AD201" s="259">
        <f t="shared" si="126"/>
        <v>36572072</v>
      </c>
      <c r="AE201" s="259">
        <f t="shared" si="126"/>
        <v>36572072</v>
      </c>
      <c r="AF201" s="259">
        <f t="shared" si="126"/>
        <v>36572072</v>
      </c>
      <c r="AG201" s="259">
        <f t="shared" si="126"/>
        <v>36572072</v>
      </c>
      <c r="AH201" s="259">
        <f t="shared" si="126"/>
        <v>36572072</v>
      </c>
      <c r="AI201" s="259">
        <f t="shared" si="126"/>
        <v>36572072</v>
      </c>
      <c r="AJ201" s="259">
        <f t="shared" si="126"/>
        <v>36572072</v>
      </c>
      <c r="AK201" s="259">
        <f t="shared" si="126"/>
        <v>36572072</v>
      </c>
      <c r="AL201" s="259">
        <f t="shared" si="126"/>
        <v>36572072</v>
      </c>
      <c r="AM201" s="259">
        <f t="shared" si="126"/>
        <v>36572072</v>
      </c>
      <c r="AN201" s="259">
        <f t="shared" si="126"/>
        <v>36572072</v>
      </c>
      <c r="AO201" s="259">
        <f t="shared" si="126"/>
        <v>36572072</v>
      </c>
      <c r="AP201" s="259">
        <f t="shared" si="126"/>
        <v>36572072</v>
      </c>
      <c r="AQ201" s="259">
        <f t="shared" si="126"/>
        <v>36572072</v>
      </c>
      <c r="AR201" s="259">
        <f t="shared" si="126"/>
        <v>36572072</v>
      </c>
      <c r="AS201" s="259">
        <f t="shared" si="126"/>
        <v>36572072</v>
      </c>
      <c r="AT201" s="259">
        <f t="shared" si="126"/>
        <v>36572072</v>
      </c>
      <c r="AU201" s="259">
        <f t="shared" si="126"/>
        <v>36572072</v>
      </c>
      <c r="AV201" s="259">
        <f t="shared" si="126"/>
        <v>36572072</v>
      </c>
      <c r="AW201" s="259">
        <f t="shared" si="126"/>
        <v>36572072</v>
      </c>
      <c r="AX201" s="259">
        <f t="shared" si="126"/>
        <v>36572072</v>
      </c>
      <c r="AY201" s="259">
        <f t="shared" si="126"/>
        <v>36572072</v>
      </c>
      <c r="AZ201" s="259">
        <f t="shared" si="126"/>
        <v>36572072</v>
      </c>
      <c r="BA201" s="259">
        <f t="shared" si="126"/>
        <v>36572072</v>
      </c>
      <c r="BB201" s="259">
        <f t="shared" si="126"/>
        <v>36572072</v>
      </c>
      <c r="BC201" s="259">
        <f t="shared" si="126"/>
        <v>36572072</v>
      </c>
      <c r="BD201" s="259">
        <f t="shared" si="126"/>
        <v>36572072</v>
      </c>
      <c r="BE201" s="259">
        <f t="shared" si="126"/>
        <v>36572072</v>
      </c>
      <c r="BF201" s="259">
        <f t="shared" si="126"/>
        <v>36572072</v>
      </c>
      <c r="BG201" s="259">
        <f t="shared" si="126"/>
        <v>36572072</v>
      </c>
      <c r="BH201" s="259">
        <f t="shared" si="126"/>
        <v>36572072</v>
      </c>
      <c r="BI201" s="259">
        <f t="shared" si="126"/>
        <v>36572072</v>
      </c>
      <c r="BJ201" s="259">
        <f t="shared" si="126"/>
        <v>36572072</v>
      </c>
      <c r="BK201" s="259">
        <f t="shared" si="126"/>
        <v>36572072</v>
      </c>
      <c r="BL201" s="259">
        <f t="shared" si="126"/>
        <v>36572072</v>
      </c>
      <c r="BM201" s="259">
        <f t="shared" si="126"/>
        <v>36572072</v>
      </c>
      <c r="BN201" s="259">
        <f t="shared" si="126"/>
        <v>36572072</v>
      </c>
      <c r="BO201" s="259">
        <f t="shared" si="126"/>
        <v>36572072</v>
      </c>
    </row>
    <row r="202" spans="1:67">
      <c r="A202" s="256"/>
      <c r="B202" s="151" t="s">
        <v>1782</v>
      </c>
      <c r="C202" s="223">
        <v>200</v>
      </c>
      <c r="D202" s="259">
        <v>28244000</v>
      </c>
      <c r="E202" s="259">
        <f t="shared" si="119"/>
        <v>28244000</v>
      </c>
      <c r="F202" s="259">
        <f t="shared" si="126"/>
        <v>28244000</v>
      </c>
      <c r="G202" s="259">
        <f t="shared" si="126"/>
        <v>28244000</v>
      </c>
      <c r="H202" s="259">
        <f t="shared" si="126"/>
        <v>28244000</v>
      </c>
      <c r="I202" s="259">
        <f t="shared" si="126"/>
        <v>28244000</v>
      </c>
      <c r="J202" s="259">
        <f t="shared" si="126"/>
        <v>28244000</v>
      </c>
      <c r="K202" s="259">
        <f t="shared" si="126"/>
        <v>28244000</v>
      </c>
      <c r="L202" s="259">
        <f t="shared" si="126"/>
        <v>28244000</v>
      </c>
      <c r="M202" s="259">
        <f t="shared" si="126"/>
        <v>28244000</v>
      </c>
      <c r="N202" s="259">
        <f t="shared" si="126"/>
        <v>28244000</v>
      </c>
      <c r="O202" s="259">
        <f t="shared" si="126"/>
        <v>28244000</v>
      </c>
      <c r="P202" s="259">
        <f t="shared" si="126"/>
        <v>28244000</v>
      </c>
      <c r="Q202" s="259">
        <f t="shared" si="126"/>
        <v>28244000</v>
      </c>
      <c r="R202" s="259">
        <f t="shared" si="126"/>
        <v>28244000</v>
      </c>
      <c r="S202" s="259">
        <f t="shared" si="126"/>
        <v>28244000</v>
      </c>
      <c r="T202" s="259">
        <f t="shared" si="126"/>
        <v>28244000</v>
      </c>
      <c r="U202" s="259">
        <f t="shared" si="126"/>
        <v>28244000</v>
      </c>
      <c r="V202" s="259">
        <f t="shared" si="126"/>
        <v>28244000</v>
      </c>
      <c r="W202" s="259">
        <f t="shared" si="126"/>
        <v>28244000</v>
      </c>
      <c r="X202" s="259">
        <f t="shared" si="126"/>
        <v>28244000</v>
      </c>
      <c r="Y202" s="259">
        <f t="shared" si="126"/>
        <v>28244000</v>
      </c>
      <c r="Z202" s="259">
        <f t="shared" si="126"/>
        <v>28244000</v>
      </c>
      <c r="AA202" s="259">
        <f t="shared" si="126"/>
        <v>28244000</v>
      </c>
      <c r="AB202" s="259">
        <f t="shared" si="126"/>
        <v>28244000</v>
      </c>
      <c r="AC202" s="259">
        <f t="shared" si="126"/>
        <v>28244000</v>
      </c>
      <c r="AD202" s="259">
        <f t="shared" si="126"/>
        <v>28244000</v>
      </c>
      <c r="AE202" s="259">
        <f t="shared" si="126"/>
        <v>28244000</v>
      </c>
      <c r="AF202" s="259">
        <f t="shared" si="126"/>
        <v>28244000</v>
      </c>
      <c r="AG202" s="259">
        <f t="shared" si="126"/>
        <v>28244000</v>
      </c>
      <c r="AH202" s="259">
        <f t="shared" si="126"/>
        <v>28244000</v>
      </c>
      <c r="AI202" s="259">
        <f t="shared" si="126"/>
        <v>28244000</v>
      </c>
      <c r="AJ202" s="259">
        <f t="shared" si="126"/>
        <v>28244000</v>
      </c>
      <c r="AK202" s="259">
        <f t="shared" si="126"/>
        <v>28244000</v>
      </c>
      <c r="AL202" s="259">
        <f t="shared" si="126"/>
        <v>28244000</v>
      </c>
      <c r="AM202" s="259">
        <f t="shared" si="126"/>
        <v>28244000</v>
      </c>
      <c r="AN202" s="259">
        <f t="shared" si="126"/>
        <v>28244000</v>
      </c>
      <c r="AO202" s="259">
        <f t="shared" si="126"/>
        <v>28244000</v>
      </c>
      <c r="AP202" s="259">
        <f t="shared" si="126"/>
        <v>28244000</v>
      </c>
      <c r="AQ202" s="259">
        <f t="shared" si="126"/>
        <v>28244000</v>
      </c>
      <c r="AR202" s="259">
        <f t="shared" si="126"/>
        <v>28244000</v>
      </c>
      <c r="AS202" s="259">
        <f t="shared" si="126"/>
        <v>28244000</v>
      </c>
      <c r="AT202" s="259">
        <f t="shared" si="126"/>
        <v>28244000</v>
      </c>
      <c r="AU202" s="259">
        <f t="shared" si="126"/>
        <v>28244000</v>
      </c>
      <c r="AV202" s="259">
        <f t="shared" si="126"/>
        <v>28244000</v>
      </c>
      <c r="AW202" s="259">
        <f t="shared" si="126"/>
        <v>28244000</v>
      </c>
      <c r="AX202" s="259">
        <f t="shared" si="126"/>
        <v>28244000</v>
      </c>
      <c r="AY202" s="259">
        <f t="shared" si="126"/>
        <v>28244000</v>
      </c>
      <c r="AZ202" s="259">
        <f t="shared" si="126"/>
        <v>28244000</v>
      </c>
      <c r="BA202" s="259">
        <f t="shared" si="126"/>
        <v>28244000</v>
      </c>
      <c r="BB202" s="259">
        <f t="shared" si="126"/>
        <v>28244000</v>
      </c>
      <c r="BC202" s="259">
        <f t="shared" si="126"/>
        <v>28244000</v>
      </c>
      <c r="BD202" s="259">
        <f t="shared" si="126"/>
        <v>28244000</v>
      </c>
      <c r="BE202" s="259">
        <f t="shared" si="126"/>
        <v>28244000</v>
      </c>
      <c r="BF202" s="259">
        <f t="shared" si="126"/>
        <v>28244000</v>
      </c>
      <c r="BG202" s="259">
        <f t="shared" si="126"/>
        <v>28244000</v>
      </c>
      <c r="BH202" s="259">
        <f t="shared" si="126"/>
        <v>28244000</v>
      </c>
      <c r="BI202" s="259">
        <f t="shared" si="126"/>
        <v>28244000</v>
      </c>
      <c r="BJ202" s="259">
        <f t="shared" si="126"/>
        <v>28244000</v>
      </c>
      <c r="BK202" s="259">
        <f t="shared" si="126"/>
        <v>28244000</v>
      </c>
      <c r="BL202" s="259">
        <f t="shared" si="126"/>
        <v>28244000</v>
      </c>
      <c r="BM202" s="259">
        <f t="shared" si="126"/>
        <v>28244000</v>
      </c>
      <c r="BN202" s="259">
        <f t="shared" si="126"/>
        <v>28244000</v>
      </c>
      <c r="BO202" s="259">
        <f t="shared" si="126"/>
        <v>28244000</v>
      </c>
    </row>
    <row r="203" spans="1:67">
      <c r="A203" s="229" t="s">
        <v>225</v>
      </c>
      <c r="B203" s="230" t="s">
        <v>277</v>
      </c>
      <c r="C203" s="223">
        <v>201</v>
      </c>
      <c r="D203" s="248"/>
      <c r="E203" s="225"/>
      <c r="F203" s="225"/>
      <c r="G203" s="225"/>
      <c r="H203" s="225"/>
      <c r="I203" s="225"/>
      <c r="J203" s="225"/>
      <c r="K203" s="237"/>
      <c r="L203" s="237">
        <f t="shared" ref="L203:S211" si="127">K203</f>
        <v>0</v>
      </c>
      <c r="M203" s="237">
        <f t="shared" si="127"/>
        <v>0</v>
      </c>
      <c r="N203" s="237">
        <f t="shared" si="127"/>
        <v>0</v>
      </c>
      <c r="O203" s="237">
        <f t="shared" si="127"/>
        <v>0</v>
      </c>
      <c r="P203" s="237">
        <f t="shared" si="127"/>
        <v>0</v>
      </c>
      <c r="Q203" s="237">
        <f t="shared" si="127"/>
        <v>0</v>
      </c>
      <c r="R203" s="237">
        <f t="shared" si="127"/>
        <v>0</v>
      </c>
      <c r="S203" s="237">
        <f t="shared" si="127"/>
        <v>0</v>
      </c>
      <c r="T203" s="224"/>
      <c r="U203" s="224">
        <f t="shared" ref="U203:W208" si="128">T203</f>
        <v>0</v>
      </c>
      <c r="V203" s="224">
        <f t="shared" si="128"/>
        <v>0</v>
      </c>
      <c r="W203" s="224">
        <f t="shared" si="128"/>
        <v>0</v>
      </c>
      <c r="X203" s="226"/>
      <c r="Y203" s="226">
        <f t="shared" si="113"/>
        <v>0</v>
      </c>
      <c r="Z203" s="226">
        <f t="shared" si="113"/>
        <v>0</v>
      </c>
      <c r="AA203" s="248"/>
      <c r="AB203" s="248"/>
      <c r="AC203" s="248"/>
      <c r="AD203" s="224">
        <f t="shared" si="102"/>
        <v>0</v>
      </c>
      <c r="AE203" s="248"/>
      <c r="AF203" s="248"/>
      <c r="AG203" s="224">
        <f t="shared" si="103"/>
        <v>0</v>
      </c>
      <c r="AH203" s="226"/>
      <c r="AI203" s="226">
        <f t="shared" ref="AI203:AM207" si="129">AH203</f>
        <v>0</v>
      </c>
      <c r="AJ203" s="226">
        <f t="shared" si="129"/>
        <v>0</v>
      </c>
      <c r="AK203" s="226">
        <f t="shared" si="129"/>
        <v>0</v>
      </c>
      <c r="AL203" s="226">
        <f t="shared" si="129"/>
        <v>0</v>
      </c>
      <c r="AM203" s="226">
        <f t="shared" si="129"/>
        <v>0</v>
      </c>
      <c r="AN203" s="235"/>
      <c r="AO203" s="235">
        <f t="shared" si="118"/>
        <v>0</v>
      </c>
      <c r="AP203" s="235">
        <f t="shared" si="118"/>
        <v>0</v>
      </c>
      <c r="AQ203" s="236">
        <f t="shared" si="118"/>
        <v>0</v>
      </c>
      <c r="AR203" s="236">
        <f t="shared" si="118"/>
        <v>0</v>
      </c>
      <c r="AS203" s="236">
        <f t="shared" si="118"/>
        <v>0</v>
      </c>
      <c r="AT203" s="236">
        <f t="shared" si="118"/>
        <v>0</v>
      </c>
      <c r="AU203" s="236">
        <f t="shared" si="118"/>
        <v>0</v>
      </c>
      <c r="AV203" s="236">
        <f t="shared" si="118"/>
        <v>0</v>
      </c>
      <c r="AW203" s="226"/>
      <c r="AX203" s="226">
        <f t="shared" ref="AX203:BB207" si="130">AW203</f>
        <v>0</v>
      </c>
      <c r="AY203" s="226">
        <f t="shared" si="130"/>
        <v>0</v>
      </c>
      <c r="AZ203" s="226">
        <f t="shared" si="130"/>
        <v>0</v>
      </c>
      <c r="BA203" s="226">
        <f t="shared" si="130"/>
        <v>0</v>
      </c>
      <c r="BB203" s="226">
        <f t="shared" si="130"/>
        <v>0</v>
      </c>
      <c r="BC203" s="248"/>
      <c r="BD203" s="224">
        <f t="shared" si="116"/>
        <v>0</v>
      </c>
      <c r="BE203" s="224">
        <f t="shared" si="116"/>
        <v>0</v>
      </c>
      <c r="BF203" s="224">
        <f t="shared" si="116"/>
        <v>0</v>
      </c>
      <c r="BG203" s="224">
        <f t="shared" si="116"/>
        <v>0</v>
      </c>
      <c r="BH203" s="224">
        <f t="shared" si="116"/>
        <v>0</v>
      </c>
      <c r="BI203" s="224">
        <f t="shared" si="116"/>
        <v>0</v>
      </c>
      <c r="BJ203" s="224">
        <f t="shared" si="116"/>
        <v>0</v>
      </c>
      <c r="BK203" s="224">
        <f t="shared" si="116"/>
        <v>0</v>
      </c>
      <c r="BL203" s="224">
        <f t="shared" si="116"/>
        <v>0</v>
      </c>
      <c r="BM203" s="224">
        <f t="shared" si="116"/>
        <v>0</v>
      </c>
      <c r="BN203" s="224">
        <f t="shared" si="116"/>
        <v>0</v>
      </c>
      <c r="BO203" s="224">
        <f t="shared" si="116"/>
        <v>0</v>
      </c>
    </row>
    <row r="204" spans="1:67">
      <c r="A204" s="223">
        <v>1</v>
      </c>
      <c r="B204" s="151" t="s">
        <v>311</v>
      </c>
      <c r="C204" s="223">
        <v>202</v>
      </c>
      <c r="D204" s="248">
        <v>4020851.0025400007</v>
      </c>
      <c r="E204" s="225">
        <f t="shared" ref="E204:J206" si="131">D204</f>
        <v>4020851.0025400007</v>
      </c>
      <c r="F204" s="225">
        <f t="shared" si="131"/>
        <v>4020851.0025400007</v>
      </c>
      <c r="G204" s="225">
        <f t="shared" si="131"/>
        <v>4020851.0025400007</v>
      </c>
      <c r="H204" s="225">
        <f t="shared" si="131"/>
        <v>4020851.0025400007</v>
      </c>
      <c r="I204" s="225">
        <f t="shared" si="131"/>
        <v>4020851.0025400007</v>
      </c>
      <c r="J204" s="225">
        <f t="shared" si="131"/>
        <v>4020851.0025400007</v>
      </c>
      <c r="K204" s="237">
        <v>4020851.0025400007</v>
      </c>
      <c r="L204" s="237">
        <f t="shared" si="127"/>
        <v>4020851.0025400007</v>
      </c>
      <c r="M204" s="237">
        <f t="shared" si="127"/>
        <v>4020851.0025400007</v>
      </c>
      <c r="N204" s="237">
        <f t="shared" si="127"/>
        <v>4020851.0025400007</v>
      </c>
      <c r="O204" s="237">
        <f t="shared" si="127"/>
        <v>4020851.0025400007</v>
      </c>
      <c r="P204" s="237">
        <f t="shared" si="127"/>
        <v>4020851.0025400007</v>
      </c>
      <c r="Q204" s="237">
        <f t="shared" si="127"/>
        <v>4020851.0025400007</v>
      </c>
      <c r="R204" s="237">
        <f t="shared" si="127"/>
        <v>4020851.0025400007</v>
      </c>
      <c r="S204" s="237">
        <f t="shared" si="127"/>
        <v>4020851.0025400007</v>
      </c>
      <c r="T204" s="248">
        <v>4020851.0025400007</v>
      </c>
      <c r="U204" s="224">
        <f t="shared" si="128"/>
        <v>4020851.0025400007</v>
      </c>
      <c r="V204" s="224">
        <f t="shared" si="128"/>
        <v>4020851.0025400007</v>
      </c>
      <c r="W204" s="224">
        <f t="shared" si="128"/>
        <v>4020851.0025400007</v>
      </c>
      <c r="X204" s="226">
        <v>4020851.0025400007</v>
      </c>
      <c r="Y204" s="226">
        <f t="shared" si="113"/>
        <v>4020851.0025400007</v>
      </c>
      <c r="Z204" s="226">
        <f t="shared" si="113"/>
        <v>4020851.0025400007</v>
      </c>
      <c r="AA204" s="248">
        <v>4020851.0025400007</v>
      </c>
      <c r="AB204" s="248">
        <v>4020851.0025400007</v>
      </c>
      <c r="AC204" s="248">
        <v>4020851.0025400007</v>
      </c>
      <c r="AD204" s="224">
        <f t="shared" si="102"/>
        <v>4020851.0025400007</v>
      </c>
      <c r="AE204" s="248">
        <v>4020851.0025400007</v>
      </c>
      <c r="AF204" s="248">
        <v>4020851.0025400007</v>
      </c>
      <c r="AG204" s="224">
        <f t="shared" si="103"/>
        <v>4020851.0025400007</v>
      </c>
      <c r="AH204" s="226">
        <v>4043339.8509630789</v>
      </c>
      <c r="AI204" s="226">
        <f t="shared" si="129"/>
        <v>4043339.8509630789</v>
      </c>
      <c r="AJ204" s="226">
        <f t="shared" si="129"/>
        <v>4043339.8509630789</v>
      </c>
      <c r="AK204" s="226">
        <f t="shared" si="129"/>
        <v>4043339.8509630789</v>
      </c>
      <c r="AL204" s="226">
        <f t="shared" si="129"/>
        <v>4043339.8509630789</v>
      </c>
      <c r="AM204" s="226">
        <f t="shared" si="129"/>
        <v>4043339.8509630789</v>
      </c>
      <c r="AN204" s="235">
        <v>4043339.8509630789</v>
      </c>
      <c r="AO204" s="235">
        <f t="shared" si="118"/>
        <v>4043339.8509630789</v>
      </c>
      <c r="AP204" s="235">
        <f t="shared" si="118"/>
        <v>4043339.8509630789</v>
      </c>
      <c r="AQ204" s="236">
        <f t="shared" si="118"/>
        <v>4043339.8509630789</v>
      </c>
      <c r="AR204" s="236">
        <f t="shared" si="118"/>
        <v>4043339.8509630789</v>
      </c>
      <c r="AS204" s="236">
        <f t="shared" si="118"/>
        <v>4043339.8509630789</v>
      </c>
      <c r="AT204" s="236">
        <f t="shared" si="118"/>
        <v>4043339.8509630789</v>
      </c>
      <c r="AU204" s="236">
        <f t="shared" si="118"/>
        <v>4043339.8509630789</v>
      </c>
      <c r="AV204" s="236">
        <f t="shared" si="118"/>
        <v>4043339.8509630789</v>
      </c>
      <c r="AW204" s="226">
        <v>4030156.732921964</v>
      </c>
      <c r="AX204" s="226">
        <f t="shared" si="130"/>
        <v>4030156.732921964</v>
      </c>
      <c r="AY204" s="226">
        <f t="shared" si="130"/>
        <v>4030156.732921964</v>
      </c>
      <c r="AZ204" s="226">
        <f t="shared" si="130"/>
        <v>4030156.732921964</v>
      </c>
      <c r="BA204" s="226">
        <f t="shared" si="130"/>
        <v>4030156.732921964</v>
      </c>
      <c r="BB204" s="226">
        <f t="shared" si="130"/>
        <v>4030156.732921964</v>
      </c>
      <c r="BC204" s="248">
        <v>4020851.0025400007</v>
      </c>
      <c r="BD204" s="224">
        <f t="shared" si="116"/>
        <v>4020851.0025400007</v>
      </c>
      <c r="BE204" s="224">
        <f t="shared" si="116"/>
        <v>4020851.0025400007</v>
      </c>
      <c r="BF204" s="224">
        <f t="shared" si="116"/>
        <v>4020851.0025400007</v>
      </c>
      <c r="BG204" s="224">
        <f t="shared" si="116"/>
        <v>4020851.0025400007</v>
      </c>
      <c r="BH204" s="224">
        <f t="shared" si="116"/>
        <v>4020851.0025400007</v>
      </c>
      <c r="BI204" s="224">
        <f t="shared" si="116"/>
        <v>4020851.0025400007</v>
      </c>
      <c r="BJ204" s="224">
        <f t="shared" si="116"/>
        <v>4020851.0025400007</v>
      </c>
      <c r="BK204" s="224">
        <f t="shared" si="116"/>
        <v>4020851.0025400007</v>
      </c>
      <c r="BL204" s="224">
        <f t="shared" si="116"/>
        <v>4020851.0025400007</v>
      </c>
      <c r="BM204" s="224">
        <f t="shared" si="116"/>
        <v>4020851.0025400007</v>
      </c>
      <c r="BN204" s="224">
        <f t="shared" si="116"/>
        <v>4020851.0025400007</v>
      </c>
      <c r="BO204" s="224">
        <f t="shared" si="116"/>
        <v>4020851.0025400007</v>
      </c>
    </row>
    <row r="205" spans="1:67">
      <c r="A205" s="223">
        <v>2</v>
      </c>
      <c r="B205" s="151" t="s">
        <v>312</v>
      </c>
      <c r="C205" s="223">
        <v>203</v>
      </c>
      <c r="D205" s="248">
        <v>5022437.8253898481</v>
      </c>
      <c r="E205" s="225">
        <f t="shared" si="131"/>
        <v>5022437.8253898481</v>
      </c>
      <c r="F205" s="225">
        <f t="shared" si="131"/>
        <v>5022437.8253898481</v>
      </c>
      <c r="G205" s="225">
        <f t="shared" si="131"/>
        <v>5022437.8253898481</v>
      </c>
      <c r="H205" s="225">
        <f t="shared" si="131"/>
        <v>5022437.8253898481</v>
      </c>
      <c r="I205" s="225">
        <f t="shared" si="131"/>
        <v>5022437.8253898481</v>
      </c>
      <c r="J205" s="225">
        <f t="shared" si="131"/>
        <v>5022437.8253898481</v>
      </c>
      <c r="K205" s="237">
        <v>5022437.8253898481</v>
      </c>
      <c r="L205" s="237">
        <f t="shared" si="127"/>
        <v>5022437.8253898481</v>
      </c>
      <c r="M205" s="237">
        <f t="shared" si="127"/>
        <v>5022437.8253898481</v>
      </c>
      <c r="N205" s="237">
        <f t="shared" si="127"/>
        <v>5022437.8253898481</v>
      </c>
      <c r="O205" s="237">
        <f t="shared" si="127"/>
        <v>5022437.8253898481</v>
      </c>
      <c r="P205" s="237">
        <f t="shared" si="127"/>
        <v>5022437.8253898481</v>
      </c>
      <c r="Q205" s="237">
        <f t="shared" si="127"/>
        <v>5022437.8253898481</v>
      </c>
      <c r="R205" s="237">
        <f t="shared" si="127"/>
        <v>5022437.8253898481</v>
      </c>
      <c r="S205" s="237">
        <f t="shared" si="127"/>
        <v>5022437.8253898481</v>
      </c>
      <c r="T205" s="248">
        <v>5022437.8253898481</v>
      </c>
      <c r="U205" s="224">
        <f t="shared" si="128"/>
        <v>5022437.8253898481</v>
      </c>
      <c r="V205" s="224">
        <f t="shared" si="128"/>
        <v>5022437.8253898481</v>
      </c>
      <c r="W205" s="224">
        <f t="shared" si="128"/>
        <v>5022437.8253898481</v>
      </c>
      <c r="X205" s="226">
        <v>5022437.8253898481</v>
      </c>
      <c r="Y205" s="226">
        <f t="shared" si="113"/>
        <v>5022437.8253898481</v>
      </c>
      <c r="Z205" s="226">
        <f t="shared" si="113"/>
        <v>5022437.8253898481</v>
      </c>
      <c r="AA205" s="248">
        <v>5022437.8253898481</v>
      </c>
      <c r="AB205" s="248">
        <v>5022437.8253898481</v>
      </c>
      <c r="AC205" s="248">
        <v>5022437.8253898481</v>
      </c>
      <c r="AD205" s="224">
        <f t="shared" si="102"/>
        <v>5022437.8253898481</v>
      </c>
      <c r="AE205" s="248">
        <v>5022437.8253898481</v>
      </c>
      <c r="AF205" s="248">
        <v>5022437.8253898481</v>
      </c>
      <c r="AG205" s="224">
        <f t="shared" si="103"/>
        <v>5022437.8253898481</v>
      </c>
      <c r="AH205" s="226">
        <v>5050528.6058982974</v>
      </c>
      <c r="AI205" s="226">
        <f t="shared" si="129"/>
        <v>5050528.6058982974</v>
      </c>
      <c r="AJ205" s="226">
        <f t="shared" si="129"/>
        <v>5050528.6058982974</v>
      </c>
      <c r="AK205" s="226">
        <f t="shared" si="129"/>
        <v>5050528.6058982974</v>
      </c>
      <c r="AL205" s="226">
        <f t="shared" si="129"/>
        <v>5050528.6058982974</v>
      </c>
      <c r="AM205" s="226">
        <f t="shared" si="129"/>
        <v>5050528.6058982974</v>
      </c>
      <c r="AN205" s="235">
        <v>5050528.6058982974</v>
      </c>
      <c r="AO205" s="235">
        <f t="shared" si="118"/>
        <v>5050528.6058982974</v>
      </c>
      <c r="AP205" s="235">
        <f t="shared" si="118"/>
        <v>5050528.6058982974</v>
      </c>
      <c r="AQ205" s="236">
        <f t="shared" si="118"/>
        <v>5050528.6058982974</v>
      </c>
      <c r="AR205" s="236">
        <f t="shared" si="118"/>
        <v>5050528.6058982974</v>
      </c>
      <c r="AS205" s="236">
        <f t="shared" si="118"/>
        <v>5050528.6058982974</v>
      </c>
      <c r="AT205" s="236">
        <f t="shared" si="118"/>
        <v>5050528.6058982974</v>
      </c>
      <c r="AU205" s="236">
        <f t="shared" si="118"/>
        <v>5050528.6058982974</v>
      </c>
      <c r="AV205" s="236">
        <f t="shared" si="118"/>
        <v>5050528.6058982974</v>
      </c>
      <c r="AW205" s="226">
        <v>5034061.5966347242</v>
      </c>
      <c r="AX205" s="226">
        <f t="shared" si="130"/>
        <v>5034061.5966347242</v>
      </c>
      <c r="AY205" s="226">
        <f t="shared" si="130"/>
        <v>5034061.5966347242</v>
      </c>
      <c r="AZ205" s="226">
        <f t="shared" si="130"/>
        <v>5034061.5966347242</v>
      </c>
      <c r="BA205" s="226">
        <f t="shared" si="130"/>
        <v>5034061.5966347242</v>
      </c>
      <c r="BB205" s="226">
        <f t="shared" si="130"/>
        <v>5034061.5966347242</v>
      </c>
      <c r="BC205" s="248">
        <v>5022437.8253898481</v>
      </c>
      <c r="BD205" s="224">
        <f t="shared" si="116"/>
        <v>5022437.8253898481</v>
      </c>
      <c r="BE205" s="224">
        <f t="shared" si="116"/>
        <v>5022437.8253898481</v>
      </c>
      <c r="BF205" s="224">
        <f t="shared" si="116"/>
        <v>5022437.8253898481</v>
      </c>
      <c r="BG205" s="224">
        <f t="shared" si="116"/>
        <v>5022437.8253898481</v>
      </c>
      <c r="BH205" s="224">
        <f t="shared" si="116"/>
        <v>5022437.8253898481</v>
      </c>
      <c r="BI205" s="224">
        <f t="shared" si="116"/>
        <v>5022437.8253898481</v>
      </c>
      <c r="BJ205" s="224">
        <f t="shared" si="116"/>
        <v>5022437.8253898481</v>
      </c>
      <c r="BK205" s="224">
        <f t="shared" si="116"/>
        <v>5022437.8253898481</v>
      </c>
      <c r="BL205" s="224">
        <f t="shared" si="116"/>
        <v>5022437.8253898481</v>
      </c>
      <c r="BM205" s="224">
        <f t="shared" si="116"/>
        <v>5022437.8253898481</v>
      </c>
      <c r="BN205" s="224">
        <f t="shared" si="116"/>
        <v>5022437.8253898481</v>
      </c>
      <c r="BO205" s="224">
        <f t="shared" si="116"/>
        <v>5022437.8253898481</v>
      </c>
    </row>
    <row r="206" spans="1:67">
      <c r="A206" s="223">
        <v>3</v>
      </c>
      <c r="B206" s="151" t="s">
        <v>303</v>
      </c>
      <c r="C206" s="223">
        <v>204</v>
      </c>
      <c r="D206" s="248">
        <v>995865.93864030833</v>
      </c>
      <c r="E206" s="225">
        <f t="shared" si="131"/>
        <v>995865.93864030833</v>
      </c>
      <c r="F206" s="225">
        <f t="shared" si="131"/>
        <v>995865.93864030833</v>
      </c>
      <c r="G206" s="225">
        <f t="shared" si="131"/>
        <v>995865.93864030833</v>
      </c>
      <c r="H206" s="225">
        <f t="shared" si="131"/>
        <v>995865.93864030833</v>
      </c>
      <c r="I206" s="225">
        <f t="shared" si="131"/>
        <v>995865.93864030833</v>
      </c>
      <c r="J206" s="225">
        <f t="shared" si="131"/>
        <v>995865.93864030833</v>
      </c>
      <c r="K206" s="237">
        <v>995865.93864030833</v>
      </c>
      <c r="L206" s="237">
        <f t="shared" si="127"/>
        <v>995865.93864030833</v>
      </c>
      <c r="M206" s="237">
        <f t="shared" si="127"/>
        <v>995865.93864030833</v>
      </c>
      <c r="N206" s="237">
        <f t="shared" si="127"/>
        <v>995865.93864030833</v>
      </c>
      <c r="O206" s="237">
        <f t="shared" si="127"/>
        <v>995865.93864030833</v>
      </c>
      <c r="P206" s="237">
        <f t="shared" si="127"/>
        <v>995865.93864030833</v>
      </c>
      <c r="Q206" s="237">
        <f t="shared" si="127"/>
        <v>995865.93864030833</v>
      </c>
      <c r="R206" s="237">
        <f t="shared" si="127"/>
        <v>995865.93864030833</v>
      </c>
      <c r="S206" s="237">
        <f t="shared" si="127"/>
        <v>995865.93864030833</v>
      </c>
      <c r="T206" s="248">
        <v>995865.93864030833</v>
      </c>
      <c r="U206" s="224">
        <f t="shared" si="128"/>
        <v>995865.93864030833</v>
      </c>
      <c r="V206" s="224">
        <f t="shared" si="128"/>
        <v>995865.93864030833</v>
      </c>
      <c r="W206" s="224">
        <f t="shared" si="128"/>
        <v>995865.93864030833</v>
      </c>
      <c r="X206" s="226">
        <v>995865.93864030833</v>
      </c>
      <c r="Y206" s="226">
        <f t="shared" si="113"/>
        <v>995865.93864030833</v>
      </c>
      <c r="Z206" s="226">
        <f t="shared" si="113"/>
        <v>995865.93864030833</v>
      </c>
      <c r="AA206" s="248">
        <v>995865.93864030833</v>
      </c>
      <c r="AB206" s="248">
        <v>995865.93864030833</v>
      </c>
      <c r="AC206" s="248">
        <v>995865.93864030833</v>
      </c>
      <c r="AD206" s="224">
        <f t="shared" si="102"/>
        <v>995865.93864030833</v>
      </c>
      <c r="AE206" s="248">
        <v>995865.93864030833</v>
      </c>
      <c r="AF206" s="248">
        <v>995865.93864030833</v>
      </c>
      <c r="AG206" s="224">
        <f t="shared" si="103"/>
        <v>995865.93864030833</v>
      </c>
      <c r="AH206" s="226">
        <v>1001435.8734948058</v>
      </c>
      <c r="AI206" s="226">
        <f t="shared" si="129"/>
        <v>1001435.8734948058</v>
      </c>
      <c r="AJ206" s="226">
        <f t="shared" si="129"/>
        <v>1001435.8734948058</v>
      </c>
      <c r="AK206" s="226">
        <f t="shared" si="129"/>
        <v>1001435.8734948058</v>
      </c>
      <c r="AL206" s="226">
        <f t="shared" si="129"/>
        <v>1001435.8734948058</v>
      </c>
      <c r="AM206" s="226">
        <f t="shared" si="129"/>
        <v>1001435.8734948058</v>
      </c>
      <c r="AN206" s="235">
        <v>1001435.8734948058</v>
      </c>
      <c r="AO206" s="235">
        <f t="shared" si="118"/>
        <v>1001435.8734948058</v>
      </c>
      <c r="AP206" s="235">
        <f t="shared" si="118"/>
        <v>1001435.8734948058</v>
      </c>
      <c r="AQ206" s="236">
        <f t="shared" si="118"/>
        <v>1001435.8734948058</v>
      </c>
      <c r="AR206" s="236">
        <f t="shared" si="118"/>
        <v>1001435.8734948058</v>
      </c>
      <c r="AS206" s="236">
        <f t="shared" si="118"/>
        <v>1001435.8734948058</v>
      </c>
      <c r="AT206" s="236">
        <f t="shared" si="118"/>
        <v>1001435.8734948058</v>
      </c>
      <c r="AU206" s="236">
        <f t="shared" si="118"/>
        <v>1001435.8734948058</v>
      </c>
      <c r="AV206" s="236">
        <f t="shared" si="118"/>
        <v>1001435.8734948058</v>
      </c>
      <c r="AW206" s="226">
        <v>998170.73926975543</v>
      </c>
      <c r="AX206" s="226">
        <f t="shared" si="130"/>
        <v>998170.73926975543</v>
      </c>
      <c r="AY206" s="226">
        <f t="shared" si="130"/>
        <v>998170.73926975543</v>
      </c>
      <c r="AZ206" s="226">
        <f t="shared" si="130"/>
        <v>998170.73926975543</v>
      </c>
      <c r="BA206" s="226">
        <f t="shared" si="130"/>
        <v>998170.73926975543</v>
      </c>
      <c r="BB206" s="226">
        <f t="shared" si="130"/>
        <v>998170.73926975543</v>
      </c>
      <c r="BC206" s="248">
        <v>995865.93864030833</v>
      </c>
      <c r="BD206" s="224">
        <f t="shared" si="116"/>
        <v>995865.93864030833</v>
      </c>
      <c r="BE206" s="224">
        <f t="shared" si="116"/>
        <v>995865.93864030833</v>
      </c>
      <c r="BF206" s="224">
        <f t="shared" si="116"/>
        <v>995865.93864030833</v>
      </c>
      <c r="BG206" s="224">
        <f t="shared" si="116"/>
        <v>995865.93864030833</v>
      </c>
      <c r="BH206" s="224">
        <f t="shared" si="116"/>
        <v>995865.93864030833</v>
      </c>
      <c r="BI206" s="224">
        <f t="shared" si="116"/>
        <v>995865.93864030833</v>
      </c>
      <c r="BJ206" s="224">
        <f t="shared" si="116"/>
        <v>995865.93864030833</v>
      </c>
      <c r="BK206" s="224">
        <f t="shared" si="116"/>
        <v>995865.93864030833</v>
      </c>
      <c r="BL206" s="224">
        <f t="shared" si="116"/>
        <v>995865.93864030833</v>
      </c>
      <c r="BM206" s="224">
        <f t="shared" si="116"/>
        <v>995865.93864030833</v>
      </c>
      <c r="BN206" s="224">
        <f t="shared" si="116"/>
        <v>995865.93864030833</v>
      </c>
      <c r="BO206" s="224">
        <f t="shared" si="116"/>
        <v>995865.93864030833</v>
      </c>
    </row>
    <row r="207" spans="1:67">
      <c r="A207" s="229" t="s">
        <v>278</v>
      </c>
      <c r="B207" s="230" t="s">
        <v>210</v>
      </c>
      <c r="C207" s="223">
        <v>205</v>
      </c>
      <c r="D207" s="248"/>
      <c r="E207" s="225"/>
      <c r="F207" s="225"/>
      <c r="G207" s="225"/>
      <c r="H207" s="225"/>
      <c r="I207" s="225"/>
      <c r="J207" s="225"/>
      <c r="K207" s="237"/>
      <c r="L207" s="237">
        <f t="shared" si="127"/>
        <v>0</v>
      </c>
      <c r="M207" s="237">
        <f t="shared" si="127"/>
        <v>0</v>
      </c>
      <c r="N207" s="237">
        <f t="shared" si="127"/>
        <v>0</v>
      </c>
      <c r="O207" s="237">
        <f t="shared" si="127"/>
        <v>0</v>
      </c>
      <c r="P207" s="237">
        <f t="shared" si="127"/>
        <v>0</v>
      </c>
      <c r="Q207" s="237">
        <f t="shared" si="127"/>
        <v>0</v>
      </c>
      <c r="R207" s="237">
        <f t="shared" si="127"/>
        <v>0</v>
      </c>
      <c r="S207" s="237">
        <f t="shared" si="127"/>
        <v>0</v>
      </c>
      <c r="T207" s="224"/>
      <c r="U207" s="224">
        <f t="shared" si="128"/>
        <v>0</v>
      </c>
      <c r="V207" s="224">
        <f t="shared" si="128"/>
        <v>0</v>
      </c>
      <c r="W207" s="224">
        <f t="shared" si="128"/>
        <v>0</v>
      </c>
      <c r="X207" s="226"/>
      <c r="Y207" s="226">
        <f t="shared" si="113"/>
        <v>0</v>
      </c>
      <c r="Z207" s="226">
        <f t="shared" si="113"/>
        <v>0</v>
      </c>
      <c r="AA207" s="248"/>
      <c r="AB207" s="248"/>
      <c r="AC207" s="248"/>
      <c r="AD207" s="224">
        <f t="shared" si="102"/>
        <v>0</v>
      </c>
      <c r="AE207" s="248"/>
      <c r="AF207" s="248"/>
      <c r="AG207" s="224">
        <f t="shared" si="103"/>
        <v>0</v>
      </c>
      <c r="AH207" s="226"/>
      <c r="AI207" s="226">
        <f t="shared" si="129"/>
        <v>0</v>
      </c>
      <c r="AJ207" s="226">
        <f t="shared" si="129"/>
        <v>0</v>
      </c>
      <c r="AK207" s="226">
        <f t="shared" si="129"/>
        <v>0</v>
      </c>
      <c r="AL207" s="226">
        <f t="shared" si="129"/>
        <v>0</v>
      </c>
      <c r="AM207" s="226">
        <f t="shared" si="129"/>
        <v>0</v>
      </c>
      <c r="AN207" s="235"/>
      <c r="AO207" s="235">
        <f t="shared" si="118"/>
        <v>0</v>
      </c>
      <c r="AP207" s="235">
        <f t="shared" si="118"/>
        <v>0</v>
      </c>
      <c r="AQ207" s="236">
        <f t="shared" si="118"/>
        <v>0</v>
      </c>
      <c r="AR207" s="236">
        <f t="shared" si="118"/>
        <v>0</v>
      </c>
      <c r="AS207" s="236">
        <f t="shared" si="118"/>
        <v>0</v>
      </c>
      <c r="AT207" s="236">
        <f t="shared" si="118"/>
        <v>0</v>
      </c>
      <c r="AU207" s="236">
        <f t="shared" si="118"/>
        <v>0</v>
      </c>
      <c r="AV207" s="236">
        <f t="shared" si="118"/>
        <v>0</v>
      </c>
      <c r="AW207" s="226"/>
      <c r="AX207" s="226">
        <f t="shared" si="130"/>
        <v>0</v>
      </c>
      <c r="AY207" s="226">
        <f t="shared" si="130"/>
        <v>0</v>
      </c>
      <c r="AZ207" s="226">
        <f t="shared" si="130"/>
        <v>0</v>
      </c>
      <c r="BA207" s="226">
        <f t="shared" si="130"/>
        <v>0</v>
      </c>
      <c r="BB207" s="226">
        <f t="shared" si="130"/>
        <v>0</v>
      </c>
      <c r="BC207" s="248"/>
      <c r="BD207" s="224">
        <f t="shared" si="116"/>
        <v>0</v>
      </c>
      <c r="BE207" s="224">
        <f t="shared" si="116"/>
        <v>0</v>
      </c>
      <c r="BF207" s="224">
        <f t="shared" si="116"/>
        <v>0</v>
      </c>
      <c r="BG207" s="224">
        <f t="shared" si="116"/>
        <v>0</v>
      </c>
      <c r="BH207" s="224">
        <f t="shared" si="116"/>
        <v>0</v>
      </c>
      <c r="BI207" s="224">
        <f t="shared" si="116"/>
        <v>0</v>
      </c>
      <c r="BJ207" s="224">
        <f t="shared" si="116"/>
        <v>0</v>
      </c>
      <c r="BK207" s="224">
        <f t="shared" si="116"/>
        <v>0</v>
      </c>
      <c r="BL207" s="224">
        <f t="shared" si="116"/>
        <v>0</v>
      </c>
      <c r="BM207" s="224">
        <f t="shared" si="116"/>
        <v>0</v>
      </c>
      <c r="BN207" s="224">
        <f t="shared" si="116"/>
        <v>0</v>
      </c>
      <c r="BO207" s="224">
        <f t="shared" si="116"/>
        <v>0</v>
      </c>
    </row>
    <row r="208" spans="1:67" ht="41.25" customHeight="1">
      <c r="A208" s="223">
        <v>1</v>
      </c>
      <c r="B208" s="245" t="s">
        <v>215</v>
      </c>
      <c r="C208" s="223">
        <v>206</v>
      </c>
      <c r="D208" s="248">
        <v>2129342.2034322266</v>
      </c>
      <c r="E208" s="225">
        <f t="shared" ref="E208:J211" si="132">D208</f>
        <v>2129342.2034322266</v>
      </c>
      <c r="F208" s="225">
        <f t="shared" si="132"/>
        <v>2129342.2034322266</v>
      </c>
      <c r="G208" s="225">
        <f t="shared" si="132"/>
        <v>2129342.2034322266</v>
      </c>
      <c r="H208" s="225">
        <f t="shared" si="132"/>
        <v>2129342.2034322266</v>
      </c>
      <c r="I208" s="225">
        <f t="shared" si="132"/>
        <v>2129342.2034322266</v>
      </c>
      <c r="J208" s="225">
        <f t="shared" si="132"/>
        <v>2129342.2034322266</v>
      </c>
      <c r="K208" s="237">
        <f>J208</f>
        <v>2129342.2034322266</v>
      </c>
      <c r="L208" s="237">
        <f t="shared" si="127"/>
        <v>2129342.2034322266</v>
      </c>
      <c r="M208" s="237">
        <f t="shared" si="127"/>
        <v>2129342.2034322266</v>
      </c>
      <c r="N208" s="237">
        <f t="shared" si="127"/>
        <v>2129342.2034322266</v>
      </c>
      <c r="O208" s="237">
        <f t="shared" si="127"/>
        <v>2129342.2034322266</v>
      </c>
      <c r="P208" s="237">
        <f t="shared" si="127"/>
        <v>2129342.2034322266</v>
      </c>
      <c r="Q208" s="237">
        <f t="shared" si="127"/>
        <v>2129342.2034322266</v>
      </c>
      <c r="R208" s="237">
        <f t="shared" si="127"/>
        <v>2129342.2034322266</v>
      </c>
      <c r="S208" s="237">
        <f t="shared" si="127"/>
        <v>2129342.2034322266</v>
      </c>
      <c r="T208" s="248">
        <v>2129342.2034322266</v>
      </c>
      <c r="U208" s="224">
        <f t="shared" si="128"/>
        <v>2129342.2034322266</v>
      </c>
      <c r="V208" s="224">
        <f t="shared" si="128"/>
        <v>2129342.2034322266</v>
      </c>
      <c r="W208" s="224">
        <f t="shared" si="128"/>
        <v>2129342.2034322266</v>
      </c>
      <c r="X208" s="226">
        <v>2129342.2034322266</v>
      </c>
      <c r="Y208" s="226">
        <f t="shared" ref="Y208:Z211" si="133">X208</f>
        <v>2129342.2034322266</v>
      </c>
      <c r="Z208" s="226">
        <f t="shared" si="133"/>
        <v>2129342.2034322266</v>
      </c>
      <c r="AA208" s="248">
        <v>2129342.2034322266</v>
      </c>
      <c r="AB208" s="248">
        <v>2129342.2034322266</v>
      </c>
      <c r="AC208" s="248">
        <v>2129342.2034322266</v>
      </c>
      <c r="AD208" s="224">
        <f t="shared" si="102"/>
        <v>2129342.2034322266</v>
      </c>
      <c r="AE208" s="248">
        <v>2129342.2034322266</v>
      </c>
      <c r="AF208" s="248">
        <v>2129342.2034322266</v>
      </c>
      <c r="AG208" s="224">
        <f t="shared" si="103"/>
        <v>2129342.2034322266</v>
      </c>
      <c r="AH208" s="226">
        <v>2129342.2034322266</v>
      </c>
      <c r="AI208" s="226">
        <f t="shared" ref="AI208:AM211" si="134">AH208</f>
        <v>2129342.2034322266</v>
      </c>
      <c r="AJ208" s="226">
        <f t="shared" si="134"/>
        <v>2129342.2034322266</v>
      </c>
      <c r="AK208" s="226">
        <f t="shared" si="134"/>
        <v>2129342.2034322266</v>
      </c>
      <c r="AL208" s="226">
        <f t="shared" si="134"/>
        <v>2129342.2034322266</v>
      </c>
      <c r="AM208" s="226">
        <f t="shared" si="134"/>
        <v>2129342.2034322266</v>
      </c>
      <c r="AN208" s="235">
        <v>2129342.2034322266</v>
      </c>
      <c r="AO208" s="235">
        <f t="shared" si="118"/>
        <v>2129342.2034322266</v>
      </c>
      <c r="AP208" s="235">
        <f t="shared" si="118"/>
        <v>2129342.2034322266</v>
      </c>
      <c r="AQ208" s="236">
        <f t="shared" si="118"/>
        <v>2129342.2034322266</v>
      </c>
      <c r="AR208" s="236">
        <f t="shared" si="118"/>
        <v>2129342.2034322266</v>
      </c>
      <c r="AS208" s="236">
        <f t="shared" si="118"/>
        <v>2129342.2034322266</v>
      </c>
      <c r="AT208" s="236">
        <f t="shared" si="118"/>
        <v>2129342.2034322266</v>
      </c>
      <c r="AU208" s="236">
        <f t="shared" si="118"/>
        <v>2129342.2034322266</v>
      </c>
      <c r="AV208" s="236">
        <f t="shared" si="118"/>
        <v>2129342.2034322266</v>
      </c>
      <c r="AW208" s="247">
        <v>2129342.2034322266</v>
      </c>
      <c r="AX208" s="226">
        <f t="shared" ref="AX208:BB211" si="135">AW208</f>
        <v>2129342.2034322266</v>
      </c>
      <c r="AY208" s="226">
        <f t="shared" si="135"/>
        <v>2129342.2034322266</v>
      </c>
      <c r="AZ208" s="226">
        <f t="shared" si="135"/>
        <v>2129342.2034322266</v>
      </c>
      <c r="BA208" s="226">
        <f t="shared" si="135"/>
        <v>2129342.2034322266</v>
      </c>
      <c r="BB208" s="226">
        <f t="shared" si="135"/>
        <v>2129342.2034322266</v>
      </c>
      <c r="BC208" s="248">
        <v>2129342.2034322266</v>
      </c>
      <c r="BD208" s="224">
        <f t="shared" ref="BD208:BO211" si="136">BC208</f>
        <v>2129342.2034322266</v>
      </c>
      <c r="BE208" s="224">
        <f t="shared" si="136"/>
        <v>2129342.2034322266</v>
      </c>
      <c r="BF208" s="224">
        <f t="shared" si="136"/>
        <v>2129342.2034322266</v>
      </c>
      <c r="BG208" s="224">
        <f t="shared" si="136"/>
        <v>2129342.2034322266</v>
      </c>
      <c r="BH208" s="224">
        <f t="shared" si="136"/>
        <v>2129342.2034322266</v>
      </c>
      <c r="BI208" s="224">
        <f t="shared" si="136"/>
        <v>2129342.2034322266</v>
      </c>
      <c r="BJ208" s="224">
        <f t="shared" si="136"/>
        <v>2129342.2034322266</v>
      </c>
      <c r="BK208" s="224">
        <f t="shared" si="136"/>
        <v>2129342.2034322266</v>
      </c>
      <c r="BL208" s="224">
        <f t="shared" si="136"/>
        <v>2129342.2034322266</v>
      </c>
      <c r="BM208" s="224">
        <f t="shared" si="136"/>
        <v>2129342.2034322266</v>
      </c>
      <c r="BN208" s="224">
        <f t="shared" si="136"/>
        <v>2129342.2034322266</v>
      </c>
      <c r="BO208" s="224">
        <f t="shared" si="136"/>
        <v>2129342.2034322266</v>
      </c>
    </row>
    <row r="209" spans="1:67" ht="45">
      <c r="A209" s="223">
        <f>A208+1</f>
        <v>2</v>
      </c>
      <c r="B209" s="245" t="s">
        <v>217</v>
      </c>
      <c r="C209" s="223">
        <v>207</v>
      </c>
      <c r="D209" s="248">
        <v>1167357.2747262933</v>
      </c>
      <c r="E209" s="225">
        <f t="shared" si="132"/>
        <v>1167357.2747262933</v>
      </c>
      <c r="F209" s="225">
        <f t="shared" si="132"/>
        <v>1167357.2747262933</v>
      </c>
      <c r="G209" s="225">
        <f t="shared" si="132"/>
        <v>1167357.2747262933</v>
      </c>
      <c r="H209" s="225">
        <f t="shared" si="132"/>
        <v>1167357.2747262933</v>
      </c>
      <c r="I209" s="225">
        <f t="shared" si="132"/>
        <v>1167357.2747262933</v>
      </c>
      <c r="J209" s="225">
        <f t="shared" si="132"/>
        <v>1167357.2747262933</v>
      </c>
      <c r="K209" s="237">
        <f>J209</f>
        <v>1167357.2747262933</v>
      </c>
      <c r="L209" s="237">
        <f t="shared" si="127"/>
        <v>1167357.2747262933</v>
      </c>
      <c r="M209" s="237">
        <f t="shared" si="127"/>
        <v>1167357.2747262933</v>
      </c>
      <c r="N209" s="237">
        <f t="shared" si="127"/>
        <v>1167357.2747262933</v>
      </c>
      <c r="O209" s="237">
        <f t="shared" si="127"/>
        <v>1167357.2747262933</v>
      </c>
      <c r="P209" s="237">
        <f t="shared" si="127"/>
        <v>1167357.2747262933</v>
      </c>
      <c r="Q209" s="237">
        <f t="shared" si="127"/>
        <v>1167357.2747262933</v>
      </c>
      <c r="R209" s="237">
        <f t="shared" si="127"/>
        <v>1167357.2747262933</v>
      </c>
      <c r="S209" s="237">
        <f t="shared" si="127"/>
        <v>1167357.2747262933</v>
      </c>
      <c r="T209" s="248">
        <v>1167357.2747262933</v>
      </c>
      <c r="U209" s="224">
        <f t="shared" ref="U209:W213" si="137">T209</f>
        <v>1167357.2747262933</v>
      </c>
      <c r="V209" s="224">
        <f t="shared" si="137"/>
        <v>1167357.2747262933</v>
      </c>
      <c r="W209" s="224">
        <f t="shared" si="137"/>
        <v>1167357.2747262933</v>
      </c>
      <c r="X209" s="226">
        <v>1167357.2747262933</v>
      </c>
      <c r="Y209" s="226">
        <f t="shared" si="133"/>
        <v>1167357.2747262933</v>
      </c>
      <c r="Z209" s="226">
        <f t="shared" si="133"/>
        <v>1167357.2747262933</v>
      </c>
      <c r="AA209" s="248">
        <v>1167357.2747262933</v>
      </c>
      <c r="AB209" s="248">
        <v>1167357.2747262933</v>
      </c>
      <c r="AC209" s="248">
        <v>1167357.2747262933</v>
      </c>
      <c r="AD209" s="224">
        <f t="shared" si="102"/>
        <v>1167357.2747262933</v>
      </c>
      <c r="AE209" s="248">
        <v>1167357.2747262933</v>
      </c>
      <c r="AF209" s="248">
        <v>1167357.2747262933</v>
      </c>
      <c r="AG209" s="224">
        <f t="shared" si="103"/>
        <v>1167357.2747262933</v>
      </c>
      <c r="AH209" s="226">
        <v>1167357.2747262933</v>
      </c>
      <c r="AI209" s="226">
        <f t="shared" si="134"/>
        <v>1167357.2747262933</v>
      </c>
      <c r="AJ209" s="226">
        <f t="shared" si="134"/>
        <v>1167357.2747262933</v>
      </c>
      <c r="AK209" s="226">
        <f t="shared" si="134"/>
        <v>1167357.2747262933</v>
      </c>
      <c r="AL209" s="226">
        <f t="shared" si="134"/>
        <v>1167357.2747262933</v>
      </c>
      <c r="AM209" s="226">
        <f t="shared" si="134"/>
        <v>1167357.2747262933</v>
      </c>
      <c r="AN209" s="235">
        <v>1167357.2747262933</v>
      </c>
      <c r="AO209" s="235">
        <f t="shared" si="118"/>
        <v>1167357.2747262933</v>
      </c>
      <c r="AP209" s="235">
        <f t="shared" si="118"/>
        <v>1167357.2747262933</v>
      </c>
      <c r="AQ209" s="236">
        <f t="shared" si="118"/>
        <v>1167357.2747262933</v>
      </c>
      <c r="AR209" s="236">
        <f t="shared" si="118"/>
        <v>1167357.2747262933</v>
      </c>
      <c r="AS209" s="236">
        <f t="shared" si="118"/>
        <v>1167357.2747262933</v>
      </c>
      <c r="AT209" s="236">
        <f t="shared" si="118"/>
        <v>1167357.2747262933</v>
      </c>
      <c r="AU209" s="236">
        <f t="shared" si="118"/>
        <v>1167357.2747262933</v>
      </c>
      <c r="AV209" s="236">
        <f t="shared" si="118"/>
        <v>1167357.2747262933</v>
      </c>
      <c r="AW209" s="247">
        <v>1167357.2747262933</v>
      </c>
      <c r="AX209" s="226">
        <f t="shared" si="135"/>
        <v>1167357.2747262933</v>
      </c>
      <c r="AY209" s="226">
        <f t="shared" si="135"/>
        <v>1167357.2747262933</v>
      </c>
      <c r="AZ209" s="226">
        <f t="shared" si="135"/>
        <v>1167357.2747262933</v>
      </c>
      <c r="BA209" s="226">
        <f t="shared" si="135"/>
        <v>1167357.2747262933</v>
      </c>
      <c r="BB209" s="226">
        <f t="shared" si="135"/>
        <v>1167357.2747262933</v>
      </c>
      <c r="BC209" s="248">
        <v>1167357.2747262933</v>
      </c>
      <c r="BD209" s="224">
        <f t="shared" si="136"/>
        <v>1167357.2747262933</v>
      </c>
      <c r="BE209" s="224">
        <f t="shared" si="136"/>
        <v>1167357.2747262933</v>
      </c>
      <c r="BF209" s="224">
        <f t="shared" si="136"/>
        <v>1167357.2747262933</v>
      </c>
      <c r="BG209" s="224">
        <f t="shared" si="136"/>
        <v>1167357.2747262933</v>
      </c>
      <c r="BH209" s="224">
        <f t="shared" si="136"/>
        <v>1167357.2747262933</v>
      </c>
      <c r="BI209" s="224">
        <f t="shared" si="136"/>
        <v>1167357.2747262933</v>
      </c>
      <c r="BJ209" s="224">
        <f t="shared" si="136"/>
        <v>1167357.2747262933</v>
      </c>
      <c r="BK209" s="224">
        <f t="shared" si="136"/>
        <v>1167357.2747262933</v>
      </c>
      <c r="BL209" s="224">
        <f t="shared" si="136"/>
        <v>1167357.2747262933</v>
      </c>
      <c r="BM209" s="224">
        <f t="shared" si="136"/>
        <v>1167357.2747262933</v>
      </c>
      <c r="BN209" s="224">
        <f t="shared" si="136"/>
        <v>1167357.2747262933</v>
      </c>
      <c r="BO209" s="224">
        <f t="shared" si="136"/>
        <v>1167357.2747262933</v>
      </c>
    </row>
    <row r="210" spans="1:67" ht="45">
      <c r="A210" s="223">
        <f>A209+1</f>
        <v>3</v>
      </c>
      <c r="B210" s="245" t="s">
        <v>211</v>
      </c>
      <c r="C210" s="223">
        <v>208</v>
      </c>
      <c r="D210" s="248">
        <v>4423162.6695955256</v>
      </c>
      <c r="E210" s="225">
        <f t="shared" si="132"/>
        <v>4423162.6695955256</v>
      </c>
      <c r="F210" s="225">
        <f t="shared" si="132"/>
        <v>4423162.6695955256</v>
      </c>
      <c r="G210" s="225">
        <f t="shared" si="132"/>
        <v>4423162.6695955256</v>
      </c>
      <c r="H210" s="225">
        <f t="shared" si="132"/>
        <v>4423162.6695955256</v>
      </c>
      <c r="I210" s="225">
        <f t="shared" si="132"/>
        <v>4423162.6695955256</v>
      </c>
      <c r="J210" s="225">
        <f t="shared" si="132"/>
        <v>4423162.6695955256</v>
      </c>
      <c r="K210" s="237">
        <f>J210</f>
        <v>4423162.6695955256</v>
      </c>
      <c r="L210" s="237">
        <f t="shared" si="127"/>
        <v>4423162.6695955256</v>
      </c>
      <c r="M210" s="237">
        <f t="shared" si="127"/>
        <v>4423162.6695955256</v>
      </c>
      <c r="N210" s="237">
        <f t="shared" si="127"/>
        <v>4423162.6695955256</v>
      </c>
      <c r="O210" s="237">
        <f t="shared" si="127"/>
        <v>4423162.6695955256</v>
      </c>
      <c r="P210" s="237">
        <f t="shared" si="127"/>
        <v>4423162.6695955256</v>
      </c>
      <c r="Q210" s="237">
        <f t="shared" si="127"/>
        <v>4423162.6695955256</v>
      </c>
      <c r="R210" s="237">
        <f t="shared" si="127"/>
        <v>4423162.6695955256</v>
      </c>
      <c r="S210" s="237">
        <f t="shared" si="127"/>
        <v>4423162.6695955256</v>
      </c>
      <c r="T210" s="248">
        <v>4423162.6695955256</v>
      </c>
      <c r="U210" s="224">
        <f t="shared" si="137"/>
        <v>4423162.6695955256</v>
      </c>
      <c r="V210" s="224">
        <f t="shared" si="137"/>
        <v>4423162.6695955256</v>
      </c>
      <c r="W210" s="224">
        <f t="shared" si="137"/>
        <v>4423162.6695955256</v>
      </c>
      <c r="X210" s="226">
        <v>4423162.6695955256</v>
      </c>
      <c r="Y210" s="226">
        <f t="shared" si="133"/>
        <v>4423162.6695955256</v>
      </c>
      <c r="Z210" s="226">
        <f t="shared" si="133"/>
        <v>4423162.6695955256</v>
      </c>
      <c r="AA210" s="248">
        <v>4423162.6695955256</v>
      </c>
      <c r="AB210" s="248">
        <v>4423162.6695955256</v>
      </c>
      <c r="AC210" s="248">
        <v>4423162.6695955256</v>
      </c>
      <c r="AD210" s="224">
        <f t="shared" si="102"/>
        <v>4423162.6695955256</v>
      </c>
      <c r="AE210" s="248">
        <v>4423162.6695955256</v>
      </c>
      <c r="AF210" s="248">
        <v>4423162.6695955256</v>
      </c>
      <c r="AG210" s="224">
        <f t="shared" si="103"/>
        <v>4423162.6695955256</v>
      </c>
      <c r="AH210" s="226">
        <v>4423162.6695955256</v>
      </c>
      <c r="AI210" s="226">
        <f t="shared" si="134"/>
        <v>4423162.6695955256</v>
      </c>
      <c r="AJ210" s="226">
        <f t="shared" si="134"/>
        <v>4423162.6695955256</v>
      </c>
      <c r="AK210" s="226">
        <f t="shared" si="134"/>
        <v>4423162.6695955256</v>
      </c>
      <c r="AL210" s="226">
        <f t="shared" si="134"/>
        <v>4423162.6695955256</v>
      </c>
      <c r="AM210" s="226">
        <f t="shared" si="134"/>
        <v>4423162.6695955256</v>
      </c>
      <c r="AN210" s="235">
        <v>4423162.6695955256</v>
      </c>
      <c r="AO210" s="235">
        <f t="shared" si="118"/>
        <v>4423162.6695955256</v>
      </c>
      <c r="AP210" s="235">
        <f t="shared" si="118"/>
        <v>4423162.6695955256</v>
      </c>
      <c r="AQ210" s="236">
        <f t="shared" si="118"/>
        <v>4423162.6695955256</v>
      </c>
      <c r="AR210" s="236">
        <f t="shared" si="118"/>
        <v>4423162.6695955256</v>
      </c>
      <c r="AS210" s="236">
        <f t="shared" si="118"/>
        <v>4423162.6695955256</v>
      </c>
      <c r="AT210" s="236">
        <f t="shared" si="118"/>
        <v>4423162.6695955256</v>
      </c>
      <c r="AU210" s="236">
        <f t="shared" si="118"/>
        <v>4423162.6695955256</v>
      </c>
      <c r="AV210" s="236">
        <f t="shared" si="118"/>
        <v>4423162.6695955256</v>
      </c>
      <c r="AW210" s="247">
        <v>4423162.6695955256</v>
      </c>
      <c r="AX210" s="226">
        <f t="shared" si="135"/>
        <v>4423162.6695955256</v>
      </c>
      <c r="AY210" s="226">
        <f t="shared" si="135"/>
        <v>4423162.6695955256</v>
      </c>
      <c r="AZ210" s="226">
        <f t="shared" si="135"/>
        <v>4423162.6695955256</v>
      </c>
      <c r="BA210" s="226">
        <f t="shared" si="135"/>
        <v>4423162.6695955256</v>
      </c>
      <c r="BB210" s="226">
        <f t="shared" si="135"/>
        <v>4423162.6695955256</v>
      </c>
      <c r="BC210" s="248">
        <v>4423162.6695955256</v>
      </c>
      <c r="BD210" s="224">
        <f t="shared" si="136"/>
        <v>4423162.6695955256</v>
      </c>
      <c r="BE210" s="224">
        <f t="shared" si="136"/>
        <v>4423162.6695955256</v>
      </c>
      <c r="BF210" s="224">
        <f t="shared" si="136"/>
        <v>4423162.6695955256</v>
      </c>
      <c r="BG210" s="224">
        <f t="shared" si="136"/>
        <v>4423162.6695955256</v>
      </c>
      <c r="BH210" s="224">
        <f t="shared" si="136"/>
        <v>4423162.6695955256</v>
      </c>
      <c r="BI210" s="224">
        <f t="shared" si="136"/>
        <v>4423162.6695955256</v>
      </c>
      <c r="BJ210" s="224">
        <f t="shared" si="136"/>
        <v>4423162.6695955256</v>
      </c>
      <c r="BK210" s="224">
        <f t="shared" si="136"/>
        <v>4423162.6695955256</v>
      </c>
      <c r="BL210" s="224">
        <f t="shared" si="136"/>
        <v>4423162.6695955256</v>
      </c>
      <c r="BM210" s="224">
        <f t="shared" si="136"/>
        <v>4423162.6695955256</v>
      </c>
      <c r="BN210" s="224">
        <f t="shared" si="136"/>
        <v>4423162.6695955256</v>
      </c>
      <c r="BO210" s="224">
        <f t="shared" si="136"/>
        <v>4423162.6695955256</v>
      </c>
    </row>
    <row r="211" spans="1:67" ht="30">
      <c r="A211" s="223">
        <f>A210+1</f>
        <v>4</v>
      </c>
      <c r="B211" s="245" t="s">
        <v>310</v>
      </c>
      <c r="C211" s="223">
        <v>209</v>
      </c>
      <c r="D211" s="248">
        <v>725661.91403061838</v>
      </c>
      <c r="E211" s="225">
        <f t="shared" si="132"/>
        <v>725661.91403061838</v>
      </c>
      <c r="F211" s="225">
        <f t="shared" si="132"/>
        <v>725661.91403061838</v>
      </c>
      <c r="G211" s="225">
        <f t="shared" si="132"/>
        <v>725661.91403061838</v>
      </c>
      <c r="H211" s="225">
        <f t="shared" si="132"/>
        <v>725661.91403061838</v>
      </c>
      <c r="I211" s="225">
        <f t="shared" si="132"/>
        <v>725661.91403061838</v>
      </c>
      <c r="J211" s="225">
        <f t="shared" si="132"/>
        <v>725661.91403061838</v>
      </c>
      <c r="K211" s="237">
        <f>J211</f>
        <v>725661.91403061838</v>
      </c>
      <c r="L211" s="237">
        <f t="shared" si="127"/>
        <v>725661.91403061838</v>
      </c>
      <c r="M211" s="237">
        <f t="shared" si="127"/>
        <v>725661.91403061838</v>
      </c>
      <c r="N211" s="237">
        <f t="shared" si="127"/>
        <v>725661.91403061838</v>
      </c>
      <c r="O211" s="237">
        <f t="shared" si="127"/>
        <v>725661.91403061838</v>
      </c>
      <c r="P211" s="237">
        <f t="shared" si="127"/>
        <v>725661.91403061838</v>
      </c>
      <c r="Q211" s="237">
        <f t="shared" si="127"/>
        <v>725661.91403061838</v>
      </c>
      <c r="R211" s="237">
        <f t="shared" si="127"/>
        <v>725661.91403061838</v>
      </c>
      <c r="S211" s="237">
        <f t="shared" si="127"/>
        <v>725661.91403061838</v>
      </c>
      <c r="T211" s="248">
        <v>725661.91403061838</v>
      </c>
      <c r="U211" s="224">
        <f t="shared" si="137"/>
        <v>725661.91403061838</v>
      </c>
      <c r="V211" s="224">
        <f t="shared" si="137"/>
        <v>725661.91403061838</v>
      </c>
      <c r="W211" s="224">
        <f t="shared" si="137"/>
        <v>725661.91403061838</v>
      </c>
      <c r="X211" s="226">
        <v>725661.91403061838</v>
      </c>
      <c r="Y211" s="226">
        <f t="shared" si="133"/>
        <v>725661.91403061838</v>
      </c>
      <c r="Z211" s="226">
        <f t="shared" si="133"/>
        <v>725661.91403061838</v>
      </c>
      <c r="AA211" s="248">
        <v>725661.91403061838</v>
      </c>
      <c r="AB211" s="248">
        <v>725661.91403061838</v>
      </c>
      <c r="AC211" s="248">
        <v>725661.91403061838</v>
      </c>
      <c r="AD211" s="224">
        <f t="shared" si="102"/>
        <v>725661.91403061838</v>
      </c>
      <c r="AE211" s="248">
        <v>725661.91403061838</v>
      </c>
      <c r="AF211" s="248">
        <v>725661.91403061838</v>
      </c>
      <c r="AG211" s="224">
        <f t="shared" si="103"/>
        <v>725661.91403061838</v>
      </c>
      <c r="AH211" s="226">
        <v>725661.91403061838</v>
      </c>
      <c r="AI211" s="226">
        <f t="shared" si="134"/>
        <v>725661.91403061838</v>
      </c>
      <c r="AJ211" s="226">
        <f t="shared" si="134"/>
        <v>725661.91403061838</v>
      </c>
      <c r="AK211" s="226">
        <f t="shared" si="134"/>
        <v>725661.91403061838</v>
      </c>
      <c r="AL211" s="226">
        <f t="shared" si="134"/>
        <v>725661.91403061838</v>
      </c>
      <c r="AM211" s="226">
        <f t="shared" si="134"/>
        <v>725661.91403061838</v>
      </c>
      <c r="AN211" s="235">
        <v>725661.91403061838</v>
      </c>
      <c r="AO211" s="235">
        <f t="shared" si="118"/>
        <v>725661.91403061838</v>
      </c>
      <c r="AP211" s="235">
        <f t="shared" si="118"/>
        <v>725661.91403061838</v>
      </c>
      <c r="AQ211" s="236">
        <f t="shared" si="118"/>
        <v>725661.91403061838</v>
      </c>
      <c r="AR211" s="236">
        <f t="shared" si="118"/>
        <v>725661.91403061838</v>
      </c>
      <c r="AS211" s="236">
        <f t="shared" si="118"/>
        <v>725661.91403061838</v>
      </c>
      <c r="AT211" s="236">
        <f t="shared" si="118"/>
        <v>725661.91403061838</v>
      </c>
      <c r="AU211" s="236">
        <f t="shared" si="118"/>
        <v>725661.91403061838</v>
      </c>
      <c r="AV211" s="236">
        <f t="shared" si="118"/>
        <v>725661.91403061838</v>
      </c>
      <c r="AW211" s="247">
        <v>725661.91403061838</v>
      </c>
      <c r="AX211" s="226">
        <f t="shared" si="135"/>
        <v>725661.91403061838</v>
      </c>
      <c r="AY211" s="226">
        <f t="shared" si="135"/>
        <v>725661.91403061838</v>
      </c>
      <c r="AZ211" s="226">
        <f t="shared" si="135"/>
        <v>725661.91403061838</v>
      </c>
      <c r="BA211" s="226">
        <f t="shared" si="135"/>
        <v>725661.91403061838</v>
      </c>
      <c r="BB211" s="226">
        <f t="shared" si="135"/>
        <v>725661.91403061838</v>
      </c>
      <c r="BC211" s="248">
        <v>725661.91403061838</v>
      </c>
      <c r="BD211" s="224">
        <f t="shared" si="136"/>
        <v>725661.91403061838</v>
      </c>
      <c r="BE211" s="224">
        <f t="shared" si="136"/>
        <v>725661.91403061838</v>
      </c>
      <c r="BF211" s="224">
        <f t="shared" si="136"/>
        <v>725661.91403061838</v>
      </c>
      <c r="BG211" s="224">
        <f t="shared" si="136"/>
        <v>725661.91403061838</v>
      </c>
      <c r="BH211" s="224">
        <f t="shared" si="136"/>
        <v>725661.91403061838</v>
      </c>
      <c r="BI211" s="224">
        <f t="shared" si="136"/>
        <v>725661.91403061838</v>
      </c>
      <c r="BJ211" s="224">
        <f t="shared" si="136"/>
        <v>725661.91403061838</v>
      </c>
      <c r="BK211" s="224">
        <f t="shared" si="136"/>
        <v>725661.91403061838</v>
      </c>
      <c r="BL211" s="224">
        <f t="shared" si="136"/>
        <v>725661.91403061838</v>
      </c>
      <c r="BM211" s="224">
        <f t="shared" si="136"/>
        <v>725661.91403061838</v>
      </c>
      <c r="BN211" s="224">
        <f t="shared" si="136"/>
        <v>725661.91403061838</v>
      </c>
      <c r="BO211" s="224">
        <f t="shared" si="136"/>
        <v>725661.91403061838</v>
      </c>
    </row>
    <row r="212" spans="1:67" ht="75">
      <c r="A212" s="223">
        <f>A211+1</f>
        <v>5</v>
      </c>
      <c r="B212" s="245" t="s">
        <v>216</v>
      </c>
      <c r="C212" s="223">
        <v>210</v>
      </c>
      <c r="D212" s="248">
        <f>3665487.8974359+1903933.758</f>
        <v>5569421.6554358993</v>
      </c>
      <c r="E212" s="225">
        <f>D212</f>
        <v>5569421.6554358993</v>
      </c>
      <c r="F212" s="225">
        <f>1473640.46248286+2889434.80224013</f>
        <v>4363075.2647229899</v>
      </c>
      <c r="G212" s="225">
        <f>984414.96224013+503113.007682857</f>
        <v>1487527.9699229868</v>
      </c>
      <c r="H212" s="225">
        <f>2580476.87521368+1338085.172</f>
        <v>3918562.0472136801</v>
      </c>
      <c r="I212" s="225">
        <f>1884423.78001791+987791.876482857</f>
        <v>2872215.656500767</v>
      </c>
      <c r="J212" s="225">
        <f>984414.96224013+503113.007682857</f>
        <v>1487527.9699229868</v>
      </c>
      <c r="K212" s="237">
        <f>1556512.33485389+799020.729917143</f>
        <v>2355533.0647710329</v>
      </c>
      <c r="L212" s="237">
        <f>2580476.87521368+1338085.172</f>
        <v>3918562.0472136801</v>
      </c>
      <c r="M212" s="237">
        <f>1473640.46248286+2889434.80224013</f>
        <v>4363075.2647229899</v>
      </c>
      <c r="N212" s="237">
        <f>1884423.78001791+987791.876482857</f>
        <v>2872215.656500767</v>
      </c>
      <c r="O212" s="237">
        <f>1556512.33485389+799020.729917143</f>
        <v>2355533.0647710329</v>
      </c>
      <c r="P212" s="237">
        <f>1371510.13040944+717851.012717143</f>
        <v>2089361.1431265832</v>
      </c>
      <c r="Q212" s="237">
        <f>984414.96224013+503113.007682857</f>
        <v>1487527.9699229868</v>
      </c>
      <c r="R212" s="237">
        <f>1106507.925965+556681.295517143</f>
        <v>1663189.2214821428</v>
      </c>
      <c r="S212" s="237">
        <f>984414.96224013+503113.007682857</f>
        <v>1487527.9699229868</v>
      </c>
      <c r="T212" s="225">
        <f>984414.96224013+503113.007682857</f>
        <v>1487527.9699229868</v>
      </c>
      <c r="U212" s="237">
        <f>1106507.925965+556681.295517143</f>
        <v>1663189.2214821428</v>
      </c>
      <c r="V212" s="237">
        <f>1556512.33485389+799020.729917143</f>
        <v>2355533.0647710329</v>
      </c>
      <c r="W212" s="225">
        <f>1884423.78001791+987791.876482857</f>
        <v>2872215.656500767</v>
      </c>
      <c r="X212" s="237">
        <f>1106507.925965+556681.295517143</f>
        <v>1663189.2214821428</v>
      </c>
      <c r="Y212" s="237">
        <f>1371510.13040944+717851.012717143</f>
        <v>2089361.1431265832</v>
      </c>
      <c r="Z212" s="237">
        <f>1371510.13040944+717851.012717143</f>
        <v>2089361.1431265832</v>
      </c>
      <c r="AA212" s="248">
        <f>534410.553351241+260773.573282857</f>
        <v>795184.12663409801</v>
      </c>
      <c r="AB212" s="248">
        <f>534410.553351241+260773.573282857</f>
        <v>795184.12663409801</v>
      </c>
      <c r="AC212" s="237">
        <f>1371510.13040944+717851.012717143</f>
        <v>2089361.1431265832</v>
      </c>
      <c r="AD212" s="237">
        <f>1884423.78001791+987791.876482857</f>
        <v>2872215.656500767</v>
      </c>
      <c r="AE212" s="225">
        <f>2580476.87521368+1338085.172</f>
        <v>3918562.0472136801</v>
      </c>
      <c r="AF212" s="236">
        <f>4361540.99263166+2254227.05351714</f>
        <v>6615768.0461487994</v>
      </c>
      <c r="AG212" s="236">
        <f>3276529.97040944+1688378.46751714</f>
        <v>4964908.4379265802</v>
      </c>
      <c r="AH212" s="226">
        <f>1884423.78001791+987791.876482857</f>
        <v>2872215.656500767</v>
      </c>
      <c r="AI212" s="226">
        <f>1106507.925965+556681.295517143</f>
        <v>1663189.2214821428</v>
      </c>
      <c r="AJ212" s="226">
        <f>799412.757795686+421943.290482857</f>
        <v>1221356.0482785429</v>
      </c>
      <c r="AK212" s="226">
        <f>1473640.46248286+2889434.80224013</f>
        <v>4363075.2647229899</v>
      </c>
      <c r="AL212" s="226">
        <f>1556512.33485389+799020.729917143</f>
        <v>2355533.0647710329</v>
      </c>
      <c r="AM212" s="226">
        <f>1473640.46248286+2889434.80224013</f>
        <v>4363075.2647229899</v>
      </c>
      <c r="AN212" s="235">
        <f>799412.757795686+421943.290482857</f>
        <v>1221356.0482785429</v>
      </c>
      <c r="AO212" s="235">
        <f>3276529.97040944+1688378.46751714</f>
        <v>4964908.4379265802</v>
      </c>
      <c r="AP212" s="235">
        <f>4361540.99263166+2254227.05351714</f>
        <v>6615768.0461487994</v>
      </c>
      <c r="AQ212" s="248">
        <f>3665487.8974359+1903933.758</f>
        <v>5569421.6554358993</v>
      </c>
      <c r="AR212" s="236">
        <f>4361540.99263166+2254227.05351714</f>
        <v>6615768.0461487994</v>
      </c>
      <c r="AS212" s="236">
        <f>5059456.84668457+2605337.63448286</f>
        <v>7664794.4811674301</v>
      </c>
      <c r="AT212" s="236">
        <f>5059456.84668457+2605337.63448286</f>
        <v>7664794.4811674301</v>
      </c>
      <c r="AU212" s="236">
        <f>5059456.84668457+2605337.63448286</f>
        <v>7664794.4811674301</v>
      </c>
      <c r="AV212" s="236">
        <f>6531563.03707611+3385924.22551714</f>
        <v>9917487.2625932507</v>
      </c>
      <c r="AW212" s="247">
        <f>717851.012717143+1371510.13040944</f>
        <v>2089361.1431265832</v>
      </c>
      <c r="AX212" s="248">
        <f>799412.757795686+421943.290482857</f>
        <v>1221356.0482785429</v>
      </c>
      <c r="AY212" s="237">
        <f>1106507.925965+556681.295517143</f>
        <v>1663189.2214821428</v>
      </c>
      <c r="AZ212" s="247">
        <f>717851.012717143+1371510.13040944</f>
        <v>2089361.1431265832</v>
      </c>
      <c r="BA212" s="248">
        <f>799412.757795686+421943.290482857</f>
        <v>1221356.0482785429</v>
      </c>
      <c r="BB212" s="248">
        <f>799412.757795686+421943.290482857</f>
        <v>1221356.0482785429</v>
      </c>
      <c r="BC212" s="225">
        <f>1884423.78001791+987791.876482857</f>
        <v>2872215.656500767</v>
      </c>
      <c r="BD212" s="237">
        <f>1106507.925965+556681.295517143</f>
        <v>1663189.2214821428</v>
      </c>
      <c r="BE212" s="247">
        <f>717851.012717143+1371510.13040944</f>
        <v>2089361.1431265832</v>
      </c>
      <c r="BF212" s="247">
        <f>717851.012717143+1371510.13040944</f>
        <v>2089361.1431265832</v>
      </c>
      <c r="BG212" s="237">
        <f>1556512.33485389+799020.729917143</f>
        <v>2355533.0647710329</v>
      </c>
      <c r="BH212" s="225">
        <f>1884423.78001791+987791.876482857</f>
        <v>2872215.656500767</v>
      </c>
      <c r="BI212" s="224">
        <f>2191518.94818722+1122529.88151714</f>
        <v>3314048.8297043601</v>
      </c>
      <c r="BJ212" s="224">
        <f>2191518.94818722+1122529.88151714</f>
        <v>3314048.8297043601</v>
      </c>
      <c r="BK212" s="247">
        <f>717851.012717143+1371510.13040944</f>
        <v>2089361.1431265832</v>
      </c>
      <c r="BL212" s="224">
        <f>2191518.94818722+1122529.88151714</f>
        <v>3314048.8297043601</v>
      </c>
      <c r="BM212" s="224">
        <f>2191518.94818722+1122529.88151714</f>
        <v>3314048.8297043601</v>
      </c>
      <c r="BN212" s="237">
        <f>1473640.46248286+2889434.80224013</f>
        <v>4363075.2647229899</v>
      </c>
      <c r="BO212" s="224">
        <f>2191518.94818722+1122529.88151714</f>
        <v>3314048.8297043601</v>
      </c>
    </row>
    <row r="213" spans="1:67" ht="45">
      <c r="A213" s="223">
        <f>A212+1</f>
        <v>6</v>
      </c>
      <c r="B213" s="245" t="s">
        <v>212</v>
      </c>
      <c r="C213" s="223">
        <v>211</v>
      </c>
      <c r="D213" s="248">
        <v>948735.44063977397</v>
      </c>
      <c r="E213" s="225">
        <f t="shared" ref="E213:J213" si="138">D213</f>
        <v>948735.44063977397</v>
      </c>
      <c r="F213" s="225">
        <f t="shared" si="138"/>
        <v>948735.44063977397</v>
      </c>
      <c r="G213" s="225">
        <f t="shared" si="138"/>
        <v>948735.44063977397</v>
      </c>
      <c r="H213" s="225">
        <f t="shared" si="138"/>
        <v>948735.44063977397</v>
      </c>
      <c r="I213" s="225">
        <f t="shared" si="138"/>
        <v>948735.44063977397</v>
      </c>
      <c r="J213" s="225">
        <f t="shared" si="138"/>
        <v>948735.44063977397</v>
      </c>
      <c r="K213" s="237">
        <f>J213</f>
        <v>948735.44063977397</v>
      </c>
      <c r="L213" s="237">
        <f t="shared" ref="L213:S213" si="139">K213</f>
        <v>948735.44063977397</v>
      </c>
      <c r="M213" s="237">
        <f t="shared" si="139"/>
        <v>948735.44063977397</v>
      </c>
      <c r="N213" s="237">
        <f t="shared" si="139"/>
        <v>948735.44063977397</v>
      </c>
      <c r="O213" s="237">
        <f t="shared" si="139"/>
        <v>948735.44063977397</v>
      </c>
      <c r="P213" s="237">
        <f t="shared" si="139"/>
        <v>948735.44063977397</v>
      </c>
      <c r="Q213" s="237">
        <f t="shared" si="139"/>
        <v>948735.44063977397</v>
      </c>
      <c r="R213" s="237">
        <f t="shared" si="139"/>
        <v>948735.44063977397</v>
      </c>
      <c r="S213" s="237">
        <f t="shared" si="139"/>
        <v>948735.44063977397</v>
      </c>
      <c r="T213" s="248">
        <v>948735.44063977397</v>
      </c>
      <c r="U213" s="224">
        <f t="shared" si="137"/>
        <v>948735.44063977397</v>
      </c>
      <c r="V213" s="224">
        <f t="shared" si="137"/>
        <v>948735.44063977397</v>
      </c>
      <c r="W213" s="224">
        <f t="shared" si="137"/>
        <v>948735.44063977397</v>
      </c>
      <c r="X213" s="226">
        <v>948735.44063977397</v>
      </c>
      <c r="Y213" s="226">
        <f>X213</f>
        <v>948735.44063977397</v>
      </c>
      <c r="Z213" s="226">
        <f>Y213</f>
        <v>948735.44063977397</v>
      </c>
      <c r="AA213" s="248">
        <v>948735.44063977397</v>
      </c>
      <c r="AB213" s="248">
        <v>948735.44063977397</v>
      </c>
      <c r="AC213" s="237">
        <v>948735.44063977397</v>
      </c>
      <c r="AD213" s="237">
        <f t="shared" si="102"/>
        <v>948735.44063977397</v>
      </c>
      <c r="AE213" s="248">
        <v>948735.44063977397</v>
      </c>
      <c r="AF213" s="248">
        <v>948735.44063977397</v>
      </c>
      <c r="AG213" s="224">
        <f t="shared" si="103"/>
        <v>948735.44063977397</v>
      </c>
      <c r="AH213" s="226">
        <v>948735.44063977397</v>
      </c>
      <c r="AI213" s="226">
        <f>AH213</f>
        <v>948735.44063977397</v>
      </c>
      <c r="AJ213" s="226">
        <f>AI213</f>
        <v>948735.44063977397</v>
      </c>
      <c r="AK213" s="226">
        <f>AJ213</f>
        <v>948735.44063977397</v>
      </c>
      <c r="AL213" s="226">
        <f>AK213</f>
        <v>948735.44063977397</v>
      </c>
      <c r="AM213" s="226">
        <f>AL213</f>
        <v>948735.44063977397</v>
      </c>
      <c r="AN213" s="235">
        <v>948735.44063977397</v>
      </c>
      <c r="AO213" s="235">
        <f t="shared" ref="AO213:AV213" si="140">AN213</f>
        <v>948735.44063977397</v>
      </c>
      <c r="AP213" s="235">
        <f t="shared" si="140"/>
        <v>948735.44063977397</v>
      </c>
      <c r="AQ213" s="236">
        <f t="shared" si="140"/>
        <v>948735.44063977397</v>
      </c>
      <c r="AR213" s="236">
        <f t="shared" si="140"/>
        <v>948735.44063977397</v>
      </c>
      <c r="AS213" s="236">
        <f t="shared" si="140"/>
        <v>948735.44063977397</v>
      </c>
      <c r="AT213" s="236">
        <f t="shared" si="140"/>
        <v>948735.44063977397</v>
      </c>
      <c r="AU213" s="236">
        <f t="shared" si="140"/>
        <v>948735.44063977397</v>
      </c>
      <c r="AV213" s="236">
        <f t="shared" si="140"/>
        <v>948735.44063977397</v>
      </c>
      <c r="AW213" s="247">
        <v>948735.44063977397</v>
      </c>
      <c r="AX213" s="226">
        <f>AW213</f>
        <v>948735.44063977397</v>
      </c>
      <c r="AY213" s="226">
        <f>AX213</f>
        <v>948735.44063977397</v>
      </c>
      <c r="AZ213" s="226">
        <f>AY213</f>
        <v>948735.44063977397</v>
      </c>
      <c r="BA213" s="226">
        <f>AZ213</f>
        <v>948735.44063977397</v>
      </c>
      <c r="BB213" s="226">
        <f>BA213</f>
        <v>948735.44063977397</v>
      </c>
      <c r="BC213" s="248">
        <v>948735.44063977397</v>
      </c>
      <c r="BD213" s="224">
        <f t="shared" ref="BD213:BO213" si="141">BC213</f>
        <v>948735.44063977397</v>
      </c>
      <c r="BE213" s="224">
        <f t="shared" si="141"/>
        <v>948735.44063977397</v>
      </c>
      <c r="BF213" s="224">
        <f t="shared" si="141"/>
        <v>948735.44063977397</v>
      </c>
      <c r="BG213" s="224">
        <f t="shared" si="141"/>
        <v>948735.44063977397</v>
      </c>
      <c r="BH213" s="224">
        <f t="shared" si="141"/>
        <v>948735.44063977397</v>
      </c>
      <c r="BI213" s="224">
        <f t="shared" si="141"/>
        <v>948735.44063977397</v>
      </c>
      <c r="BJ213" s="224">
        <f t="shared" si="141"/>
        <v>948735.44063977397</v>
      </c>
      <c r="BK213" s="224">
        <f t="shared" si="141"/>
        <v>948735.44063977397</v>
      </c>
      <c r="BL213" s="224">
        <f t="shared" si="141"/>
        <v>948735.44063977397</v>
      </c>
      <c r="BM213" s="224">
        <f t="shared" si="141"/>
        <v>948735.44063977397</v>
      </c>
      <c r="BN213" s="224">
        <f t="shared" si="141"/>
        <v>948735.44063977397</v>
      </c>
      <c r="BO213" s="224">
        <f t="shared" si="141"/>
        <v>948735.44063977397</v>
      </c>
    </row>
    <row r="214" spans="1:67" ht="29.25">
      <c r="A214" s="229" t="s">
        <v>25</v>
      </c>
      <c r="B214" s="249" t="s">
        <v>336</v>
      </c>
      <c r="C214" s="223">
        <v>212</v>
      </c>
      <c r="D214" s="250"/>
      <c r="E214" s="250"/>
      <c r="F214" s="250"/>
      <c r="G214" s="250"/>
      <c r="H214" s="250"/>
      <c r="I214" s="250"/>
      <c r="J214" s="250"/>
      <c r="K214" s="151"/>
      <c r="L214" s="151"/>
      <c r="M214" s="151"/>
      <c r="N214" s="151"/>
      <c r="O214" s="151"/>
      <c r="P214" s="151"/>
      <c r="Q214" s="151"/>
      <c r="R214" s="151"/>
      <c r="S214" s="151"/>
      <c r="T214" s="224"/>
      <c r="U214" s="224"/>
      <c r="V214" s="224"/>
      <c r="W214" s="224"/>
      <c r="X214" s="226"/>
      <c r="Y214" s="226">
        <f>X214</f>
        <v>0</v>
      </c>
      <c r="Z214" s="226">
        <f>Y214</f>
        <v>0</v>
      </c>
      <c r="AA214" s="224"/>
      <c r="AB214" s="224"/>
      <c r="AC214" s="237"/>
      <c r="AD214" s="237"/>
      <c r="AE214" s="151"/>
      <c r="AF214" s="224"/>
      <c r="AG214" s="224"/>
      <c r="AH214" s="226"/>
      <c r="AI214" s="226"/>
      <c r="AJ214" s="226"/>
      <c r="AK214" s="226"/>
      <c r="AL214" s="226"/>
      <c r="AM214" s="226"/>
      <c r="AN214" s="235"/>
      <c r="AO214" s="235"/>
      <c r="AP214" s="235"/>
      <c r="AQ214" s="151"/>
      <c r="AR214" s="151"/>
      <c r="AS214" s="151"/>
      <c r="AT214" s="151"/>
      <c r="AU214" s="151"/>
      <c r="AV214" s="151"/>
      <c r="AW214" s="226"/>
      <c r="AX214" s="226"/>
      <c r="AY214" s="226"/>
      <c r="AZ214" s="226"/>
      <c r="BA214" s="226"/>
      <c r="BB214" s="226"/>
      <c r="BC214" s="151"/>
      <c r="BD214" s="151"/>
      <c r="BE214" s="151"/>
      <c r="BF214" s="151"/>
      <c r="BG214" s="151"/>
      <c r="BH214" s="151"/>
      <c r="BI214" s="151"/>
      <c r="BJ214" s="151"/>
      <c r="BK214" s="151"/>
      <c r="BL214" s="151"/>
      <c r="BM214" s="151"/>
      <c r="BN214" s="151"/>
      <c r="BO214" s="151"/>
    </row>
    <row r="215" spans="1:67">
      <c r="A215" s="223">
        <v>1</v>
      </c>
      <c r="B215" s="151" t="s">
        <v>226</v>
      </c>
      <c r="C215" s="223">
        <v>213</v>
      </c>
      <c r="D215" s="251">
        <v>6900000</v>
      </c>
      <c r="E215" s="251">
        <v>6900000</v>
      </c>
      <c r="F215" s="251">
        <v>6900000</v>
      </c>
      <c r="G215" s="225">
        <v>6900000</v>
      </c>
      <c r="H215" s="251">
        <v>6900000</v>
      </c>
      <c r="I215" s="225">
        <v>6900000</v>
      </c>
      <c r="J215" s="225">
        <v>5280000</v>
      </c>
      <c r="K215" s="252">
        <v>6900000</v>
      </c>
      <c r="L215" s="252">
        <v>6900000</v>
      </c>
      <c r="M215" s="252">
        <v>6900000</v>
      </c>
      <c r="N215" s="252">
        <v>6900000</v>
      </c>
      <c r="O215" s="252">
        <v>6900000</v>
      </c>
      <c r="P215" s="252">
        <v>6900000</v>
      </c>
      <c r="Q215" s="237">
        <v>6900000</v>
      </c>
      <c r="R215" s="237">
        <v>6900000</v>
      </c>
      <c r="S215" s="237">
        <v>6900000</v>
      </c>
      <c r="T215" s="248">
        <v>4740000</v>
      </c>
      <c r="U215" s="248">
        <v>7980000</v>
      </c>
      <c r="V215" s="248">
        <v>17700000</v>
      </c>
      <c r="W215" s="237">
        <v>6900000</v>
      </c>
      <c r="X215" s="237">
        <v>6900000</v>
      </c>
      <c r="Y215" s="226">
        <v>9060000</v>
      </c>
      <c r="Z215" s="226">
        <v>10140000</v>
      </c>
      <c r="AA215" s="224">
        <v>11000000</v>
      </c>
      <c r="AB215" s="224">
        <v>18000000</v>
      </c>
      <c r="AC215" s="237">
        <v>5820000</v>
      </c>
      <c r="AD215" s="237">
        <v>5820000</v>
      </c>
      <c r="AE215" s="237">
        <v>4740000</v>
      </c>
      <c r="AF215" s="237">
        <v>6900000</v>
      </c>
      <c r="AG215" s="237">
        <v>5820000</v>
      </c>
      <c r="AH215" s="226">
        <v>17700000</v>
      </c>
      <c r="AI215" s="226">
        <v>18780000</v>
      </c>
      <c r="AJ215" s="226">
        <v>6900000</v>
      </c>
      <c r="AK215" s="226">
        <v>6900000</v>
      </c>
      <c r="AL215" s="226">
        <v>6900000</v>
      </c>
      <c r="AM215" s="226">
        <v>6900000</v>
      </c>
      <c r="AN215" s="235">
        <v>10140000</v>
      </c>
      <c r="AO215" s="235">
        <v>6900000</v>
      </c>
      <c r="AP215" s="235">
        <v>7980000</v>
      </c>
      <c r="AQ215" s="248">
        <v>6900000</v>
      </c>
      <c r="AR215" s="248">
        <v>6900000</v>
      </c>
      <c r="AS215" s="248">
        <v>10680000</v>
      </c>
      <c r="AT215" s="248">
        <v>14460000</v>
      </c>
      <c r="AU215" s="248">
        <v>6900000</v>
      </c>
      <c r="AV215" s="248">
        <v>10140000</v>
      </c>
      <c r="AW215" s="248">
        <v>7980000</v>
      </c>
      <c r="AX215" s="248">
        <v>10140000</v>
      </c>
      <c r="AY215" s="248">
        <v>6900000</v>
      </c>
      <c r="AZ215" s="248">
        <v>4740000</v>
      </c>
      <c r="BA215" s="248">
        <v>6900000</v>
      </c>
      <c r="BB215" s="248">
        <v>16080000</v>
      </c>
      <c r="BC215" s="248">
        <v>5280000</v>
      </c>
      <c r="BD215" s="248">
        <v>2040000</v>
      </c>
      <c r="BE215" s="248">
        <v>4740000</v>
      </c>
      <c r="BF215" s="248">
        <v>6900000</v>
      </c>
      <c r="BG215" s="248">
        <v>3660000</v>
      </c>
      <c r="BH215" s="248">
        <v>4740000</v>
      </c>
      <c r="BI215" s="248">
        <v>4200000</v>
      </c>
      <c r="BJ215" s="248">
        <v>5496000</v>
      </c>
      <c r="BK215" s="248">
        <v>2310000</v>
      </c>
      <c r="BL215" s="248">
        <v>4956000</v>
      </c>
      <c r="BM215" s="248">
        <v>1500000</v>
      </c>
      <c r="BN215" s="248">
        <v>3660000</v>
      </c>
      <c r="BO215" s="253">
        <v>6900000</v>
      </c>
    </row>
    <row r="216" spans="1:67">
      <c r="A216" s="223">
        <f>A215+1</f>
        <v>2</v>
      </c>
      <c r="B216" s="151" t="s">
        <v>227</v>
      </c>
      <c r="C216" s="223">
        <v>214</v>
      </c>
      <c r="D216" s="251">
        <v>1820000</v>
      </c>
      <c r="E216" s="251">
        <v>1820000</v>
      </c>
      <c r="F216" s="251">
        <v>1820000</v>
      </c>
      <c r="G216" s="225">
        <v>1820000</v>
      </c>
      <c r="H216" s="251">
        <v>1820000</v>
      </c>
      <c r="I216" s="225">
        <v>1820000</v>
      </c>
      <c r="J216" s="225">
        <v>3980000</v>
      </c>
      <c r="K216" s="252">
        <v>1280000</v>
      </c>
      <c r="L216" s="252">
        <v>1280000</v>
      </c>
      <c r="M216" s="252">
        <v>1280000</v>
      </c>
      <c r="N216" s="252">
        <v>1280000</v>
      </c>
      <c r="O216" s="252">
        <v>1280000</v>
      </c>
      <c r="P216" s="252">
        <v>1280000</v>
      </c>
      <c r="Q216" s="237">
        <v>1280000</v>
      </c>
      <c r="R216" s="237">
        <v>1280000</v>
      </c>
      <c r="S216" s="237">
        <v>2360000</v>
      </c>
      <c r="T216" s="248">
        <v>5600000</v>
      </c>
      <c r="U216" s="248">
        <v>2360000</v>
      </c>
      <c r="V216" s="248">
        <v>2900000</v>
      </c>
      <c r="W216" s="237">
        <v>1280000</v>
      </c>
      <c r="X216" s="226">
        <v>3440000</v>
      </c>
      <c r="Y216" s="226">
        <v>4520000</v>
      </c>
      <c r="Z216" s="226">
        <v>4520000</v>
      </c>
      <c r="AA216" s="224">
        <v>3440000</v>
      </c>
      <c r="AB216" s="224">
        <v>3440000</v>
      </c>
      <c r="AC216" s="237">
        <v>1820000</v>
      </c>
      <c r="AD216" s="237">
        <v>1280000</v>
      </c>
      <c r="AE216" s="237">
        <v>1280000</v>
      </c>
      <c r="AF216" s="237">
        <v>1280000</v>
      </c>
      <c r="AG216" s="237">
        <v>2360000</v>
      </c>
      <c r="AH216" s="226">
        <v>1280000</v>
      </c>
      <c r="AI216" s="226">
        <v>1280000</v>
      </c>
      <c r="AJ216" s="226">
        <v>1280000</v>
      </c>
      <c r="AK216" s="226">
        <v>740000</v>
      </c>
      <c r="AL216" s="226">
        <v>1280000</v>
      </c>
      <c r="AM216" s="226">
        <v>1280000</v>
      </c>
      <c r="AN216" s="235">
        <v>1388000</v>
      </c>
      <c r="AO216" s="235">
        <v>1280000</v>
      </c>
      <c r="AP216" s="235">
        <v>470000</v>
      </c>
      <c r="AQ216" s="248">
        <v>1280000</v>
      </c>
      <c r="AR216" s="248">
        <v>2360000</v>
      </c>
      <c r="AS216" s="248">
        <v>1280000</v>
      </c>
      <c r="AT216" s="248">
        <v>2900000</v>
      </c>
      <c r="AU216" s="248">
        <v>1820000</v>
      </c>
      <c r="AV216" s="248">
        <v>2900000</v>
      </c>
      <c r="AW216" s="248">
        <v>1280000</v>
      </c>
      <c r="AX216" s="248">
        <v>1820000</v>
      </c>
      <c r="AY216" s="248">
        <v>740000</v>
      </c>
      <c r="AZ216" s="248">
        <v>740000</v>
      </c>
      <c r="BA216" s="248">
        <v>1280000</v>
      </c>
      <c r="BB216" s="248">
        <v>1280000</v>
      </c>
      <c r="BC216" s="248">
        <v>2252000</v>
      </c>
      <c r="BD216" s="248">
        <v>740000</v>
      </c>
      <c r="BE216" s="248">
        <v>1820000</v>
      </c>
      <c r="BF216" s="248">
        <v>3440000</v>
      </c>
      <c r="BG216" s="248">
        <v>1820000</v>
      </c>
      <c r="BH216" s="248">
        <v>740000</v>
      </c>
      <c r="BI216" s="248">
        <v>740000</v>
      </c>
      <c r="BJ216" s="248">
        <v>740000</v>
      </c>
      <c r="BK216" s="248">
        <v>2360000</v>
      </c>
      <c r="BL216" s="248">
        <v>2360000</v>
      </c>
      <c r="BM216" s="248">
        <v>1820000</v>
      </c>
      <c r="BN216" s="248">
        <v>2360000</v>
      </c>
      <c r="BO216" s="253">
        <v>1820000</v>
      </c>
    </row>
    <row r="217" spans="1:67">
      <c r="A217" s="223"/>
      <c r="B217" s="151"/>
      <c r="C217" s="223">
        <v>215</v>
      </c>
      <c r="D217" s="250"/>
      <c r="E217" s="250"/>
      <c r="F217" s="250"/>
      <c r="G217" s="250"/>
      <c r="H217" s="250"/>
      <c r="I217" s="250"/>
      <c r="J217" s="250"/>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c r="AH217" s="226"/>
      <c r="AI217" s="226"/>
      <c r="AJ217" s="226"/>
      <c r="AK217" s="226"/>
      <c r="AL217" s="226"/>
      <c r="AM217" s="226"/>
      <c r="AN217" s="235"/>
      <c r="AO217" s="235"/>
      <c r="AP217" s="235"/>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row>
    <row r="218" spans="1:67">
      <c r="A218" s="264" t="s">
        <v>26</v>
      </c>
      <c r="B218" s="265" t="s">
        <v>1458</v>
      </c>
      <c r="C218" s="223">
        <v>216</v>
      </c>
      <c r="D218" s="266">
        <v>13000000</v>
      </c>
      <c r="E218" s="266">
        <v>13000000</v>
      </c>
      <c r="F218" s="266">
        <v>13000000</v>
      </c>
      <c r="G218" s="266">
        <v>13000000</v>
      </c>
      <c r="H218" s="266">
        <v>13000000</v>
      </c>
      <c r="I218" s="266">
        <v>13000000</v>
      </c>
      <c r="J218" s="266">
        <v>13000000</v>
      </c>
      <c r="K218" s="266">
        <v>13000000</v>
      </c>
      <c r="L218" s="266">
        <v>13000000</v>
      </c>
      <c r="M218" s="266">
        <v>13000000</v>
      </c>
      <c r="N218" s="266">
        <v>13000000</v>
      </c>
      <c r="O218" s="266">
        <v>13000000</v>
      </c>
      <c r="P218" s="266">
        <v>13000000</v>
      </c>
      <c r="Q218" s="266">
        <v>13000000</v>
      </c>
      <c r="R218" s="266">
        <v>13000000</v>
      </c>
      <c r="S218" s="266">
        <v>13000000</v>
      </c>
      <c r="T218" s="266">
        <v>13000000</v>
      </c>
      <c r="U218" s="266">
        <v>13000000</v>
      </c>
      <c r="V218" s="266">
        <v>13000000</v>
      </c>
      <c r="W218" s="266">
        <v>13000000</v>
      </c>
      <c r="X218" s="266">
        <v>13000000</v>
      </c>
      <c r="Y218" s="266">
        <v>13000000</v>
      </c>
      <c r="Z218" s="266">
        <v>13000000</v>
      </c>
      <c r="AA218" s="266">
        <v>13000000</v>
      </c>
      <c r="AB218" s="266">
        <v>13000000</v>
      </c>
      <c r="AC218" s="266">
        <v>13000000</v>
      </c>
      <c r="AD218" s="266">
        <v>13000000</v>
      </c>
      <c r="AE218" s="266">
        <v>13000000</v>
      </c>
      <c r="AF218" s="266">
        <v>13000000</v>
      </c>
      <c r="AG218" s="266">
        <v>13000000</v>
      </c>
      <c r="AH218" s="266">
        <v>13000000</v>
      </c>
      <c r="AI218" s="266">
        <v>13000000</v>
      </c>
      <c r="AJ218" s="266">
        <v>13000000</v>
      </c>
      <c r="AK218" s="266">
        <v>13000000</v>
      </c>
      <c r="AL218" s="266">
        <v>13000000</v>
      </c>
      <c r="AM218" s="266">
        <v>13000000</v>
      </c>
      <c r="AN218" s="266">
        <v>13000000</v>
      </c>
      <c r="AO218" s="266">
        <v>13000000</v>
      </c>
      <c r="AP218" s="266">
        <v>13000000</v>
      </c>
      <c r="AQ218" s="266">
        <v>13000000</v>
      </c>
      <c r="AR218" s="266">
        <v>13000000</v>
      </c>
      <c r="AS218" s="266">
        <v>13000000</v>
      </c>
      <c r="AT218" s="266">
        <v>13000000</v>
      </c>
      <c r="AU218" s="266">
        <v>13000000</v>
      </c>
      <c r="AV218" s="266">
        <v>13000000</v>
      </c>
      <c r="AW218" s="266">
        <v>13000000</v>
      </c>
      <c r="AX218" s="266">
        <v>13000000</v>
      </c>
      <c r="AY218" s="266">
        <v>13000000</v>
      </c>
      <c r="AZ218" s="266">
        <v>13000000</v>
      </c>
      <c r="BA218" s="266">
        <v>13000000</v>
      </c>
      <c r="BB218" s="266">
        <v>13000000</v>
      </c>
      <c r="BC218" s="266">
        <v>13000000</v>
      </c>
      <c r="BD218" s="266">
        <v>13000000</v>
      </c>
      <c r="BE218" s="266">
        <v>13000000</v>
      </c>
      <c r="BF218" s="266">
        <v>13000000</v>
      </c>
      <c r="BG218" s="266">
        <v>13000000</v>
      </c>
      <c r="BH218" s="266">
        <v>13000000</v>
      </c>
      <c r="BI218" s="266">
        <v>13000000</v>
      </c>
      <c r="BJ218" s="266">
        <v>13000000</v>
      </c>
      <c r="BK218" s="266">
        <v>13000000</v>
      </c>
      <c r="BL218" s="266">
        <v>13000000</v>
      </c>
      <c r="BM218" s="266">
        <v>13000000</v>
      </c>
      <c r="BN218" s="266">
        <v>13000000</v>
      </c>
      <c r="BO218" s="266">
        <v>13000000</v>
      </c>
    </row>
    <row r="219" spans="1:67">
      <c r="A219" s="256" t="s">
        <v>110</v>
      </c>
      <c r="B219" s="257" t="s">
        <v>1530</v>
      </c>
      <c r="C219" s="256"/>
      <c r="D219" s="266" t="s">
        <v>1461</v>
      </c>
      <c r="E219" s="266" t="s">
        <v>1462</v>
      </c>
      <c r="F219" s="266" t="s">
        <v>1463</v>
      </c>
      <c r="G219" s="266" t="s">
        <v>1471</v>
      </c>
      <c r="H219" s="266" t="s">
        <v>1472</v>
      </c>
      <c r="I219" s="266" t="s">
        <v>1473</v>
      </c>
      <c r="J219" s="266" t="s">
        <v>1474</v>
      </c>
      <c r="K219" s="266" t="s">
        <v>1475</v>
      </c>
      <c r="L219" s="266" t="s">
        <v>1476</v>
      </c>
      <c r="M219" s="266" t="s">
        <v>1477</v>
      </c>
      <c r="N219" s="266" t="s">
        <v>1478</v>
      </c>
      <c r="O219" s="266" t="s">
        <v>1479</v>
      </c>
      <c r="P219" s="266" t="s">
        <v>1480</v>
      </c>
      <c r="Q219" s="266" t="s">
        <v>1481</v>
      </c>
      <c r="R219" s="266" t="s">
        <v>1482</v>
      </c>
      <c r="S219" s="266" t="s">
        <v>1483</v>
      </c>
      <c r="T219" s="266" t="s">
        <v>1484</v>
      </c>
      <c r="U219" s="266" t="s">
        <v>1485</v>
      </c>
      <c r="V219" s="266" t="s">
        <v>1486</v>
      </c>
      <c r="W219" s="266" t="s">
        <v>1487</v>
      </c>
      <c r="X219" s="266" t="s">
        <v>1488</v>
      </c>
      <c r="Y219" s="266" t="s">
        <v>1489</v>
      </c>
      <c r="Z219" s="266" t="s">
        <v>1490</v>
      </c>
      <c r="AA219" s="266" t="s">
        <v>1491</v>
      </c>
      <c r="AB219" s="266" t="s">
        <v>1491</v>
      </c>
      <c r="AC219" s="266" t="s">
        <v>1492</v>
      </c>
      <c r="AD219" s="266" t="s">
        <v>1493</v>
      </c>
      <c r="AE219" s="266" t="s">
        <v>1494</v>
      </c>
      <c r="AF219" s="266" t="s">
        <v>1495</v>
      </c>
      <c r="AG219" s="266" t="s">
        <v>1497</v>
      </c>
      <c r="AH219" s="266" t="s">
        <v>1496</v>
      </c>
      <c r="AI219" s="266" t="s">
        <v>1529</v>
      </c>
      <c r="AJ219" s="266" t="s">
        <v>1498</v>
      </c>
      <c r="AK219" s="266" t="s">
        <v>1531</v>
      </c>
      <c r="AL219" s="266" t="s">
        <v>1499</v>
      </c>
      <c r="AM219" s="266" t="s">
        <v>1500</v>
      </c>
      <c r="AN219" s="266" t="s">
        <v>1501</v>
      </c>
      <c r="AO219" s="266" t="s">
        <v>1502</v>
      </c>
      <c r="AP219" s="266" t="s">
        <v>1503</v>
      </c>
      <c r="AQ219" s="266" t="s">
        <v>1504</v>
      </c>
      <c r="AR219" s="266" t="s">
        <v>1505</v>
      </c>
      <c r="AS219" s="266" t="s">
        <v>1506</v>
      </c>
      <c r="AT219" s="266" t="s">
        <v>1507</v>
      </c>
      <c r="AU219" s="266" t="s">
        <v>1508</v>
      </c>
      <c r="AV219" s="266" t="s">
        <v>1509</v>
      </c>
      <c r="AW219" s="266" t="s">
        <v>1510</v>
      </c>
      <c r="AX219" s="266" t="s">
        <v>1511</v>
      </c>
      <c r="AY219" s="266" t="s">
        <v>1512</v>
      </c>
      <c r="AZ219" s="266" t="s">
        <v>1513</v>
      </c>
      <c r="BA219" s="266" t="s">
        <v>1514</v>
      </c>
      <c r="BB219" s="266" t="s">
        <v>1515</v>
      </c>
      <c r="BC219" s="266" t="s">
        <v>1516</v>
      </c>
      <c r="BD219" s="266" t="s">
        <v>1517</v>
      </c>
      <c r="BE219" s="266" t="s">
        <v>1518</v>
      </c>
      <c r="BF219" s="266" t="s">
        <v>1519</v>
      </c>
      <c r="BG219" s="266" t="s">
        <v>1520</v>
      </c>
      <c r="BH219" s="266" t="s">
        <v>1521</v>
      </c>
      <c r="BI219" s="266" t="s">
        <v>1522</v>
      </c>
      <c r="BJ219" s="266" t="s">
        <v>1523</v>
      </c>
      <c r="BK219" s="266" t="s">
        <v>1524</v>
      </c>
      <c r="BL219" s="266" t="s">
        <v>1525</v>
      </c>
      <c r="BM219" s="266" t="s">
        <v>1526</v>
      </c>
      <c r="BN219" s="266" t="s">
        <v>1527</v>
      </c>
      <c r="BO219" s="266" t="s">
        <v>1528</v>
      </c>
    </row>
  </sheetData>
  <mergeCells count="10">
    <mergeCell ref="D2:J2"/>
    <mergeCell ref="K2:S2"/>
    <mergeCell ref="AN2:AV2"/>
    <mergeCell ref="AW2:BB2"/>
    <mergeCell ref="BC2:BO2"/>
    <mergeCell ref="T2:W2"/>
    <mergeCell ref="X2:Z2"/>
    <mergeCell ref="AC2:AD2"/>
    <mergeCell ref="AF2:AG2"/>
    <mergeCell ref="AH2:AM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9"/>
  <sheetViews>
    <sheetView topLeftCell="A49" workbookViewId="0">
      <selection activeCell="M69" sqref="M69"/>
    </sheetView>
  </sheetViews>
  <sheetFormatPr defaultColWidth="8.85546875" defaultRowHeight="15"/>
  <cols>
    <col min="2" max="2" width="47.140625" customWidth="1"/>
    <col min="5" max="5" width="18.85546875" style="694" customWidth="1"/>
    <col min="6" max="6" width="31" customWidth="1"/>
  </cols>
  <sheetData>
    <row r="1" spans="1:7" ht="31.5">
      <c r="A1" s="432" t="s">
        <v>238</v>
      </c>
      <c r="B1" s="433" t="s">
        <v>372</v>
      </c>
      <c r="C1" s="433" t="s">
        <v>354</v>
      </c>
      <c r="D1" s="433" t="s">
        <v>357</v>
      </c>
      <c r="E1" s="691" t="s">
        <v>1687</v>
      </c>
      <c r="F1" s="432" t="s">
        <v>1567</v>
      </c>
    </row>
    <row r="2" spans="1:7" ht="15.75">
      <c r="A2" s="432" t="s">
        <v>28</v>
      </c>
      <c r="B2" s="435" t="s">
        <v>1568</v>
      </c>
      <c r="C2" s="436"/>
      <c r="D2" s="437"/>
      <c r="E2" s="692"/>
      <c r="F2" s="439"/>
    </row>
    <row r="3" spans="1:7" ht="15.75">
      <c r="A3" s="440" t="s">
        <v>0</v>
      </c>
      <c r="B3" s="441" t="s">
        <v>1646</v>
      </c>
      <c r="C3" s="442" t="s">
        <v>1570</v>
      </c>
      <c r="D3" s="443">
        <v>1</v>
      </c>
      <c r="E3" s="693">
        <v>44903109.299999997</v>
      </c>
      <c r="F3" s="445" t="s">
        <v>586</v>
      </c>
    </row>
    <row r="4" spans="1:7" ht="15.75">
      <c r="A4" s="446" t="s">
        <v>25</v>
      </c>
      <c r="B4" s="441" t="s">
        <v>1647</v>
      </c>
      <c r="C4" s="442" t="s">
        <v>1570</v>
      </c>
      <c r="D4" s="443">
        <v>1</v>
      </c>
      <c r="E4" s="693">
        <v>58186447.649999999</v>
      </c>
      <c r="F4" s="445" t="s">
        <v>586</v>
      </c>
    </row>
    <row r="5" spans="1:7" ht="15.75">
      <c r="A5" s="446" t="s">
        <v>1648</v>
      </c>
      <c r="B5" s="441" t="s">
        <v>1649</v>
      </c>
      <c r="C5" s="442" t="s">
        <v>1570</v>
      </c>
      <c r="D5" s="447">
        <v>1</v>
      </c>
      <c r="E5" s="693">
        <v>63272998.850000001</v>
      </c>
      <c r="F5" s="445"/>
    </row>
    <row r="6" spans="1:7" ht="15.75">
      <c r="A6" s="446" t="s">
        <v>110</v>
      </c>
      <c r="B6" s="441" t="s">
        <v>1572</v>
      </c>
      <c r="C6" s="442" t="s">
        <v>1570</v>
      </c>
      <c r="D6" s="447">
        <v>1</v>
      </c>
      <c r="E6" s="693">
        <v>88089249.049999997</v>
      </c>
      <c r="F6" s="445" t="s">
        <v>586</v>
      </c>
    </row>
    <row r="7" spans="1:7" ht="15.75">
      <c r="A7" s="446" t="s">
        <v>112</v>
      </c>
      <c r="B7" s="441" t="s">
        <v>1650</v>
      </c>
      <c r="C7" s="442" t="s">
        <v>1570</v>
      </c>
      <c r="D7" s="447">
        <v>1</v>
      </c>
      <c r="E7" s="693">
        <v>74433163.5</v>
      </c>
      <c r="F7" s="445" t="s">
        <v>1574</v>
      </c>
    </row>
    <row r="8" spans="1:7" ht="15.75">
      <c r="A8" s="446" t="s">
        <v>465</v>
      </c>
      <c r="B8" s="441" t="s">
        <v>1651</v>
      </c>
      <c r="C8" s="442" t="s">
        <v>1570</v>
      </c>
      <c r="D8" s="447">
        <v>1</v>
      </c>
      <c r="E8" s="693">
        <v>111199139.59999999</v>
      </c>
      <c r="F8" s="445"/>
    </row>
    <row r="9" spans="1:7" ht="15.75">
      <c r="A9" s="446" t="s">
        <v>468</v>
      </c>
      <c r="B9" s="441" t="s">
        <v>1652</v>
      </c>
      <c r="C9" s="442" t="s">
        <v>1570</v>
      </c>
      <c r="D9" s="447">
        <v>1</v>
      </c>
      <c r="E9" s="693">
        <v>118995615.2</v>
      </c>
      <c r="F9" s="445" t="s">
        <v>1576</v>
      </c>
    </row>
    <row r="10" spans="1:7" ht="15.75">
      <c r="A10" s="446" t="s">
        <v>473</v>
      </c>
      <c r="B10" s="441" t="s">
        <v>1653</v>
      </c>
      <c r="C10" s="442" t="s">
        <v>1570</v>
      </c>
      <c r="D10" s="447"/>
      <c r="E10" s="693">
        <v>97961855.760000005</v>
      </c>
      <c r="F10" s="445"/>
      <c r="G10">
        <v>1</v>
      </c>
    </row>
    <row r="11" spans="1:7" ht="15.75">
      <c r="A11" s="446" t="s">
        <v>474</v>
      </c>
      <c r="B11" s="441" t="s">
        <v>1654</v>
      </c>
      <c r="C11" s="442" t="s">
        <v>1570</v>
      </c>
      <c r="D11" s="447"/>
      <c r="E11" s="693">
        <v>94919154.25</v>
      </c>
      <c r="F11" s="445"/>
      <c r="G11">
        <v>1</v>
      </c>
    </row>
    <row r="12" spans="1:7" ht="15.75">
      <c r="A12" s="446" t="s">
        <v>475</v>
      </c>
      <c r="B12" s="441" t="s">
        <v>1655</v>
      </c>
      <c r="C12" s="442" t="s">
        <v>1570</v>
      </c>
      <c r="D12" s="447"/>
      <c r="E12" s="693">
        <v>84194989.789999992</v>
      </c>
      <c r="F12" s="445"/>
      <c r="G12">
        <v>1</v>
      </c>
    </row>
    <row r="13" spans="1:7" ht="15.75">
      <c r="A13" s="446" t="s">
        <v>468</v>
      </c>
      <c r="B13" s="441" t="s">
        <v>1656</v>
      </c>
      <c r="C13" s="442" t="s">
        <v>1570</v>
      </c>
      <c r="D13" s="447">
        <v>1</v>
      </c>
      <c r="E13" s="693">
        <v>307122926.10000002</v>
      </c>
      <c r="F13" s="445" t="s">
        <v>586</v>
      </c>
    </row>
    <row r="14" spans="1:7" ht="15.75">
      <c r="A14" s="446" t="s">
        <v>468</v>
      </c>
      <c r="B14" s="441" t="s">
        <v>1657</v>
      </c>
      <c r="C14" s="442" t="s">
        <v>1570</v>
      </c>
      <c r="D14" s="447">
        <v>1</v>
      </c>
      <c r="E14" s="693">
        <v>426751193.10000002</v>
      </c>
      <c r="F14" s="445" t="s">
        <v>586</v>
      </c>
    </row>
    <row r="15" spans="1:7" ht="15.75">
      <c r="A15" s="446" t="s">
        <v>473</v>
      </c>
      <c r="B15" s="441" t="s">
        <v>1658</v>
      </c>
      <c r="C15" s="442" t="s">
        <v>1570</v>
      </c>
      <c r="D15" s="447">
        <v>1</v>
      </c>
      <c r="E15" s="693">
        <v>463550418</v>
      </c>
      <c r="F15" s="445" t="s">
        <v>586</v>
      </c>
    </row>
    <row r="16" spans="1:7" ht="15.75">
      <c r="A16" s="446" t="s">
        <v>474</v>
      </c>
      <c r="B16" s="441" t="s">
        <v>1659</v>
      </c>
      <c r="C16" s="442" t="s">
        <v>1570</v>
      </c>
      <c r="D16" s="447">
        <v>1</v>
      </c>
      <c r="E16" s="693">
        <v>585042485.39999998</v>
      </c>
      <c r="F16" s="445" t="s">
        <v>1581</v>
      </c>
    </row>
    <row r="17" spans="1:7" ht="15.75">
      <c r="A17" s="446" t="s">
        <v>1591</v>
      </c>
      <c r="B17" s="441" t="s">
        <v>1660</v>
      </c>
      <c r="C17" s="442" t="s">
        <v>1570</v>
      </c>
      <c r="D17" s="447">
        <v>1</v>
      </c>
      <c r="E17" s="693">
        <v>372162815.54000002</v>
      </c>
      <c r="F17" s="445"/>
    </row>
    <row r="18" spans="1:7" ht="15.75">
      <c r="A18" s="446" t="s">
        <v>1591</v>
      </c>
      <c r="B18" s="441" t="s">
        <v>1661</v>
      </c>
      <c r="C18" s="442" t="s">
        <v>1570</v>
      </c>
      <c r="D18" s="447">
        <v>1</v>
      </c>
      <c r="E18" s="693">
        <v>410588100.64999998</v>
      </c>
      <c r="F18" s="445"/>
    </row>
    <row r="19" spans="1:7" ht="15.75">
      <c r="A19" s="446" t="s">
        <v>1591</v>
      </c>
      <c r="B19" s="441" t="s">
        <v>1662</v>
      </c>
      <c r="C19" s="442" t="s">
        <v>1570</v>
      </c>
      <c r="D19" s="447">
        <v>1</v>
      </c>
      <c r="E19" s="693">
        <v>567486729.14999998</v>
      </c>
      <c r="F19" s="445"/>
    </row>
    <row r="20" spans="1:7" ht="15.75">
      <c r="A20" s="446" t="s">
        <v>475</v>
      </c>
      <c r="B20" s="441" t="s">
        <v>1663</v>
      </c>
      <c r="C20" s="442" t="s">
        <v>1570</v>
      </c>
      <c r="D20" s="447">
        <v>1</v>
      </c>
      <c r="E20" s="693">
        <v>623006203.75</v>
      </c>
      <c r="F20" s="445"/>
    </row>
    <row r="21" spans="1:7" ht="15.75">
      <c r="A21" s="446" t="s">
        <v>1583</v>
      </c>
      <c r="B21" s="441" t="s">
        <v>1664</v>
      </c>
      <c r="C21" s="442" t="s">
        <v>1570</v>
      </c>
      <c r="D21" s="447">
        <v>1</v>
      </c>
      <c r="E21" s="693">
        <v>235392216.59999999</v>
      </c>
      <c r="F21" s="445"/>
      <c r="G21">
        <v>1</v>
      </c>
    </row>
    <row r="22" spans="1:7" ht="15.75">
      <c r="A22" s="446" t="s">
        <v>1583</v>
      </c>
      <c r="B22" s="441" t="s">
        <v>1665</v>
      </c>
      <c r="C22" s="442" t="s">
        <v>1570</v>
      </c>
      <c r="D22" s="447">
        <v>1</v>
      </c>
      <c r="E22" s="693">
        <v>254072943.09999999</v>
      </c>
      <c r="F22" s="445"/>
      <c r="G22">
        <v>1</v>
      </c>
    </row>
    <row r="23" spans="1:7" ht="15.75">
      <c r="A23" s="446" t="s">
        <v>1583</v>
      </c>
      <c r="B23" s="441" t="s">
        <v>1666</v>
      </c>
      <c r="C23" s="442" t="s">
        <v>1570</v>
      </c>
      <c r="D23" s="447">
        <v>1</v>
      </c>
      <c r="E23" s="693">
        <v>211313333.75</v>
      </c>
      <c r="F23" s="445"/>
      <c r="G23">
        <v>1</v>
      </c>
    </row>
    <row r="24" spans="1:7" ht="15.75">
      <c r="A24" s="432" t="s">
        <v>1583</v>
      </c>
      <c r="B24" s="435" t="s">
        <v>1667</v>
      </c>
      <c r="C24" s="436" t="s">
        <v>1570</v>
      </c>
      <c r="D24" s="437">
        <v>1</v>
      </c>
      <c r="E24" s="692">
        <v>169702197.19999999</v>
      </c>
      <c r="F24" s="439"/>
      <c r="G24">
        <v>1</v>
      </c>
    </row>
    <row r="25" spans="1:7" ht="15.75">
      <c r="A25" s="440" t="s">
        <v>1583</v>
      </c>
      <c r="B25" s="441" t="s">
        <v>1668</v>
      </c>
      <c r="C25" s="442" t="s">
        <v>1570</v>
      </c>
      <c r="D25" s="443">
        <v>1</v>
      </c>
      <c r="E25" s="693">
        <v>135767047.80096433</v>
      </c>
      <c r="F25" s="445"/>
      <c r="G25">
        <v>1</v>
      </c>
    </row>
    <row r="26" spans="1:7" ht="15.75">
      <c r="A26" s="440" t="s">
        <v>1583</v>
      </c>
      <c r="B26" s="441" t="s">
        <v>1669</v>
      </c>
      <c r="C26" s="442" t="s">
        <v>1570</v>
      </c>
      <c r="D26" s="443">
        <v>1</v>
      </c>
      <c r="E26" s="693">
        <v>280896507.94999999</v>
      </c>
      <c r="F26" s="445"/>
    </row>
    <row r="27" spans="1:7" ht="15.75">
      <c r="A27" s="448" t="s">
        <v>1583</v>
      </c>
      <c r="B27" s="441" t="s">
        <v>1670</v>
      </c>
      <c r="C27" s="442" t="s">
        <v>1570</v>
      </c>
      <c r="D27" s="443">
        <v>1</v>
      </c>
      <c r="E27" s="693">
        <v>312471798.05000001</v>
      </c>
      <c r="F27" s="445"/>
      <c r="G27">
        <v>1</v>
      </c>
    </row>
    <row r="28" spans="1:7" ht="15.75">
      <c r="A28" s="448" t="s">
        <v>1583</v>
      </c>
      <c r="B28" s="441" t="s">
        <v>1671</v>
      </c>
      <c r="C28" s="442" t="s">
        <v>1570</v>
      </c>
      <c r="D28" s="447">
        <v>1</v>
      </c>
      <c r="E28" s="693">
        <v>120759160.53846434</v>
      </c>
      <c r="F28" s="445"/>
      <c r="G28">
        <v>1</v>
      </c>
    </row>
    <row r="29" spans="1:7" ht="15.75">
      <c r="A29" s="449" t="s">
        <v>1583</v>
      </c>
      <c r="B29" s="450" t="s">
        <v>1672</v>
      </c>
      <c r="C29" s="451" t="s">
        <v>1570</v>
      </c>
      <c r="D29" s="437">
        <v>1</v>
      </c>
      <c r="E29" s="692">
        <v>102164913.06096433</v>
      </c>
      <c r="F29" s="439"/>
      <c r="G29">
        <v>1</v>
      </c>
    </row>
    <row r="30" spans="1:7" ht="15.75">
      <c r="A30" s="440" t="s">
        <v>1583</v>
      </c>
      <c r="B30" s="441" t="s">
        <v>1673</v>
      </c>
      <c r="C30" s="442" t="s">
        <v>1570</v>
      </c>
      <c r="D30" s="443">
        <v>1</v>
      </c>
      <c r="E30" s="693">
        <v>118816534.25096433</v>
      </c>
      <c r="F30" s="445"/>
    </row>
    <row r="31" spans="1:7" ht="15.75">
      <c r="A31" s="440" t="s">
        <v>1585</v>
      </c>
      <c r="B31" s="441" t="s">
        <v>1674</v>
      </c>
      <c r="C31" s="442" t="s">
        <v>1570</v>
      </c>
      <c r="D31" s="443">
        <v>1</v>
      </c>
      <c r="E31" s="693">
        <v>428745681.80000001</v>
      </c>
      <c r="F31" s="445"/>
    </row>
    <row r="32" spans="1:7" ht="15.75">
      <c r="A32" s="448" t="s">
        <v>1585</v>
      </c>
      <c r="B32" s="441" t="s">
        <v>1675</v>
      </c>
      <c r="C32" s="442" t="s">
        <v>1570</v>
      </c>
      <c r="D32" s="443">
        <v>1</v>
      </c>
      <c r="E32" s="693">
        <v>500030428.19999999</v>
      </c>
      <c r="F32" s="445"/>
    </row>
    <row r="33" spans="1:6" ht="15.75">
      <c r="A33" s="448" t="s">
        <v>1587</v>
      </c>
      <c r="B33" s="441" t="s">
        <v>1676</v>
      </c>
      <c r="C33" s="442" t="s">
        <v>1570</v>
      </c>
      <c r="D33" s="447">
        <v>1</v>
      </c>
      <c r="E33" s="693">
        <v>77344114.725964338</v>
      </c>
      <c r="F33" s="445"/>
    </row>
    <row r="34" spans="1:6" ht="15.75">
      <c r="A34" s="448" t="s">
        <v>1589</v>
      </c>
      <c r="B34" s="441" t="s">
        <v>1677</v>
      </c>
      <c r="C34" s="442" t="s">
        <v>1570</v>
      </c>
      <c r="D34" s="447">
        <v>1</v>
      </c>
      <c r="E34" s="693">
        <v>106515793.27596433</v>
      </c>
      <c r="F34" s="445"/>
    </row>
    <row r="35" spans="1:6" ht="15.75">
      <c r="A35" s="448" t="s">
        <v>29</v>
      </c>
      <c r="B35" s="441" t="s">
        <v>1605</v>
      </c>
      <c r="C35" s="442"/>
      <c r="D35" s="447"/>
      <c r="E35" s="693"/>
      <c r="F35" s="445"/>
    </row>
    <row r="36" spans="1:6" ht="15.75">
      <c r="A36" s="448" t="s">
        <v>0</v>
      </c>
      <c r="B36" s="441" t="s">
        <v>1606</v>
      </c>
      <c r="C36" s="442" t="s">
        <v>1570</v>
      </c>
      <c r="D36" s="447">
        <v>1</v>
      </c>
      <c r="E36" s="693">
        <v>22501924.649999999</v>
      </c>
      <c r="F36" s="445"/>
    </row>
    <row r="37" spans="1:6" ht="31.5">
      <c r="A37" s="448" t="s">
        <v>25</v>
      </c>
      <c r="B37" s="441" t="s">
        <v>1607</v>
      </c>
      <c r="C37" s="442" t="s">
        <v>1570</v>
      </c>
      <c r="D37" s="447">
        <v>1</v>
      </c>
      <c r="E37" s="693">
        <v>66669759.600000001</v>
      </c>
      <c r="F37" s="445"/>
    </row>
    <row r="38" spans="1:6" ht="31.5">
      <c r="A38" s="448" t="s">
        <v>25</v>
      </c>
      <c r="B38" s="441" t="s">
        <v>1678</v>
      </c>
      <c r="C38" s="442" t="s">
        <v>1570</v>
      </c>
      <c r="D38" s="447">
        <v>1</v>
      </c>
      <c r="E38" s="693">
        <v>47632602.100000001</v>
      </c>
      <c r="F38" s="445"/>
    </row>
    <row r="39" spans="1:6" ht="31.5">
      <c r="A39" s="448" t="s">
        <v>25</v>
      </c>
      <c r="B39" s="441" t="s">
        <v>1679</v>
      </c>
      <c r="C39" s="442" t="s">
        <v>1570</v>
      </c>
      <c r="D39" s="447">
        <v>1</v>
      </c>
      <c r="E39" s="693">
        <v>35724451.575000003</v>
      </c>
      <c r="F39" s="445"/>
    </row>
    <row r="40" spans="1:6" ht="31.5">
      <c r="A40" s="432" t="s">
        <v>26</v>
      </c>
      <c r="B40" s="435" t="s">
        <v>1608</v>
      </c>
      <c r="C40" s="436" t="s">
        <v>1570</v>
      </c>
      <c r="D40" s="437">
        <v>1</v>
      </c>
      <c r="E40" s="692">
        <v>34075777.649999999</v>
      </c>
      <c r="F40" s="452"/>
    </row>
    <row r="41" spans="1:6" ht="31.5">
      <c r="A41" s="440"/>
      <c r="B41" s="441" t="s">
        <v>1680</v>
      </c>
      <c r="C41" s="442"/>
      <c r="D41" s="443">
        <v>1</v>
      </c>
      <c r="E41" s="693">
        <v>27107547</v>
      </c>
      <c r="F41" s="445"/>
    </row>
    <row r="42" spans="1:6" ht="31.5">
      <c r="A42" s="446" t="s">
        <v>110</v>
      </c>
      <c r="B42" s="441" t="s">
        <v>1609</v>
      </c>
      <c r="C42" s="442" t="s">
        <v>1570</v>
      </c>
      <c r="D42" s="443">
        <v>1</v>
      </c>
      <c r="E42" s="693">
        <v>53265158.350000001</v>
      </c>
      <c r="F42" s="445"/>
    </row>
    <row r="43" spans="1:6" ht="15.75">
      <c r="A43" s="446" t="s">
        <v>30</v>
      </c>
      <c r="B43" s="441" t="s">
        <v>1610</v>
      </c>
      <c r="C43" s="442"/>
      <c r="D43" s="447"/>
      <c r="E43" s="693"/>
      <c r="F43" s="445"/>
    </row>
    <row r="44" spans="1:6" ht="15.75">
      <c r="A44" s="446" t="s">
        <v>0</v>
      </c>
      <c r="B44" s="441" t="s">
        <v>1611</v>
      </c>
      <c r="C44" s="442" t="s">
        <v>1570</v>
      </c>
      <c r="D44" s="447">
        <v>1</v>
      </c>
      <c r="E44" s="693">
        <v>15906353.800000001</v>
      </c>
      <c r="F44" s="445"/>
    </row>
    <row r="45" spans="1:6" ht="15.75">
      <c r="A45" s="446" t="s">
        <v>25</v>
      </c>
      <c r="B45" s="441" t="s">
        <v>1612</v>
      </c>
      <c r="C45" s="442" t="s">
        <v>1570</v>
      </c>
      <c r="D45" s="447">
        <v>1</v>
      </c>
      <c r="E45" s="693">
        <v>38660105.450000003</v>
      </c>
      <c r="F45" s="445"/>
    </row>
    <row r="46" spans="1:6" ht="15.75">
      <c r="A46" s="446" t="s">
        <v>26</v>
      </c>
      <c r="B46" s="441" t="s">
        <v>1613</v>
      </c>
      <c r="C46" s="442" t="s">
        <v>1570</v>
      </c>
      <c r="D46" s="447">
        <v>1</v>
      </c>
      <c r="E46" s="693">
        <v>77789326.950000003</v>
      </c>
      <c r="F46" s="445"/>
    </row>
    <row r="47" spans="1:6" ht="15.75">
      <c r="A47" s="446" t="s">
        <v>110</v>
      </c>
      <c r="B47" s="441" t="s">
        <v>1614</v>
      </c>
      <c r="C47" s="442" t="s">
        <v>1570</v>
      </c>
      <c r="D47" s="447">
        <v>1</v>
      </c>
      <c r="E47" s="693">
        <v>168827373.80000001</v>
      </c>
      <c r="F47" s="445"/>
    </row>
    <row r="48" spans="1:6" ht="15.75">
      <c r="A48" s="432" t="s">
        <v>112</v>
      </c>
      <c r="B48" s="435" t="s">
        <v>1615</v>
      </c>
      <c r="C48" t="s">
        <v>1570</v>
      </c>
      <c r="D48">
        <v>1</v>
      </c>
      <c r="E48" s="694">
        <v>200336245.65000001</v>
      </c>
    </row>
    <row r="49" spans="1:6" ht="15.75">
      <c r="A49" s="440" t="s">
        <v>465</v>
      </c>
      <c r="B49" s="441" t="s">
        <v>1616</v>
      </c>
      <c r="C49" s="442" t="s">
        <v>1570</v>
      </c>
      <c r="D49" s="443">
        <v>1</v>
      </c>
      <c r="E49" s="693">
        <v>204556116.59999999</v>
      </c>
      <c r="F49" s="445"/>
    </row>
    <row r="50" spans="1:6" ht="15.75">
      <c r="A50" s="440" t="s">
        <v>468</v>
      </c>
      <c r="B50" s="441" t="s">
        <v>1617</v>
      </c>
      <c r="C50" s="442" t="s">
        <v>1570</v>
      </c>
      <c r="D50" s="443">
        <v>1</v>
      </c>
      <c r="E50" s="693">
        <v>78115130</v>
      </c>
      <c r="F50" s="445"/>
    </row>
    <row r="51" spans="1:6">
      <c r="A51" t="s">
        <v>473</v>
      </c>
      <c r="B51" t="s">
        <v>1618</v>
      </c>
      <c r="C51" t="s">
        <v>1570</v>
      </c>
      <c r="D51">
        <v>1</v>
      </c>
      <c r="E51" s="694">
        <v>44223112</v>
      </c>
    </row>
    <row r="52" spans="1:6">
      <c r="A52" t="s">
        <v>474</v>
      </c>
      <c r="B52" t="s">
        <v>1619</v>
      </c>
      <c r="C52" t="s">
        <v>1570</v>
      </c>
      <c r="D52">
        <v>1</v>
      </c>
      <c r="E52" s="694">
        <v>78133651.900000006</v>
      </c>
    </row>
    <row r="53" spans="1:6">
      <c r="A53" t="s">
        <v>475</v>
      </c>
      <c r="B53" t="s">
        <v>1620</v>
      </c>
      <c r="C53" t="s">
        <v>1570</v>
      </c>
      <c r="D53">
        <v>1</v>
      </c>
      <c r="E53" s="694">
        <v>137533758.94999999</v>
      </c>
    </row>
    <row r="54" spans="1:6">
      <c r="A54" t="s">
        <v>31</v>
      </c>
      <c r="B54" t="s">
        <v>1621</v>
      </c>
    </row>
    <row r="55" spans="1:6">
      <c r="A55" t="s">
        <v>0</v>
      </c>
      <c r="B55" t="s">
        <v>1681</v>
      </c>
      <c r="C55" t="s">
        <v>1570</v>
      </c>
      <c r="D55">
        <v>1</v>
      </c>
      <c r="E55" s="694">
        <v>120176219</v>
      </c>
    </row>
    <row r="56" spans="1:6">
      <c r="A56" t="s">
        <v>25</v>
      </c>
      <c r="B56" t="s">
        <v>1682</v>
      </c>
      <c r="C56" t="s">
        <v>1570</v>
      </c>
      <c r="D56">
        <v>1</v>
      </c>
      <c r="E56" s="694">
        <v>122000061.5</v>
      </c>
    </row>
    <row r="57" spans="1:6">
      <c r="A57" t="s">
        <v>26</v>
      </c>
      <c r="B57" t="s">
        <v>1683</v>
      </c>
      <c r="C57" t="s">
        <v>1570</v>
      </c>
      <c r="D57">
        <v>1</v>
      </c>
      <c r="E57" s="694">
        <v>129794415.34999999</v>
      </c>
    </row>
    <row r="58" spans="1:6">
      <c r="A58" t="s">
        <v>110</v>
      </c>
      <c r="B58" t="s">
        <v>1625</v>
      </c>
      <c r="C58" t="s">
        <v>1570</v>
      </c>
      <c r="D58">
        <v>1</v>
      </c>
      <c r="E58" s="694">
        <v>94622547.400000006</v>
      </c>
    </row>
    <row r="59" spans="1:6">
      <c r="A59" t="s">
        <v>112</v>
      </c>
      <c r="B59" t="s">
        <v>1626</v>
      </c>
      <c r="C59" t="s">
        <v>1570</v>
      </c>
      <c r="D59">
        <v>1</v>
      </c>
      <c r="E59" s="694">
        <v>111417992.65000001</v>
      </c>
    </row>
    <row r="60" spans="1:6">
      <c r="A60" t="s">
        <v>465</v>
      </c>
      <c r="B60" t="s">
        <v>1627</v>
      </c>
      <c r="C60" t="s">
        <v>1570</v>
      </c>
      <c r="D60">
        <v>1</v>
      </c>
      <c r="E60" s="694">
        <v>52230436.649999999</v>
      </c>
    </row>
    <row r="61" spans="1:6">
      <c r="A61" t="s">
        <v>468</v>
      </c>
      <c r="B61" t="s">
        <v>1628</v>
      </c>
      <c r="C61" t="s">
        <v>1570</v>
      </c>
      <c r="D61">
        <v>1</v>
      </c>
      <c r="E61" s="694">
        <v>48534068.700000003</v>
      </c>
    </row>
    <row r="62" spans="1:6">
      <c r="A62" t="s">
        <v>0</v>
      </c>
      <c r="B62" t="s">
        <v>1684</v>
      </c>
      <c r="C62" t="s">
        <v>1570</v>
      </c>
      <c r="D62">
        <v>1</v>
      </c>
      <c r="E62" s="694">
        <v>103805042.09999999</v>
      </c>
    </row>
    <row r="63" spans="1:6">
      <c r="A63" t="s">
        <v>25</v>
      </c>
      <c r="B63" t="s">
        <v>1685</v>
      </c>
      <c r="C63" t="s">
        <v>1570</v>
      </c>
      <c r="D63">
        <v>1</v>
      </c>
      <c r="E63" s="694">
        <v>105628884.59999999</v>
      </c>
    </row>
    <row r="64" spans="1:6">
      <c r="A64" t="s">
        <v>26</v>
      </c>
      <c r="B64" t="s">
        <v>1686</v>
      </c>
      <c r="C64" t="s">
        <v>1570</v>
      </c>
      <c r="D64">
        <v>1</v>
      </c>
      <c r="E64" s="694">
        <v>113423238.45</v>
      </c>
    </row>
    <row r="65" spans="1:6">
      <c r="A65" t="s">
        <v>330</v>
      </c>
      <c r="B65" t="s">
        <v>1629</v>
      </c>
    </row>
    <row r="66" spans="1:6">
      <c r="A66" t="s">
        <v>0</v>
      </c>
      <c r="B66" t="s">
        <v>1630</v>
      </c>
      <c r="C66" t="s">
        <v>1570</v>
      </c>
      <c r="D66">
        <v>1</v>
      </c>
      <c r="E66" s="694">
        <f>115602468*1.15</f>
        <v>132942838.19999999</v>
      </c>
      <c r="F66" t="s">
        <v>586</v>
      </c>
    </row>
    <row r="67" spans="1:6">
      <c r="A67" t="s">
        <v>0</v>
      </c>
      <c r="B67" t="s">
        <v>1631</v>
      </c>
      <c r="C67" t="s">
        <v>1570</v>
      </c>
      <c r="D67">
        <v>1</v>
      </c>
      <c r="E67" s="694">
        <f>281472468*1.15</f>
        <v>323693338.19999999</v>
      </c>
      <c r="F67" t="s">
        <v>586</v>
      </c>
    </row>
    <row r="68" spans="1:6" ht="30">
      <c r="B68" s="228" t="s">
        <v>479</v>
      </c>
      <c r="E68" s="694">
        <f>25223472*1.15</f>
        <v>29006992.799999997</v>
      </c>
    </row>
    <row r="69" spans="1:6" ht="30">
      <c r="B69" s="228" t="s">
        <v>480</v>
      </c>
      <c r="E69" s="694">
        <f>19200000*1.15</f>
        <v>22080000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A1:J210"/>
  <sheetViews>
    <sheetView topLeftCell="A115" workbookViewId="0">
      <selection activeCell="H121" sqref="H121"/>
    </sheetView>
  </sheetViews>
  <sheetFormatPr defaultColWidth="8.85546875" defaultRowHeight="15"/>
  <cols>
    <col min="1" max="1" width="9.140625" style="106"/>
    <col min="2" max="2" width="46.42578125" style="2" customWidth="1"/>
    <col min="3" max="3" width="39.140625" customWidth="1"/>
    <col min="10" max="10" width="47.140625" style="76" customWidth="1"/>
  </cols>
  <sheetData>
    <row r="1" spans="1:10" ht="15.75">
      <c r="B1" s="2" t="s">
        <v>1807</v>
      </c>
      <c r="C1" t="s">
        <v>1808</v>
      </c>
      <c r="J1" s="436" t="s">
        <v>372</v>
      </c>
    </row>
    <row r="2" spans="1:10" ht="15.75">
      <c r="A2" s="229"/>
      <c r="B2" s="230"/>
      <c r="J2" s="527" t="s">
        <v>1568</v>
      </c>
    </row>
    <row r="3" spans="1:10" ht="15.75">
      <c r="A3" s="223"/>
      <c r="B3" s="230" t="s">
        <v>235</v>
      </c>
      <c r="J3" s="528" t="s">
        <v>1646</v>
      </c>
    </row>
    <row r="4" spans="1:10" ht="15.75">
      <c r="A4" s="223" t="s">
        <v>0</v>
      </c>
      <c r="B4" s="230" t="s">
        <v>218</v>
      </c>
      <c r="J4" s="528" t="s">
        <v>1647</v>
      </c>
    </row>
    <row r="5" spans="1:10" ht="15.75">
      <c r="A5" s="223" t="s">
        <v>0</v>
      </c>
      <c r="B5" s="230" t="s">
        <v>137</v>
      </c>
      <c r="J5" s="528" t="s">
        <v>1649</v>
      </c>
    </row>
    <row r="6" spans="1:10" ht="15.75">
      <c r="A6" s="223" t="s">
        <v>28</v>
      </c>
      <c r="B6" s="230" t="s">
        <v>148</v>
      </c>
      <c r="J6" s="528" t="s">
        <v>1572</v>
      </c>
    </row>
    <row r="7" spans="1:10" ht="15.75">
      <c r="A7" s="223">
        <v>1</v>
      </c>
      <c r="B7" s="151" t="s">
        <v>8</v>
      </c>
      <c r="C7" t="str">
        <f>+J21</f>
        <v>Cột dây co 42m _ Dây co</v>
      </c>
      <c r="J7" s="528" t="s">
        <v>1650</v>
      </c>
    </row>
    <row r="8" spans="1:10" ht="15.75">
      <c r="A8" s="223">
        <f>A7+1</f>
        <v>2</v>
      </c>
      <c r="B8" s="151" t="s">
        <v>9</v>
      </c>
      <c r="C8" t="str">
        <f>+J21</f>
        <v>Cột dây co 42m _ Dây co</v>
      </c>
      <c r="J8" s="528" t="s">
        <v>1651</v>
      </c>
    </row>
    <row r="9" spans="1:10" ht="15.75">
      <c r="A9" s="223">
        <f t="shared" ref="A9:A18" si="0">A8+1</f>
        <v>3</v>
      </c>
      <c r="B9" s="151" t="s">
        <v>10</v>
      </c>
      <c r="C9" s="527" t="str">
        <f>+J24</f>
        <v>Cột dây co 36m _ Dây co</v>
      </c>
      <c r="J9" s="528" t="s">
        <v>1652</v>
      </c>
    </row>
    <row r="10" spans="1:10" ht="15.75">
      <c r="A10" s="223">
        <f t="shared" si="0"/>
        <v>4</v>
      </c>
      <c r="B10" s="151" t="s">
        <v>11</v>
      </c>
      <c r="C10" s="527" t="str">
        <f>+J24</f>
        <v>Cột dây co 36m _ Dây co</v>
      </c>
      <c r="J10" s="528" t="s">
        <v>1653</v>
      </c>
    </row>
    <row r="11" spans="1:10" ht="15.75">
      <c r="A11" s="223">
        <f t="shared" si="0"/>
        <v>5</v>
      </c>
      <c r="B11" s="151" t="s">
        <v>12</v>
      </c>
      <c r="C11" t="str">
        <f>+J21</f>
        <v>Cột dây co 42m _ Dây co</v>
      </c>
      <c r="J11" s="528" t="s">
        <v>1654</v>
      </c>
    </row>
    <row r="12" spans="1:10" ht="15.75">
      <c r="A12" s="223">
        <f t="shared" si="0"/>
        <v>6</v>
      </c>
      <c r="B12" s="151" t="s">
        <v>1554</v>
      </c>
      <c r="C12" t="str">
        <f>+J23</f>
        <v>Cột dây co 48m _ Dây co</v>
      </c>
      <c r="J12" s="528" t="s">
        <v>1655</v>
      </c>
    </row>
    <row r="13" spans="1:10" ht="15.75">
      <c r="A13" s="223">
        <f t="shared" si="0"/>
        <v>7</v>
      </c>
      <c r="B13" s="151" t="s">
        <v>1555</v>
      </c>
      <c r="C13" t="str">
        <f>+J27</f>
        <v>Cột dây co 54m _ Dây co</v>
      </c>
      <c r="J13" s="528" t="s">
        <v>1656</v>
      </c>
    </row>
    <row r="14" spans="1:10" ht="15.75">
      <c r="A14" s="223">
        <f t="shared" si="0"/>
        <v>8</v>
      </c>
      <c r="B14" s="151" t="s">
        <v>1556</v>
      </c>
      <c r="C14" t="str">
        <f>+J28</f>
        <v>Cột dây co 60m _ Dây co</v>
      </c>
      <c r="J14" s="528" t="s">
        <v>1657</v>
      </c>
    </row>
    <row r="15" spans="1:10" ht="15.75">
      <c r="A15" s="223">
        <f>A13+1</f>
        <v>8</v>
      </c>
      <c r="B15" s="151" t="s">
        <v>1553</v>
      </c>
      <c r="C15" t="str">
        <f>+J23</f>
        <v>Cột dây co 48m _ Dây co</v>
      </c>
      <c r="J15" s="528" t="s">
        <v>1658</v>
      </c>
    </row>
    <row r="16" spans="1:10" ht="15.75">
      <c r="A16" s="223">
        <f>A11+1</f>
        <v>6</v>
      </c>
      <c r="B16" s="151" t="s">
        <v>13</v>
      </c>
      <c r="C16" t="str">
        <f>+J21</f>
        <v>Cột dây co 42m _ Dây co</v>
      </c>
      <c r="J16" s="528" t="s">
        <v>1659</v>
      </c>
    </row>
    <row r="17" spans="1:10" ht="15.75">
      <c r="A17" s="223">
        <f t="shared" si="0"/>
        <v>7</v>
      </c>
      <c r="B17" s="151" t="s">
        <v>14</v>
      </c>
      <c r="C17" s="527" t="str">
        <f>+J24</f>
        <v>Cột dây co 36m _ Dây co</v>
      </c>
      <c r="J17" s="528" t="s">
        <v>1660</v>
      </c>
    </row>
    <row r="18" spans="1:10" ht="15.75">
      <c r="A18" s="223">
        <f t="shared" si="0"/>
        <v>8</v>
      </c>
      <c r="B18" s="151" t="s">
        <v>15</v>
      </c>
      <c r="C18" s="527" t="str">
        <f>+J24</f>
        <v>Cột dây co 36m _ Dây co</v>
      </c>
      <c r="J18" s="528" t="s">
        <v>1661</v>
      </c>
    </row>
    <row r="19" spans="1:10" ht="15.75">
      <c r="A19" s="223">
        <v>9</v>
      </c>
      <c r="B19" s="151" t="s">
        <v>1454</v>
      </c>
      <c r="C19" s="528" t="str">
        <f>+J35</f>
        <v>Cột tự đứng 18m (3 đốt 600x600)</v>
      </c>
      <c r="D19">
        <v>1</v>
      </c>
      <c r="J19" s="528" t="s">
        <v>1662</v>
      </c>
    </row>
    <row r="20" spans="1:10" ht="15.75">
      <c r="A20" s="223">
        <v>10</v>
      </c>
      <c r="B20" s="255" t="s">
        <v>1451</v>
      </c>
      <c r="C20" s="528" t="str">
        <f>+J26</f>
        <v>Cột dây co 24m _ Dây co</v>
      </c>
      <c r="J20" s="528" t="s">
        <v>1663</v>
      </c>
    </row>
    <row r="21" spans="1:10" ht="15.75">
      <c r="A21" s="223">
        <v>11</v>
      </c>
      <c r="B21" s="151" t="s">
        <v>1455</v>
      </c>
      <c r="C21" s="528" t="str">
        <f>+J31</f>
        <v>Cột tháp 18m</v>
      </c>
      <c r="D21">
        <v>1</v>
      </c>
      <c r="J21" s="528" t="s">
        <v>1664</v>
      </c>
    </row>
    <row r="22" spans="1:10" ht="15.75">
      <c r="A22" s="256"/>
      <c r="B22" s="257" t="s">
        <v>1783</v>
      </c>
      <c r="C22" s="527" t="s">
        <v>1667</v>
      </c>
      <c r="J22" s="528"/>
    </row>
    <row r="23" spans="1:10" ht="15.75">
      <c r="A23" s="229" t="s">
        <v>29</v>
      </c>
      <c r="B23" s="230" t="s">
        <v>149</v>
      </c>
      <c r="J23" s="528" t="s">
        <v>1665</v>
      </c>
    </row>
    <row r="24" spans="1:10" ht="15.75">
      <c r="A24" s="223">
        <v>1</v>
      </c>
      <c r="B24" s="151" t="s">
        <v>17</v>
      </c>
      <c r="C24" s="528" t="str">
        <f>+J11</f>
        <v xml:space="preserve">Cột dây co 15m trên mái </v>
      </c>
      <c r="D24">
        <v>1</v>
      </c>
      <c r="J24" s="528" t="s">
        <v>1666</v>
      </c>
    </row>
    <row r="25" spans="1:10" ht="15.75">
      <c r="A25" s="223">
        <f t="shared" ref="A25:A31" si="1">A24+1</f>
        <v>2</v>
      </c>
      <c r="B25" s="151" t="s">
        <v>18</v>
      </c>
      <c r="C25" s="528" t="str">
        <f>+J10</f>
        <v xml:space="preserve">Cột dây co 18m trên mái </v>
      </c>
      <c r="D25">
        <v>1</v>
      </c>
      <c r="J25" s="527" t="s">
        <v>1667</v>
      </c>
    </row>
    <row r="26" spans="1:10" ht="15.75">
      <c r="A26" s="223">
        <f t="shared" si="1"/>
        <v>3</v>
      </c>
      <c r="B26" s="151" t="s">
        <v>19</v>
      </c>
      <c r="C26" s="528" t="str">
        <f>+J3</f>
        <v>Trạm cột cóc 3m (3 cột/trạm)</v>
      </c>
      <c r="D26">
        <v>1</v>
      </c>
      <c r="J26" s="528" t="s">
        <v>1668</v>
      </c>
    </row>
    <row r="27" spans="1:10" ht="15.75">
      <c r="A27" s="223">
        <f t="shared" si="1"/>
        <v>4</v>
      </c>
      <c r="B27" s="151" t="s">
        <v>20</v>
      </c>
      <c r="C27" s="528" t="str">
        <f>+J4</f>
        <v>Trạm cột cóc 5m (3 cột/trạm)</v>
      </c>
      <c r="D27">
        <v>1</v>
      </c>
      <c r="J27" s="528" t="s">
        <v>1669</v>
      </c>
    </row>
    <row r="28" spans="1:10" ht="15.75">
      <c r="A28" s="223">
        <f t="shared" si="1"/>
        <v>5</v>
      </c>
      <c r="B28" s="228" t="s">
        <v>24</v>
      </c>
      <c r="C28" s="528" t="str">
        <f>+J7</f>
        <v>Cột tự đứng 9m trên mái (monopole)</v>
      </c>
      <c r="D28">
        <v>1</v>
      </c>
      <c r="J28" s="528" t="s">
        <v>1670</v>
      </c>
    </row>
    <row r="29" spans="1:10" ht="15.75">
      <c r="A29" s="223">
        <f t="shared" si="1"/>
        <v>6</v>
      </c>
      <c r="B29" s="228" t="s">
        <v>21</v>
      </c>
      <c r="C29" s="528" t="str">
        <f>+J6</f>
        <v>Cột ngụy trang bồn nước</v>
      </c>
      <c r="D29">
        <v>1</v>
      </c>
      <c r="J29" s="528" t="s">
        <v>1671</v>
      </c>
    </row>
    <row r="30" spans="1:10" ht="15.75">
      <c r="A30" s="223">
        <f t="shared" si="1"/>
        <v>7</v>
      </c>
      <c r="B30" s="151" t="s">
        <v>22</v>
      </c>
      <c r="C30" s="528" t="str">
        <f>+J6</f>
        <v>Cột ngụy trang bồn nước</v>
      </c>
      <c r="D30">
        <v>1</v>
      </c>
      <c r="J30" s="529" t="s">
        <v>1672</v>
      </c>
    </row>
    <row r="31" spans="1:10" ht="15.75">
      <c r="A31" s="223">
        <f t="shared" si="1"/>
        <v>8</v>
      </c>
      <c r="B31" s="151" t="s">
        <v>23</v>
      </c>
      <c r="C31" s="528" t="str">
        <f>+J6</f>
        <v>Cột ngụy trang bồn nước</v>
      </c>
      <c r="D31">
        <v>1</v>
      </c>
      <c r="J31" s="528" t="s">
        <v>1673</v>
      </c>
    </row>
    <row r="32" spans="1:10" ht="15.75">
      <c r="A32" s="229" t="s">
        <v>30</v>
      </c>
      <c r="B32" s="230" t="s">
        <v>150</v>
      </c>
      <c r="J32" s="528" t="s">
        <v>1674</v>
      </c>
    </row>
    <row r="33" spans="1:10" ht="15.75">
      <c r="A33" s="223">
        <v>1</v>
      </c>
      <c r="B33" s="151" t="s">
        <v>172</v>
      </c>
      <c r="C33" s="528" t="str">
        <f>+J13</f>
        <v>Cột monopole 22m</v>
      </c>
      <c r="J33" s="528" t="s">
        <v>1675</v>
      </c>
    </row>
    <row r="34" spans="1:10" ht="15.75">
      <c r="A34" s="256"/>
      <c r="B34" s="151" t="s">
        <v>1749</v>
      </c>
      <c r="C34" s="528" t="s">
        <v>1658</v>
      </c>
      <c r="J34" s="528"/>
    </row>
    <row r="35" spans="1:10" ht="15.75">
      <c r="A35" s="223">
        <f>A33+1</f>
        <v>2</v>
      </c>
      <c r="B35" s="151" t="s">
        <v>173</v>
      </c>
      <c r="C35" s="528" t="str">
        <f>+J16</f>
        <v>Cột monopole 36m _ XONG</v>
      </c>
      <c r="J35" s="528" t="s">
        <v>1676</v>
      </c>
    </row>
    <row r="36" spans="1:10" ht="15.75">
      <c r="A36" s="223">
        <f t="shared" ref="A36:A43" si="2">A35+1</f>
        <v>3</v>
      </c>
      <c r="B36" s="151" t="s">
        <v>174</v>
      </c>
      <c r="C36" s="528" t="str">
        <f>+J14</f>
        <v>Cột thân thiện 25m</v>
      </c>
      <c r="J36" s="528" t="s">
        <v>1677</v>
      </c>
    </row>
    <row r="37" spans="1:10" ht="15.75">
      <c r="A37" s="223">
        <f t="shared" si="2"/>
        <v>4</v>
      </c>
      <c r="B37" s="151" t="s">
        <v>175</v>
      </c>
      <c r="C37" s="528" t="str">
        <f>+J14</f>
        <v>Cột thân thiện 25m</v>
      </c>
      <c r="J37" s="528" t="s">
        <v>1605</v>
      </c>
    </row>
    <row r="38" spans="1:10" ht="15.75">
      <c r="A38" s="223">
        <f t="shared" si="2"/>
        <v>5</v>
      </c>
      <c r="B38" s="151" t="s">
        <v>176</v>
      </c>
      <c r="J38" s="528" t="s">
        <v>1606</v>
      </c>
    </row>
    <row r="39" spans="1:10" ht="31.5">
      <c r="A39" s="223">
        <f t="shared" si="2"/>
        <v>6</v>
      </c>
      <c r="B39" s="151" t="s">
        <v>177</v>
      </c>
      <c r="J39" s="528" t="s">
        <v>1607</v>
      </c>
    </row>
    <row r="40" spans="1:10" ht="31.5">
      <c r="A40" s="223">
        <f t="shared" si="2"/>
        <v>7</v>
      </c>
      <c r="B40" s="151" t="s">
        <v>178</v>
      </c>
      <c r="C40" s="528" t="str">
        <f>+J14</f>
        <v>Cột thân thiện 25m</v>
      </c>
      <c r="J40" s="528" t="s">
        <v>1678</v>
      </c>
    </row>
    <row r="41" spans="1:10" ht="31.5">
      <c r="A41" s="223">
        <f t="shared" si="2"/>
        <v>8</v>
      </c>
      <c r="B41" s="151" t="s">
        <v>179</v>
      </c>
      <c r="C41" s="528" t="str">
        <f>+J32</f>
        <v>Cột thân thiện 28m (hoa sen/lồng đèn)</v>
      </c>
      <c r="J41" s="528" t="s">
        <v>1679</v>
      </c>
    </row>
    <row r="42" spans="1:10" ht="15.75">
      <c r="A42" s="223">
        <f t="shared" si="2"/>
        <v>9</v>
      </c>
      <c r="B42" s="151" t="s">
        <v>180</v>
      </c>
      <c r="C42" s="528" t="str">
        <f>+J14</f>
        <v>Cột thân thiện 25m</v>
      </c>
      <c r="J42" s="527" t="s">
        <v>1608</v>
      </c>
    </row>
    <row r="43" spans="1:10" ht="31.5">
      <c r="A43" s="223">
        <f t="shared" si="2"/>
        <v>10</v>
      </c>
      <c r="B43" s="151" t="s">
        <v>181</v>
      </c>
      <c r="C43" s="528" t="str">
        <f>+J32</f>
        <v>Cột thân thiện 28m (hoa sen/lồng đèn)</v>
      </c>
      <c r="J43" s="528" t="s">
        <v>1680</v>
      </c>
    </row>
    <row r="44" spans="1:10" ht="31.5">
      <c r="A44" s="223" t="s">
        <v>31</v>
      </c>
      <c r="B44" s="230" t="s">
        <v>194</v>
      </c>
      <c r="J44" s="528" t="s">
        <v>1609</v>
      </c>
    </row>
    <row r="45" spans="1:10" ht="15.75">
      <c r="A45" s="223">
        <v>1</v>
      </c>
      <c r="B45" s="151" t="s">
        <v>195</v>
      </c>
      <c r="J45" s="528" t="s">
        <v>1610</v>
      </c>
    </row>
    <row r="46" spans="1:10" ht="15.75">
      <c r="A46" s="223">
        <f>A45+1</f>
        <v>2</v>
      </c>
      <c r="B46" s="151" t="s">
        <v>196</v>
      </c>
      <c r="J46" s="528" t="s">
        <v>1611</v>
      </c>
    </row>
    <row r="47" spans="1:10" ht="15.75">
      <c r="A47" s="223">
        <f t="shared" ref="A47:A52" si="3">A46+1</f>
        <v>3</v>
      </c>
      <c r="B47" s="151" t="s">
        <v>197</v>
      </c>
      <c r="J47" s="528" t="s">
        <v>1612</v>
      </c>
    </row>
    <row r="48" spans="1:10" ht="15.75">
      <c r="A48" s="223">
        <f t="shared" si="3"/>
        <v>4</v>
      </c>
      <c r="B48" s="151" t="s">
        <v>198</v>
      </c>
      <c r="J48" s="528" t="s">
        <v>1613</v>
      </c>
    </row>
    <row r="49" spans="1:10" ht="15.75">
      <c r="A49" s="223">
        <f t="shared" si="3"/>
        <v>5</v>
      </c>
      <c r="B49" s="151" t="s">
        <v>200</v>
      </c>
      <c r="J49" s="528" t="s">
        <v>1614</v>
      </c>
    </row>
    <row r="50" spans="1:10" ht="15.75">
      <c r="A50" s="223">
        <f t="shared" si="3"/>
        <v>6</v>
      </c>
      <c r="B50" s="151" t="s">
        <v>199</v>
      </c>
      <c r="J50" s="527" t="s">
        <v>1615</v>
      </c>
    </row>
    <row r="51" spans="1:10" ht="15.75">
      <c r="A51" s="223">
        <f t="shared" si="3"/>
        <v>7</v>
      </c>
      <c r="B51" s="151" t="s">
        <v>193</v>
      </c>
      <c r="C51" s="528" t="str">
        <f>+J36</f>
        <v>Cột tự đứng 20m (Bê tông ly tâm)</v>
      </c>
      <c r="J51" s="528" t="s">
        <v>1616</v>
      </c>
    </row>
    <row r="52" spans="1:10" ht="15.75">
      <c r="A52" s="223">
        <f t="shared" si="3"/>
        <v>8</v>
      </c>
      <c r="B52" s="151" t="s">
        <v>192</v>
      </c>
      <c r="C52" s="528" t="str">
        <f>+J36</f>
        <v>Cột tự đứng 20m (Bê tông ly tâm)</v>
      </c>
      <c r="J52" s="528" t="s">
        <v>1617</v>
      </c>
    </row>
    <row r="53" spans="1:10">
      <c r="A53" s="229" t="s">
        <v>31</v>
      </c>
      <c r="B53" s="230" t="s">
        <v>151</v>
      </c>
      <c r="J53" s="76" t="s">
        <v>1618</v>
      </c>
    </row>
    <row r="54" spans="1:10">
      <c r="A54" s="264"/>
      <c r="B54" s="696" t="s">
        <v>1776</v>
      </c>
      <c r="C54" t="s">
        <v>1651</v>
      </c>
    </row>
    <row r="55" spans="1:10">
      <c r="A55" s="264"/>
      <c r="B55" s="696" t="s">
        <v>1777</v>
      </c>
      <c r="C55" t="s">
        <v>1652</v>
      </c>
    </row>
    <row r="56" spans="1:10" ht="15.75">
      <c r="A56" s="223">
        <v>1</v>
      </c>
      <c r="B56" s="151" t="s">
        <v>317</v>
      </c>
      <c r="C56" s="528" t="s">
        <v>1661</v>
      </c>
      <c r="J56" s="76" t="s">
        <v>1619</v>
      </c>
    </row>
    <row r="57" spans="1:10" ht="15.75">
      <c r="A57" s="223">
        <f>A56+1</f>
        <v>2</v>
      </c>
      <c r="B57" s="151" t="s">
        <v>318</v>
      </c>
      <c r="C57" s="528" t="str">
        <f>+J20</f>
        <v>Cột tự đứng 42m</v>
      </c>
      <c r="J57" s="76" t="s">
        <v>1620</v>
      </c>
    </row>
    <row r="58" spans="1:10" ht="15.75">
      <c r="A58" s="223">
        <v>2</v>
      </c>
      <c r="B58" s="151" t="s">
        <v>1557</v>
      </c>
      <c r="C58" s="528" t="str">
        <f>+J20</f>
        <v>Cột tự đứng 42m</v>
      </c>
      <c r="J58" s="76" t="s">
        <v>1621</v>
      </c>
    </row>
    <row r="59" spans="1:10" ht="15.75">
      <c r="A59" s="223">
        <f>A58+1</f>
        <v>3</v>
      </c>
      <c r="B59" s="182" t="s">
        <v>315</v>
      </c>
      <c r="C59" s="528" t="str">
        <f>+J18</f>
        <v>Cột tự đứng 35m thanh giằng</v>
      </c>
      <c r="J59" s="76" t="s">
        <v>1681</v>
      </c>
    </row>
    <row r="60" spans="1:10" ht="15.75">
      <c r="A60" s="223">
        <v>3</v>
      </c>
      <c r="B60" s="151" t="s">
        <v>316</v>
      </c>
      <c r="C60" s="528" t="str">
        <f>+J20</f>
        <v>Cột tự đứng 42m</v>
      </c>
      <c r="J60" s="76" t="s">
        <v>1682</v>
      </c>
    </row>
    <row r="61" spans="1:10" ht="15.75">
      <c r="A61" s="256"/>
      <c r="B61" s="257" t="s">
        <v>1778</v>
      </c>
      <c r="C61" s="697" t="s">
        <v>1660</v>
      </c>
    </row>
    <row r="62" spans="1:10">
      <c r="A62" s="229" t="s">
        <v>219</v>
      </c>
      <c r="B62" s="230" t="s">
        <v>45</v>
      </c>
      <c r="J62" s="76" t="s">
        <v>1683</v>
      </c>
    </row>
    <row r="63" spans="1:10" ht="15.75">
      <c r="A63" s="223">
        <v>1</v>
      </c>
      <c r="B63" s="151" t="s">
        <v>46</v>
      </c>
      <c r="C63" s="528" t="str">
        <f>+J60</f>
        <v>PM lắp ghép C05 dưới đất - thông thường</v>
      </c>
      <c r="J63" s="76" t="s">
        <v>1625</v>
      </c>
    </row>
    <row r="64" spans="1:10" ht="15.75">
      <c r="A64" s="223">
        <f>A63+1</f>
        <v>2</v>
      </c>
      <c r="B64" s="151" t="s">
        <v>1459</v>
      </c>
      <c r="C64" s="528" t="str">
        <f>+J66</f>
        <v>PM minishelter trên mái</v>
      </c>
      <c r="J64" s="76" t="s">
        <v>1626</v>
      </c>
    </row>
    <row r="65" spans="1:10" ht="15.75">
      <c r="A65" s="256">
        <v>3</v>
      </c>
      <c r="B65" s="151" t="s">
        <v>1460</v>
      </c>
      <c r="C65" s="528" t="str">
        <f>+J65</f>
        <v>PM minishelter dưới đất</v>
      </c>
      <c r="J65" s="76" t="s">
        <v>1627</v>
      </c>
    </row>
    <row r="66" spans="1:10" ht="15.75">
      <c r="A66" s="223">
        <v>4</v>
      </c>
      <c r="B66" s="228" t="s">
        <v>147</v>
      </c>
      <c r="C66" s="528" t="str">
        <f>+J59</f>
        <v>PM lắp ghép C05 trên mái</v>
      </c>
      <c r="J66" s="76" t="s">
        <v>1628</v>
      </c>
    </row>
    <row r="67" spans="1:10">
      <c r="A67" s="229" t="s">
        <v>220</v>
      </c>
      <c r="B67" s="230" t="s">
        <v>109</v>
      </c>
    </row>
    <row r="68" spans="1:10">
      <c r="A68" s="223">
        <v>1</v>
      </c>
      <c r="B68" s="228" t="s">
        <v>152</v>
      </c>
    </row>
    <row r="69" spans="1:10">
      <c r="A69" s="223">
        <f>+A68+1</f>
        <v>2</v>
      </c>
      <c r="B69" s="228" t="s">
        <v>153</v>
      </c>
      <c r="J69" s="76" t="s">
        <v>1684</v>
      </c>
    </row>
    <row r="70" spans="1:10">
      <c r="A70" s="223">
        <f t="shared" ref="A70:A75" si="4">+A69+1</f>
        <v>3</v>
      </c>
      <c r="B70" s="228" t="s">
        <v>154</v>
      </c>
      <c r="J70" s="76" t="s">
        <v>1685</v>
      </c>
    </row>
    <row r="71" spans="1:10">
      <c r="A71" s="223">
        <f t="shared" si="4"/>
        <v>4</v>
      </c>
      <c r="B71" s="228" t="s">
        <v>155</v>
      </c>
      <c r="J71" s="76" t="s">
        <v>1686</v>
      </c>
    </row>
    <row r="72" spans="1:10" ht="30">
      <c r="A72" s="223">
        <f t="shared" si="4"/>
        <v>5</v>
      </c>
      <c r="B72" s="228" t="s">
        <v>156</v>
      </c>
      <c r="J72" s="76" t="s">
        <v>1629</v>
      </c>
    </row>
    <row r="73" spans="1:10" ht="30">
      <c r="A73" s="223">
        <f t="shared" si="4"/>
        <v>6</v>
      </c>
      <c r="B73" s="228" t="s">
        <v>157</v>
      </c>
      <c r="J73" s="76" t="s">
        <v>1630</v>
      </c>
    </row>
    <row r="74" spans="1:10" ht="30">
      <c r="A74" s="223">
        <f t="shared" si="4"/>
        <v>7</v>
      </c>
      <c r="B74" s="228" t="s">
        <v>158</v>
      </c>
      <c r="J74" s="76" t="s">
        <v>1631</v>
      </c>
    </row>
    <row r="75" spans="1:10" ht="30">
      <c r="A75" s="223">
        <f t="shared" si="4"/>
        <v>8</v>
      </c>
      <c r="B75" s="228" t="s">
        <v>159</v>
      </c>
    </row>
    <row r="76" spans="1:10">
      <c r="A76" s="223">
        <v>9</v>
      </c>
      <c r="B76" s="151" t="s">
        <v>1453</v>
      </c>
    </row>
    <row r="77" spans="1:10">
      <c r="A77" s="223">
        <v>10</v>
      </c>
      <c r="B77" s="255" t="s">
        <v>1452</v>
      </c>
    </row>
    <row r="78" spans="1:10">
      <c r="A78" s="223">
        <f>+A77+1</f>
        <v>11</v>
      </c>
      <c r="B78" s="228" t="s">
        <v>1558</v>
      </c>
    </row>
    <row r="79" spans="1:10">
      <c r="A79" s="223">
        <f>+A78+1</f>
        <v>12</v>
      </c>
      <c r="B79" s="228" t="s">
        <v>1559</v>
      </c>
    </row>
    <row r="80" spans="1:10">
      <c r="A80" s="223">
        <f>+A79+1</f>
        <v>13</v>
      </c>
      <c r="B80" s="228" t="s">
        <v>1560</v>
      </c>
    </row>
    <row r="81" spans="1:2">
      <c r="A81" s="223"/>
      <c r="B81" s="230" t="s">
        <v>16</v>
      </c>
    </row>
    <row r="82" spans="1:2" ht="30">
      <c r="A82" s="223">
        <v>1</v>
      </c>
      <c r="B82" s="228" t="s">
        <v>189</v>
      </c>
    </row>
    <row r="83" spans="1:2">
      <c r="A83" s="223">
        <f>A82+1</f>
        <v>2</v>
      </c>
      <c r="B83" s="151" t="s">
        <v>160</v>
      </c>
    </row>
    <row r="84" spans="1:2">
      <c r="A84" s="223">
        <f>A83+1</f>
        <v>3</v>
      </c>
      <c r="B84" s="151" t="s">
        <v>161</v>
      </c>
    </row>
    <row r="85" spans="1:2">
      <c r="A85" s="223">
        <f t="shared" ref="A85:A90" si="5">A84+1</f>
        <v>4</v>
      </c>
      <c r="B85" s="151" t="s">
        <v>162</v>
      </c>
    </row>
    <row r="86" spans="1:2">
      <c r="A86" s="223">
        <f>A85+1</f>
        <v>5</v>
      </c>
      <c r="B86" s="228" t="s">
        <v>184</v>
      </c>
    </row>
    <row r="87" spans="1:2">
      <c r="A87" s="223">
        <f t="shared" si="5"/>
        <v>6</v>
      </c>
      <c r="B87" s="228" t="s">
        <v>163</v>
      </c>
    </row>
    <row r="88" spans="1:2" ht="30">
      <c r="A88" s="223">
        <f t="shared" si="5"/>
        <v>7</v>
      </c>
      <c r="B88" s="228" t="s">
        <v>190</v>
      </c>
    </row>
    <row r="89" spans="1:2" ht="30">
      <c r="A89" s="223">
        <f t="shared" si="5"/>
        <v>8</v>
      </c>
      <c r="B89" s="228" t="s">
        <v>191</v>
      </c>
    </row>
    <row r="90" spans="1:2">
      <c r="A90" s="223">
        <f t="shared" si="5"/>
        <v>9</v>
      </c>
      <c r="B90" s="151" t="s">
        <v>164</v>
      </c>
    </row>
    <row r="91" spans="1:2">
      <c r="A91" s="223"/>
      <c r="B91" s="230" t="s">
        <v>27</v>
      </c>
    </row>
    <row r="92" spans="1:2" ht="30">
      <c r="A92" s="223">
        <v>1</v>
      </c>
      <c r="B92" s="228" t="s">
        <v>182</v>
      </c>
    </row>
    <row r="93" spans="1:2" ht="30">
      <c r="A93" s="223">
        <f>A92+1</f>
        <v>2</v>
      </c>
      <c r="B93" s="228" t="s">
        <v>183</v>
      </c>
    </row>
    <row r="94" spans="1:2" ht="30">
      <c r="A94" s="223">
        <f t="shared" ref="A94:A101" si="6">A93+1</f>
        <v>3</v>
      </c>
      <c r="B94" s="228" t="s">
        <v>185</v>
      </c>
    </row>
    <row r="95" spans="1:2" ht="30">
      <c r="A95" s="223">
        <f t="shared" si="6"/>
        <v>4</v>
      </c>
      <c r="B95" s="228" t="s">
        <v>186</v>
      </c>
    </row>
    <row r="96" spans="1:2" ht="30">
      <c r="A96" s="223">
        <f t="shared" si="6"/>
        <v>5</v>
      </c>
      <c r="B96" s="228" t="s">
        <v>187</v>
      </c>
    </row>
    <row r="97" spans="1:2" ht="30">
      <c r="A97" s="223">
        <f t="shared" si="6"/>
        <v>6</v>
      </c>
      <c r="B97" s="228" t="s">
        <v>188</v>
      </c>
    </row>
    <row r="98" spans="1:2">
      <c r="A98" s="223">
        <f t="shared" si="6"/>
        <v>7</v>
      </c>
      <c r="B98" s="228" t="s">
        <v>143</v>
      </c>
    </row>
    <row r="99" spans="1:2" ht="30">
      <c r="A99" s="223">
        <f t="shared" si="6"/>
        <v>8</v>
      </c>
      <c r="B99" s="245" t="s">
        <v>208</v>
      </c>
    </row>
    <row r="100" spans="1:2">
      <c r="A100" s="223">
        <f t="shared" si="6"/>
        <v>9</v>
      </c>
      <c r="B100" s="151" t="s">
        <v>141</v>
      </c>
    </row>
    <row r="101" spans="1:2">
      <c r="A101" s="223">
        <f t="shared" si="6"/>
        <v>10</v>
      </c>
      <c r="B101" s="151" t="s">
        <v>142</v>
      </c>
    </row>
    <row r="102" spans="1:2">
      <c r="A102" s="223" t="s">
        <v>31</v>
      </c>
      <c r="B102" s="230" t="s">
        <v>442</v>
      </c>
    </row>
    <row r="103" spans="1:2" ht="45">
      <c r="A103" s="223">
        <v>1</v>
      </c>
      <c r="B103" s="228" t="s">
        <v>319</v>
      </c>
    </row>
    <row r="104" spans="1:2" ht="45">
      <c r="A104" s="223">
        <f>A103+1</f>
        <v>2</v>
      </c>
      <c r="B104" s="228" t="s">
        <v>320</v>
      </c>
    </row>
    <row r="105" spans="1:2" ht="45">
      <c r="A105" s="223">
        <f t="shared" ref="A105:A110" si="7">A104+1</f>
        <v>3</v>
      </c>
      <c r="B105" s="228" t="s">
        <v>321</v>
      </c>
    </row>
    <row r="106" spans="1:2" ht="45">
      <c r="A106" s="223">
        <f t="shared" si="7"/>
        <v>4</v>
      </c>
      <c r="B106" s="228" t="s">
        <v>322</v>
      </c>
    </row>
    <row r="107" spans="1:2" ht="45">
      <c r="A107" s="223">
        <f t="shared" si="7"/>
        <v>5</v>
      </c>
      <c r="B107" s="228" t="s">
        <v>323</v>
      </c>
    </row>
    <row r="108" spans="1:2" ht="45">
      <c r="A108" s="223">
        <f t="shared" si="7"/>
        <v>6</v>
      </c>
      <c r="B108" s="228" t="s">
        <v>324</v>
      </c>
    </row>
    <row r="109" spans="1:2" ht="30">
      <c r="A109" s="223">
        <f t="shared" si="7"/>
        <v>7</v>
      </c>
      <c r="B109" s="228" t="s">
        <v>307</v>
      </c>
    </row>
    <row r="110" spans="1:2" ht="30">
      <c r="A110" s="223">
        <f t="shared" si="7"/>
        <v>8</v>
      </c>
      <c r="B110" s="228" t="s">
        <v>308</v>
      </c>
    </row>
    <row r="111" spans="1:2">
      <c r="A111" s="223"/>
      <c r="B111" s="230" t="s">
        <v>325</v>
      </c>
    </row>
    <row r="112" spans="1:2">
      <c r="A112" s="223"/>
      <c r="B112" s="151" t="s">
        <v>326</v>
      </c>
    </row>
    <row r="113" spans="1:3">
      <c r="A113" s="223"/>
      <c r="B113" s="151" t="s">
        <v>327</v>
      </c>
    </row>
    <row r="114" spans="1:3">
      <c r="A114" s="223"/>
      <c r="B114" s="151" t="s">
        <v>328</v>
      </c>
    </row>
    <row r="115" spans="1:3">
      <c r="A115" s="223"/>
      <c r="B115" s="151" t="s">
        <v>329</v>
      </c>
    </row>
    <row r="116" spans="1:3">
      <c r="A116" s="223"/>
      <c r="B116" s="151" t="s">
        <v>1450</v>
      </c>
    </row>
    <row r="117" spans="1:3">
      <c r="A117" s="223"/>
      <c r="B117" s="151" t="s">
        <v>1561</v>
      </c>
    </row>
    <row r="118" spans="1:3">
      <c r="A118" s="229" t="s">
        <v>221</v>
      </c>
      <c r="B118" s="230" t="s">
        <v>111</v>
      </c>
    </row>
    <row r="119" spans="1:3">
      <c r="A119" s="223">
        <v>1</v>
      </c>
      <c r="B119" s="151" t="s">
        <v>476</v>
      </c>
      <c r="C119" t="s">
        <v>1682</v>
      </c>
    </row>
    <row r="120" spans="1:3" ht="15.75">
      <c r="A120" s="223">
        <f>A119+1</f>
        <v>2</v>
      </c>
      <c r="B120" s="151" t="s">
        <v>477</v>
      </c>
      <c r="C120" s="528" t="s">
        <v>1628</v>
      </c>
    </row>
    <row r="121" spans="1:3" ht="30">
      <c r="A121" s="223">
        <f>A120+1</f>
        <v>3</v>
      </c>
      <c r="B121" s="228" t="s">
        <v>478</v>
      </c>
      <c r="C121" t="s">
        <v>1681</v>
      </c>
    </row>
    <row r="122" spans="1:3" ht="30">
      <c r="A122" s="223">
        <f>A121+1</f>
        <v>4</v>
      </c>
      <c r="B122" s="228" t="s">
        <v>479</v>
      </c>
      <c r="C122" s="228" t="s">
        <v>479</v>
      </c>
    </row>
    <row r="123" spans="1:3" ht="30">
      <c r="A123" s="223">
        <f>A122+1</f>
        <v>5</v>
      </c>
      <c r="B123" s="228" t="s">
        <v>480</v>
      </c>
      <c r="C123" s="228" t="s">
        <v>480</v>
      </c>
    </row>
    <row r="124" spans="1:3" ht="15.75">
      <c r="A124" s="256"/>
      <c r="B124" s="634" t="s">
        <v>1773</v>
      </c>
      <c r="C124" s="697" t="s">
        <v>1625</v>
      </c>
    </row>
    <row r="125" spans="1:3" ht="15.75">
      <c r="A125" s="256"/>
      <c r="B125" s="634" t="s">
        <v>1774</v>
      </c>
      <c r="C125" s="697" t="s">
        <v>1626</v>
      </c>
    </row>
    <row r="126" spans="1:3">
      <c r="A126" s="229" t="s">
        <v>222</v>
      </c>
      <c r="B126" s="230" t="s">
        <v>113</v>
      </c>
    </row>
    <row r="127" spans="1:3" ht="31.5">
      <c r="A127" s="223">
        <v>1</v>
      </c>
      <c r="B127" s="151" t="s">
        <v>144</v>
      </c>
      <c r="C127" s="528" t="s">
        <v>1608</v>
      </c>
    </row>
    <row r="128" spans="1:3" ht="31.5">
      <c r="A128" s="223">
        <f>A127+1</f>
        <v>2</v>
      </c>
      <c r="B128" s="151" t="s">
        <v>145</v>
      </c>
      <c r="C128" s="528" t="s">
        <v>1608</v>
      </c>
    </row>
    <row r="129" spans="1:10" ht="31.5">
      <c r="A129" s="223">
        <f t="shared" ref="A129:A137" si="8">A128+1</f>
        <v>3</v>
      </c>
      <c r="B129" s="151" t="s">
        <v>146</v>
      </c>
      <c r="C129" s="528" t="s">
        <v>1608</v>
      </c>
      <c r="J129" s="528" t="s">
        <v>1606</v>
      </c>
    </row>
    <row r="130" spans="1:10" ht="31.5">
      <c r="A130" s="223">
        <f t="shared" si="8"/>
        <v>4</v>
      </c>
      <c r="B130" s="151" t="s">
        <v>114</v>
      </c>
      <c r="C130" s="528" t="str">
        <f>+J133</f>
        <v>TH tiếp địa cột anten sử dụng 12 cọc thép L63x5)</v>
      </c>
      <c r="J130" s="528" t="s">
        <v>1607</v>
      </c>
    </row>
    <row r="131" spans="1:10" ht="31.5">
      <c r="A131" s="223">
        <f t="shared" si="8"/>
        <v>5</v>
      </c>
      <c r="B131" s="151" t="s">
        <v>115</v>
      </c>
      <c r="C131" s="528" t="str">
        <f>+J133</f>
        <v>TH tiếp địa cột anten sử dụng 12 cọc thép L63x5)</v>
      </c>
      <c r="J131" s="528" t="s">
        <v>1678</v>
      </c>
    </row>
    <row r="132" spans="1:10" ht="31.5">
      <c r="A132" s="223">
        <f t="shared" si="8"/>
        <v>6</v>
      </c>
      <c r="B132" s="151" t="s">
        <v>117</v>
      </c>
      <c r="C132" s="633" t="str">
        <f>+J135</f>
        <v>TH tiếp địa cột anten sử dụng hố tiếp địa GEM kích thước 1,5*1,5*1m</v>
      </c>
      <c r="J132" s="528" t="s">
        <v>1679</v>
      </c>
    </row>
    <row r="133" spans="1:10" ht="31.5">
      <c r="A133" s="223">
        <f t="shared" si="8"/>
        <v>7</v>
      </c>
      <c r="B133" s="151" t="s">
        <v>118</v>
      </c>
      <c r="C133" s="528" t="str">
        <f>+J135</f>
        <v>TH tiếp địa cột anten sử dụng hố tiếp địa GEM kích thước 1,5*1,5*1m</v>
      </c>
      <c r="J133" s="527" t="s">
        <v>1608</v>
      </c>
    </row>
    <row r="134" spans="1:10" ht="31.5">
      <c r="A134" s="223">
        <f t="shared" si="8"/>
        <v>8</v>
      </c>
      <c r="B134" s="151" t="s">
        <v>119</v>
      </c>
      <c r="C134" s="528" t="str">
        <f>+J135</f>
        <v>TH tiếp địa cột anten sử dụng hố tiếp địa GEM kích thước 1,5*1,5*1m</v>
      </c>
      <c r="J134" s="528" t="s">
        <v>1680</v>
      </c>
    </row>
    <row r="135" spans="1:10" ht="31.5">
      <c r="A135" s="223">
        <f t="shared" si="8"/>
        <v>9</v>
      </c>
      <c r="B135" s="151" t="s">
        <v>120</v>
      </c>
      <c r="C135" s="528" t="str">
        <f>+J135</f>
        <v>TH tiếp địa cột anten sử dụng hố tiếp địa GEM kích thước 1,5*1,5*1m</v>
      </c>
      <c r="J135" s="528" t="s">
        <v>1609</v>
      </c>
    </row>
    <row r="136" spans="1:10" ht="15.75">
      <c r="A136" s="223">
        <f t="shared" si="8"/>
        <v>10</v>
      </c>
      <c r="B136" s="151" t="s">
        <v>116</v>
      </c>
      <c r="C136" s="528" t="str">
        <f>+J129</f>
        <v>Tiếp địa khoan thả cọc cho cột trên mái</v>
      </c>
      <c r="J136" s="528" t="s">
        <v>1610</v>
      </c>
    </row>
    <row r="137" spans="1:10" ht="30">
      <c r="A137" s="223">
        <f t="shared" si="8"/>
        <v>11</v>
      </c>
      <c r="B137" s="228" t="s">
        <v>121</v>
      </c>
      <c r="C137" s="441" t="s">
        <v>1606</v>
      </c>
      <c r="J137" s="528" t="s">
        <v>1611</v>
      </c>
    </row>
    <row r="138" spans="1:10" ht="31.5">
      <c r="A138" s="256"/>
      <c r="B138" s="528" t="s">
        <v>1680</v>
      </c>
      <c r="C138" s="528" t="s">
        <v>1680</v>
      </c>
      <c r="J138" s="528" t="s">
        <v>1612</v>
      </c>
    </row>
    <row r="139" spans="1:10" ht="15.75">
      <c r="A139" s="229" t="s">
        <v>223</v>
      </c>
      <c r="B139" s="230" t="s">
        <v>122</v>
      </c>
      <c r="J139" s="528" t="s">
        <v>1613</v>
      </c>
    </row>
    <row r="140" spans="1:10" ht="15.75">
      <c r="A140" s="229">
        <v>1</v>
      </c>
      <c r="B140" s="230" t="s">
        <v>123</v>
      </c>
      <c r="J140" s="528" t="s">
        <v>1614</v>
      </c>
    </row>
    <row r="141" spans="1:10" ht="31.5">
      <c r="A141" s="223" t="s">
        <v>1</v>
      </c>
      <c r="B141" s="151" t="s">
        <v>443</v>
      </c>
      <c r="C141" s="528" t="str">
        <f>+J137</f>
        <v>Thi công kéo điện hạ thế 1 pha KC &lt; 100m</v>
      </c>
      <c r="J141" s="527" t="s">
        <v>1615</v>
      </c>
    </row>
    <row r="142" spans="1:10" ht="31.5">
      <c r="A142" s="223" t="s">
        <v>2</v>
      </c>
      <c r="B142" s="151" t="s">
        <v>444</v>
      </c>
      <c r="C142" s="528" t="str">
        <f>+J137</f>
        <v>Thi công kéo điện hạ thế 1 pha KC &lt; 100m</v>
      </c>
      <c r="J142" s="528" t="s">
        <v>1616</v>
      </c>
    </row>
    <row r="143" spans="1:10" ht="15.75">
      <c r="A143" s="223" t="s">
        <v>3</v>
      </c>
      <c r="B143" s="151" t="s">
        <v>445</v>
      </c>
      <c r="C143" s="528" t="str">
        <f>+J138</f>
        <v>Thi công kéo điện hạ thế 1 pha KC 200m</v>
      </c>
      <c r="J143" s="528" t="s">
        <v>1617</v>
      </c>
    </row>
    <row r="144" spans="1:10" ht="31.5">
      <c r="A144" s="223" t="s">
        <v>4</v>
      </c>
      <c r="B144" s="151" t="s">
        <v>446</v>
      </c>
      <c r="C144" s="528" t="s">
        <v>1611</v>
      </c>
      <c r="J144" s="528" t="s">
        <v>1613</v>
      </c>
    </row>
    <row r="145" spans="1:10" ht="31.5">
      <c r="A145" s="223" t="s">
        <v>5</v>
      </c>
      <c r="B145" s="151" t="s">
        <v>447</v>
      </c>
      <c r="C145" s="528" t="str">
        <f>+J137</f>
        <v>Thi công kéo điện hạ thế 1 pha KC &lt; 100m</v>
      </c>
      <c r="J145" s="528" t="s">
        <v>1614</v>
      </c>
    </row>
    <row r="146" spans="1:10" ht="15.75">
      <c r="A146" s="223" t="s">
        <v>6</v>
      </c>
      <c r="B146" s="151" t="s">
        <v>448</v>
      </c>
      <c r="C146" s="528" t="str">
        <f>+J138</f>
        <v>Thi công kéo điện hạ thế 1 pha KC 200m</v>
      </c>
      <c r="J146" s="528" t="s">
        <v>1615</v>
      </c>
    </row>
    <row r="147" spans="1:10" ht="15.75">
      <c r="A147" s="223" t="s">
        <v>7</v>
      </c>
      <c r="B147" s="151" t="s">
        <v>449</v>
      </c>
      <c r="C147" s="528" t="str">
        <f>+J139</f>
        <v>Thi công kéo điện hạ thế 1 pha KC 400m</v>
      </c>
      <c r="J147" s="528" t="s">
        <v>1616</v>
      </c>
    </row>
    <row r="148" spans="1:10" ht="15.75">
      <c r="A148" s="223" t="s">
        <v>450</v>
      </c>
      <c r="B148" s="151" t="s">
        <v>451</v>
      </c>
      <c r="C148" s="528" t="str">
        <f>+J139</f>
        <v>Thi công kéo điện hạ thế 1 pha KC 400m</v>
      </c>
      <c r="J148" s="528" t="s">
        <v>1617</v>
      </c>
    </row>
    <row r="149" spans="1:10" ht="15.75">
      <c r="A149" s="223" t="s">
        <v>452</v>
      </c>
      <c r="B149" s="151" t="s">
        <v>453</v>
      </c>
      <c r="C149" s="528" t="str">
        <f>+J139</f>
        <v>Thi công kéo điện hạ thế 1 pha KC 400m</v>
      </c>
      <c r="J149" s="528" t="s">
        <v>1618</v>
      </c>
    </row>
    <row r="150" spans="1:10" ht="15.75">
      <c r="A150" s="223"/>
      <c r="B150" s="151"/>
      <c r="J150" s="528" t="s">
        <v>1619</v>
      </c>
    </row>
    <row r="151" spans="1:10" ht="15.75">
      <c r="A151" s="229">
        <v>2</v>
      </c>
      <c r="B151" s="230" t="s">
        <v>124</v>
      </c>
      <c r="J151" s="528" t="s">
        <v>1620</v>
      </c>
    </row>
    <row r="152" spans="1:10" ht="15.75">
      <c r="A152" s="223" t="s">
        <v>131</v>
      </c>
      <c r="B152" s="151" t="s">
        <v>125</v>
      </c>
      <c r="C152" s="528" t="str">
        <f>+J149</f>
        <v>Thi công điện hạ thế ngầm 1 pha 50m</v>
      </c>
    </row>
    <row r="153" spans="1:10" ht="15.75">
      <c r="A153" s="223" t="s">
        <v>132</v>
      </c>
      <c r="B153" s="151" t="s">
        <v>126</v>
      </c>
      <c r="C153" s="528" t="str">
        <f>+J150</f>
        <v>Thi công điện hạ thế ngầm 1 pha 100m</v>
      </c>
    </row>
    <row r="154" spans="1:10" ht="15.75">
      <c r="A154" s="223" t="s">
        <v>133</v>
      </c>
      <c r="B154" s="151" t="s">
        <v>127</v>
      </c>
      <c r="C154" s="528" t="str">
        <f>+J151</f>
        <v>Thi công điện hạ thế ngầm 1 pha 200m</v>
      </c>
    </row>
    <row r="155" spans="1:10">
      <c r="A155" s="223" t="s">
        <v>134</v>
      </c>
      <c r="B155" s="151" t="s">
        <v>128</v>
      </c>
    </row>
    <row r="156" spans="1:10">
      <c r="A156" s="223" t="s">
        <v>135</v>
      </c>
      <c r="B156" s="151" t="s">
        <v>129</v>
      </c>
    </row>
    <row r="157" spans="1:10">
      <c r="A157" s="223" t="s">
        <v>136</v>
      </c>
      <c r="B157" s="151" t="s">
        <v>130</v>
      </c>
    </row>
    <row r="158" spans="1:10">
      <c r="A158" s="229" t="s">
        <v>224</v>
      </c>
      <c r="B158" s="230" t="s">
        <v>138</v>
      </c>
    </row>
    <row r="159" spans="1:10">
      <c r="A159" s="229" t="s">
        <v>28</v>
      </c>
      <c r="B159" s="230" t="s">
        <v>309</v>
      </c>
    </row>
    <row r="160" spans="1:10">
      <c r="A160" s="223">
        <v>1</v>
      </c>
      <c r="B160" s="151" t="s">
        <v>139</v>
      </c>
    </row>
    <row r="161" spans="1:2">
      <c r="A161" s="223">
        <f>+A160+1</f>
        <v>2</v>
      </c>
      <c r="B161" s="151" t="s">
        <v>140</v>
      </c>
    </row>
    <row r="162" spans="1:2">
      <c r="A162" s="223">
        <v>3</v>
      </c>
      <c r="B162" s="151" t="s">
        <v>1449</v>
      </c>
    </row>
    <row r="163" spans="1:2">
      <c r="A163" s="223">
        <v>4</v>
      </c>
      <c r="B163" s="255" t="s">
        <v>1457</v>
      </c>
    </row>
    <row r="164" spans="1:2">
      <c r="A164" s="223">
        <v>1</v>
      </c>
      <c r="B164" s="151" t="s">
        <v>1562</v>
      </c>
    </row>
    <row r="165" spans="1:2">
      <c r="A165" s="223">
        <v>1</v>
      </c>
      <c r="B165" s="151" t="s">
        <v>1563</v>
      </c>
    </row>
    <row r="166" spans="1:2">
      <c r="A166" s="223">
        <v>1</v>
      </c>
      <c r="B166" s="151" t="s">
        <v>1564</v>
      </c>
    </row>
    <row r="167" spans="1:2">
      <c r="A167" s="229" t="s">
        <v>29</v>
      </c>
      <c r="B167" s="230" t="s">
        <v>27</v>
      </c>
    </row>
    <row r="168" spans="1:2">
      <c r="A168" s="223">
        <v>1</v>
      </c>
      <c r="B168" s="151" t="s">
        <v>166</v>
      </c>
    </row>
    <row r="169" spans="1:2">
      <c r="A169" s="223">
        <f>+A168+1</f>
        <v>2</v>
      </c>
      <c r="B169" s="228" t="s">
        <v>168</v>
      </c>
    </row>
    <row r="170" spans="1:2">
      <c r="A170" s="223">
        <f>+A169+1</f>
        <v>3</v>
      </c>
      <c r="B170" s="228" t="s">
        <v>209</v>
      </c>
    </row>
    <row r="171" spans="1:2">
      <c r="A171" s="223">
        <f>+A170+1</f>
        <v>4</v>
      </c>
      <c r="B171" s="228" t="s">
        <v>169</v>
      </c>
    </row>
    <row r="172" spans="1:2">
      <c r="A172" s="223">
        <f>+A171+1</f>
        <v>5</v>
      </c>
      <c r="B172" s="228" t="s">
        <v>167</v>
      </c>
    </row>
    <row r="173" spans="1:2">
      <c r="A173" s="223" t="s">
        <v>30</v>
      </c>
      <c r="B173" s="230" t="s">
        <v>16</v>
      </c>
    </row>
    <row r="174" spans="1:2">
      <c r="A174" s="223">
        <v>1</v>
      </c>
      <c r="B174" s="151" t="s">
        <v>213</v>
      </c>
    </row>
    <row r="175" spans="1:2">
      <c r="A175" s="223">
        <f>A174+1</f>
        <v>2</v>
      </c>
      <c r="B175" s="151" t="s">
        <v>214</v>
      </c>
    </row>
    <row r="176" spans="1:2">
      <c r="A176" s="223">
        <f>A175+1</f>
        <v>3</v>
      </c>
      <c r="B176" s="151" t="s">
        <v>165</v>
      </c>
    </row>
    <row r="177" spans="1:2">
      <c r="A177" s="223">
        <f>A176+1</f>
        <v>4</v>
      </c>
      <c r="B177" s="151" t="s">
        <v>170</v>
      </c>
    </row>
    <row r="178" spans="1:2">
      <c r="A178" s="223">
        <f>A177+1</f>
        <v>5</v>
      </c>
      <c r="B178" s="228" t="s">
        <v>171</v>
      </c>
    </row>
    <row r="179" spans="1:2">
      <c r="A179" s="223" t="s">
        <v>31</v>
      </c>
      <c r="B179" s="230" t="s">
        <v>201</v>
      </c>
    </row>
    <row r="180" spans="1:2">
      <c r="A180" s="223">
        <v>1</v>
      </c>
      <c r="B180" s="151" t="s">
        <v>202</v>
      </c>
    </row>
    <row r="181" spans="1:2">
      <c r="A181" s="223">
        <f>A180+1</f>
        <v>2</v>
      </c>
      <c r="B181" s="151" t="s">
        <v>203</v>
      </c>
    </row>
    <row r="182" spans="1:2">
      <c r="A182" s="223">
        <f t="shared" ref="A182:A187" si="9">A181+1</f>
        <v>3</v>
      </c>
      <c r="B182" s="151" t="s">
        <v>204</v>
      </c>
    </row>
    <row r="183" spans="1:2">
      <c r="A183" s="223">
        <f t="shared" si="9"/>
        <v>4</v>
      </c>
      <c r="B183" s="151" t="s">
        <v>205</v>
      </c>
    </row>
    <row r="184" spans="1:2">
      <c r="A184" s="223">
        <f t="shared" si="9"/>
        <v>5</v>
      </c>
      <c r="B184" s="151" t="s">
        <v>206</v>
      </c>
    </row>
    <row r="185" spans="1:2">
      <c r="A185" s="223">
        <f t="shared" si="9"/>
        <v>6</v>
      </c>
      <c r="B185" s="151" t="s">
        <v>207</v>
      </c>
    </row>
    <row r="186" spans="1:2" ht="30">
      <c r="A186" s="223">
        <f t="shared" si="9"/>
        <v>7</v>
      </c>
      <c r="B186" s="228" t="s">
        <v>313</v>
      </c>
    </row>
    <row r="187" spans="1:2" ht="30">
      <c r="A187" s="223">
        <f t="shared" si="9"/>
        <v>8</v>
      </c>
      <c r="B187" s="228" t="s">
        <v>314</v>
      </c>
    </row>
    <row r="188" spans="1:2">
      <c r="A188" s="223" t="s">
        <v>330</v>
      </c>
      <c r="B188" s="249" t="s">
        <v>331</v>
      </c>
    </row>
    <row r="189" spans="1:2">
      <c r="A189" s="223">
        <v>1</v>
      </c>
      <c r="B189" s="151" t="s">
        <v>332</v>
      </c>
    </row>
    <row r="190" spans="1:2">
      <c r="A190" s="223">
        <v>2</v>
      </c>
      <c r="B190" s="151" t="s">
        <v>333</v>
      </c>
    </row>
    <row r="191" spans="1:2">
      <c r="A191" s="223">
        <v>3</v>
      </c>
      <c r="B191" s="151" t="s">
        <v>334</v>
      </c>
    </row>
    <row r="192" spans="1:2">
      <c r="A192" s="223">
        <v>4</v>
      </c>
      <c r="B192" s="151" t="s">
        <v>335</v>
      </c>
    </row>
    <row r="193" spans="1:2">
      <c r="A193" s="256"/>
      <c r="B193" s="151" t="s">
        <v>1565</v>
      </c>
    </row>
    <row r="194" spans="1:2">
      <c r="A194" s="229" t="s">
        <v>225</v>
      </c>
      <c r="B194" s="230" t="s">
        <v>277</v>
      </c>
    </row>
    <row r="195" spans="1:2">
      <c r="A195" s="223">
        <v>1</v>
      </c>
      <c r="B195" s="151" t="s">
        <v>311</v>
      </c>
    </row>
    <row r="196" spans="1:2">
      <c r="A196" s="223">
        <v>2</v>
      </c>
      <c r="B196" s="151" t="s">
        <v>312</v>
      </c>
    </row>
    <row r="197" spans="1:2">
      <c r="A197" s="223">
        <v>3</v>
      </c>
      <c r="B197" s="151" t="s">
        <v>303</v>
      </c>
    </row>
    <row r="198" spans="1:2">
      <c r="A198" s="229" t="s">
        <v>278</v>
      </c>
      <c r="B198" s="230" t="s">
        <v>210</v>
      </c>
    </row>
    <row r="199" spans="1:2" ht="45">
      <c r="A199" s="223">
        <v>1</v>
      </c>
      <c r="B199" s="245" t="s">
        <v>215</v>
      </c>
    </row>
    <row r="200" spans="1:2" ht="45">
      <c r="A200" s="223">
        <f>A199+1</f>
        <v>2</v>
      </c>
      <c r="B200" s="245" t="s">
        <v>217</v>
      </c>
    </row>
    <row r="201" spans="1:2" ht="45">
      <c r="A201" s="223">
        <f>A200+1</f>
        <v>3</v>
      </c>
      <c r="B201" s="245" t="s">
        <v>211</v>
      </c>
    </row>
    <row r="202" spans="1:2" ht="30">
      <c r="A202" s="223">
        <f>A201+1</f>
        <v>4</v>
      </c>
      <c r="B202" s="245" t="s">
        <v>310</v>
      </c>
    </row>
    <row r="203" spans="1:2" ht="75">
      <c r="A203" s="223">
        <f>A202+1</f>
        <v>5</v>
      </c>
      <c r="B203" s="245" t="s">
        <v>216</v>
      </c>
    </row>
    <row r="204" spans="1:2" ht="45">
      <c r="A204" s="223">
        <f>A203+1</f>
        <v>6</v>
      </c>
      <c r="B204" s="245" t="s">
        <v>212</v>
      </c>
    </row>
    <row r="205" spans="1:2" ht="29.25">
      <c r="A205" s="229" t="s">
        <v>25</v>
      </c>
      <c r="B205" s="249" t="s">
        <v>336</v>
      </c>
    </row>
    <row r="206" spans="1:2">
      <c r="A206" s="223">
        <v>1</v>
      </c>
      <c r="B206" s="151" t="s">
        <v>226</v>
      </c>
    </row>
    <row r="207" spans="1:2">
      <c r="A207" s="223">
        <f>A206+1</f>
        <v>2</v>
      </c>
      <c r="B207" s="151" t="s">
        <v>227</v>
      </c>
    </row>
    <row r="208" spans="1:2">
      <c r="A208" s="223"/>
      <c r="B208" s="151"/>
    </row>
    <row r="209" spans="1:2">
      <c r="A209" s="264" t="s">
        <v>26</v>
      </c>
      <c r="B209" s="265" t="s">
        <v>1458</v>
      </c>
    </row>
    <row r="210" spans="1:2">
      <c r="A210" s="256" t="s">
        <v>110</v>
      </c>
      <c r="B210" s="257" t="s">
        <v>1530</v>
      </c>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3:H35"/>
  <sheetViews>
    <sheetView workbookViewId="0">
      <selection activeCell="C9" sqref="C9"/>
    </sheetView>
  </sheetViews>
  <sheetFormatPr defaultColWidth="9.140625" defaultRowHeight="15"/>
  <cols>
    <col min="1" max="1" width="9.140625" style="117"/>
    <col min="2" max="2" width="25" style="117" customWidth="1"/>
    <col min="3" max="3" width="18.28515625" style="117" customWidth="1"/>
    <col min="4" max="4" width="24" style="117" customWidth="1"/>
    <col min="5" max="6" width="21.7109375" style="117" customWidth="1"/>
    <col min="7" max="7" width="15.28515625" style="117" bestFit="1" customWidth="1"/>
    <col min="8" max="8" width="13.28515625" style="117" bestFit="1" customWidth="1"/>
    <col min="9" max="16384" width="9.140625" style="117"/>
  </cols>
  <sheetData>
    <row r="3" spans="1:8">
      <c r="A3" s="795" t="s">
        <v>238</v>
      </c>
      <c r="B3" s="120" t="s">
        <v>488</v>
      </c>
      <c r="C3" s="794" t="s">
        <v>416</v>
      </c>
      <c r="D3" s="794"/>
      <c r="E3" s="794" t="s">
        <v>417</v>
      </c>
      <c r="F3" s="794"/>
    </row>
    <row r="4" spans="1:8" s="118" customFormat="1">
      <c r="A4" s="795"/>
      <c r="B4" s="120" t="s">
        <v>403</v>
      </c>
      <c r="C4" s="131" t="s">
        <v>404</v>
      </c>
      <c r="D4" s="131" t="s">
        <v>489</v>
      </c>
      <c r="E4" s="131" t="s">
        <v>404</v>
      </c>
      <c r="F4" s="131" t="s">
        <v>489</v>
      </c>
    </row>
    <row r="5" spans="1:8" s="118" customFormat="1">
      <c r="A5" s="121">
        <v>1</v>
      </c>
      <c r="B5" s="122" t="s">
        <v>415</v>
      </c>
      <c r="C5" s="123">
        <v>10189954.169789875</v>
      </c>
      <c r="D5" s="123">
        <v>6613166.6697898749</v>
      </c>
      <c r="E5" s="124">
        <v>16924758.021712381</v>
      </c>
      <c r="F5" s="124">
        <v>13341550.886295713</v>
      </c>
      <c r="G5" s="133" t="s">
        <v>491</v>
      </c>
      <c r="H5" s="119"/>
    </row>
    <row r="6" spans="1:8">
      <c r="A6" s="125">
        <v>2</v>
      </c>
      <c r="B6" s="126" t="s">
        <v>405</v>
      </c>
      <c r="C6" s="127">
        <v>10692460.907789225</v>
      </c>
      <c r="D6" s="127">
        <v>7050692.662199269</v>
      </c>
      <c r="E6" s="124">
        <v>17431803.704277527</v>
      </c>
      <c r="F6" s="124">
        <v>13783029</v>
      </c>
      <c r="G6" s="133" t="s">
        <v>491</v>
      </c>
      <c r="H6" s="119"/>
    </row>
    <row r="7" spans="1:8">
      <c r="A7" s="121">
        <v>3</v>
      </c>
      <c r="B7" s="126" t="s">
        <v>406</v>
      </c>
      <c r="C7" s="127">
        <v>11050240.677068092</v>
      </c>
      <c r="D7" s="127">
        <v>7400170.9141131891</v>
      </c>
      <c r="E7" s="124">
        <v>17791781.221185181</v>
      </c>
      <c r="F7" s="124">
        <v>14134643</v>
      </c>
      <c r="G7" s="133" t="s">
        <v>491</v>
      </c>
      <c r="H7" s="119"/>
    </row>
    <row r="8" spans="1:8">
      <c r="A8" s="125">
        <v>4</v>
      </c>
      <c r="B8" s="126" t="s">
        <v>407</v>
      </c>
      <c r="C8" s="127">
        <v>8000000</v>
      </c>
      <c r="D8" s="127">
        <v>8300000</v>
      </c>
      <c r="E8" s="127">
        <f t="shared" ref="E8:F11" si="0">C8+6380000</f>
        <v>14380000</v>
      </c>
      <c r="F8" s="127">
        <f t="shared" si="0"/>
        <v>14680000</v>
      </c>
      <c r="G8" s="132" t="s">
        <v>490</v>
      </c>
      <c r="H8" s="119"/>
    </row>
    <row r="9" spans="1:8">
      <c r="A9" s="121">
        <v>5</v>
      </c>
      <c r="B9" s="126" t="s">
        <v>408</v>
      </c>
      <c r="C9" s="127">
        <v>8000000</v>
      </c>
      <c r="D9" s="127">
        <v>8300000</v>
      </c>
      <c r="E9" s="127">
        <f t="shared" si="0"/>
        <v>14380000</v>
      </c>
      <c r="F9" s="127">
        <f t="shared" si="0"/>
        <v>14680000</v>
      </c>
      <c r="G9" s="132" t="s">
        <v>490</v>
      </c>
      <c r="H9" s="119"/>
    </row>
    <row r="10" spans="1:8">
      <c r="A10" s="125">
        <v>6</v>
      </c>
      <c r="B10" s="126" t="s">
        <v>409</v>
      </c>
      <c r="C10" s="127">
        <v>8000000</v>
      </c>
      <c r="D10" s="127">
        <v>8300000</v>
      </c>
      <c r="E10" s="127">
        <f t="shared" si="0"/>
        <v>14380000</v>
      </c>
      <c r="F10" s="127">
        <f t="shared" si="0"/>
        <v>14680000</v>
      </c>
      <c r="G10" s="132" t="s">
        <v>490</v>
      </c>
      <c r="H10" s="119"/>
    </row>
    <row r="11" spans="1:8">
      <c r="A11" s="121">
        <v>7</v>
      </c>
      <c r="B11" s="126" t="s">
        <v>410</v>
      </c>
      <c r="C11" s="127">
        <v>8000000</v>
      </c>
      <c r="D11" s="127">
        <v>8300000</v>
      </c>
      <c r="E11" s="127">
        <f t="shared" si="0"/>
        <v>14380000</v>
      </c>
      <c r="F11" s="127">
        <f t="shared" si="0"/>
        <v>14680000</v>
      </c>
      <c r="G11" s="132" t="s">
        <v>490</v>
      </c>
      <c r="H11" s="119"/>
    </row>
    <row r="12" spans="1:8">
      <c r="A12" s="125">
        <v>8</v>
      </c>
      <c r="B12" s="126" t="s">
        <v>481</v>
      </c>
      <c r="C12" s="127">
        <v>15845230.5810702</v>
      </c>
      <c r="D12" s="127">
        <v>12041876.860665198</v>
      </c>
      <c r="E12" s="124">
        <v>22191574</v>
      </c>
      <c r="F12" s="124">
        <v>18381801</v>
      </c>
      <c r="G12" s="133" t="s">
        <v>491</v>
      </c>
      <c r="H12" s="119"/>
    </row>
    <row r="13" spans="1:8">
      <c r="A13" s="121">
        <v>9</v>
      </c>
      <c r="B13" s="126" t="s">
        <v>411</v>
      </c>
      <c r="C13" s="127">
        <v>13482910.781577276</v>
      </c>
      <c r="D13" s="127">
        <v>9680276.0593550559</v>
      </c>
      <c r="E13" s="124">
        <v>20268158</v>
      </c>
      <c r="F13" s="124">
        <v>16459103</v>
      </c>
      <c r="G13" s="133" t="s">
        <v>491</v>
      </c>
      <c r="H13" s="119"/>
    </row>
    <row r="14" spans="1:8">
      <c r="A14" s="125">
        <v>10</v>
      </c>
      <c r="B14" s="126" t="s">
        <v>412</v>
      </c>
      <c r="C14" s="127">
        <v>3611115.6960421805</v>
      </c>
      <c r="D14" s="127">
        <v>2716918.8210421805</v>
      </c>
      <c r="E14" s="127"/>
      <c r="F14" s="127"/>
      <c r="G14" s="133" t="s">
        <v>491</v>
      </c>
    </row>
    <row r="15" spans="1:8">
      <c r="A15" s="121">
        <v>11</v>
      </c>
      <c r="B15" s="126" t="s">
        <v>413</v>
      </c>
      <c r="C15" s="127">
        <v>4134190.2812193413</v>
      </c>
      <c r="D15" s="127">
        <v>3228262.5927844988</v>
      </c>
      <c r="E15" s="127"/>
      <c r="F15" s="127"/>
      <c r="G15" s="133" t="s">
        <v>491</v>
      </c>
    </row>
    <row r="16" spans="1:8">
      <c r="A16" s="125">
        <v>12</v>
      </c>
      <c r="B16" s="126" t="s">
        <v>414</v>
      </c>
      <c r="C16" s="127">
        <v>1172426.3259502293</v>
      </c>
      <c r="D16" s="127">
        <f>+C16</f>
        <v>1172426.3259502293</v>
      </c>
      <c r="E16" s="127"/>
      <c r="F16" s="127"/>
      <c r="G16" s="133" t="s">
        <v>491</v>
      </c>
    </row>
    <row r="17" spans="1:7">
      <c r="A17" s="128">
        <v>13</v>
      </c>
      <c r="B17" s="129" t="s">
        <v>483</v>
      </c>
      <c r="C17" s="130">
        <v>8000000</v>
      </c>
      <c r="D17" s="130">
        <v>8300000</v>
      </c>
      <c r="E17" s="130">
        <f>C17+6380000</f>
        <v>14380000</v>
      </c>
      <c r="F17" s="130">
        <f>D17+6380000</f>
        <v>14680000</v>
      </c>
      <c r="G17" s="132" t="s">
        <v>490</v>
      </c>
    </row>
    <row r="18" spans="1:7">
      <c r="A18" s="128">
        <v>14</v>
      </c>
      <c r="B18" s="129" t="s">
        <v>484</v>
      </c>
      <c r="C18" s="130">
        <v>12000000</v>
      </c>
      <c r="D18" s="130">
        <v>7000000</v>
      </c>
      <c r="E18" s="130">
        <f>C18+6380000</f>
        <v>18380000</v>
      </c>
      <c r="F18" s="130">
        <f>D18+6380000</f>
        <v>13380000</v>
      </c>
      <c r="G18" s="132" t="s">
        <v>490</v>
      </c>
    </row>
    <row r="19" spans="1:7">
      <c r="A19" s="134">
        <v>15</v>
      </c>
      <c r="B19" s="135" t="s">
        <v>486</v>
      </c>
      <c r="C19" s="136">
        <v>4134190</v>
      </c>
      <c r="D19" s="138">
        <v>3228263</v>
      </c>
      <c r="E19" s="137">
        <v>15000000</v>
      </c>
      <c r="F19" s="137">
        <v>15000000</v>
      </c>
    </row>
    <row r="35" spans="5:5">
      <c r="E35" s="117" t="s">
        <v>1444</v>
      </c>
    </row>
  </sheetData>
  <sheetProtection algorithmName="SHA-512" hashValue="KFm+v04+ce2uO6EkMo2LoveeOe2TS9k/RftrXlByovPW37iu5Mx5ItklNXaISPQjpZO3pYFNx0jZw0bnAPCqqA==" saltValue="6D1bv79rDETuA7xiQbyJHw==" spinCount="100000" sheet="1" objects="1" scenarios="1"/>
  <mergeCells count="3">
    <mergeCell ref="C3:D3"/>
    <mergeCell ref="E3:F3"/>
    <mergeCell ref="A3:A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225"/>
  <sheetViews>
    <sheetView workbookViewId="0">
      <selection activeCell="K20" sqref="K20"/>
    </sheetView>
  </sheetViews>
  <sheetFormatPr defaultColWidth="8.85546875" defaultRowHeight="15"/>
  <cols>
    <col min="2" max="2" width="77.140625" customWidth="1"/>
  </cols>
  <sheetData>
    <row r="1" spans="1:5" s="2" customFormat="1">
      <c r="A1" s="1"/>
      <c r="B1" s="1"/>
      <c r="C1" s="7"/>
    </row>
    <row r="2" spans="1:5" s="2" customFormat="1">
      <c r="A2" s="3"/>
      <c r="B2" s="1" t="s">
        <v>602</v>
      </c>
      <c r="C2" s="7">
        <v>1</v>
      </c>
    </row>
    <row r="3" spans="1:5" s="2" customFormat="1">
      <c r="A3" s="3" t="s">
        <v>0</v>
      </c>
      <c r="B3" s="1" t="s">
        <v>603</v>
      </c>
      <c r="C3" s="7">
        <v>2</v>
      </c>
    </row>
    <row r="4" spans="1:5">
      <c r="A4">
        <v>1</v>
      </c>
      <c r="B4" t="s">
        <v>1249</v>
      </c>
      <c r="C4" s="186">
        <v>7000000</v>
      </c>
    </row>
    <row r="5" spans="1:5">
      <c r="A5">
        <f>+A4+1</f>
        <v>2</v>
      </c>
      <c r="B5" t="s">
        <v>1250</v>
      </c>
      <c r="C5" s="186">
        <v>6500000</v>
      </c>
    </row>
    <row r="6" spans="1:5">
      <c r="A6">
        <f t="shared" ref="A6:A69" si="0">+A5+1</f>
        <v>3</v>
      </c>
      <c r="B6" t="s">
        <v>1251</v>
      </c>
      <c r="C6" s="186">
        <v>5500000</v>
      </c>
    </row>
    <row r="7" spans="1:5">
      <c r="A7">
        <f t="shared" si="0"/>
        <v>4</v>
      </c>
      <c r="B7" t="s">
        <v>1252</v>
      </c>
      <c r="C7" s="186">
        <v>4000000</v>
      </c>
      <c r="E7" t="s">
        <v>1252</v>
      </c>
    </row>
    <row r="8" spans="1:5">
      <c r="A8">
        <f t="shared" si="0"/>
        <v>5</v>
      </c>
      <c r="B8" t="s">
        <v>1253</v>
      </c>
      <c r="C8" s="186">
        <v>3500000</v>
      </c>
      <c r="E8" t="b">
        <f>+B7=E7</f>
        <v>1</v>
      </c>
    </row>
    <row r="9" spans="1:5">
      <c r="A9">
        <f t="shared" si="0"/>
        <v>6</v>
      </c>
      <c r="B9" t="s">
        <v>1254</v>
      </c>
      <c r="C9" s="186">
        <v>3500000</v>
      </c>
    </row>
    <row r="10" spans="1:5">
      <c r="A10">
        <f t="shared" si="0"/>
        <v>7</v>
      </c>
      <c r="B10" t="s">
        <v>1255</v>
      </c>
      <c r="C10" s="186">
        <v>3000000</v>
      </c>
    </row>
    <row r="11" spans="1:5">
      <c r="A11">
        <f t="shared" si="0"/>
        <v>8</v>
      </c>
      <c r="B11" t="s">
        <v>1398</v>
      </c>
      <c r="C11" s="186">
        <v>4000000</v>
      </c>
      <c r="E11" s="2" t="s">
        <v>1252</v>
      </c>
    </row>
    <row r="12" spans="1:5">
      <c r="A12">
        <f t="shared" si="0"/>
        <v>9</v>
      </c>
      <c r="B12" t="s">
        <v>1399</v>
      </c>
      <c r="C12" s="186">
        <v>4000000</v>
      </c>
    </row>
    <row r="13" spans="1:5">
      <c r="A13">
        <f t="shared" si="0"/>
        <v>10</v>
      </c>
      <c r="B13" t="s">
        <v>1400</v>
      </c>
      <c r="C13" s="186">
        <v>3000000</v>
      </c>
    </row>
    <row r="14" spans="1:5">
      <c r="A14">
        <f t="shared" si="0"/>
        <v>11</v>
      </c>
      <c r="B14" t="s">
        <v>1401</v>
      </c>
      <c r="C14" s="186">
        <v>3000000</v>
      </c>
    </row>
    <row r="15" spans="1:5">
      <c r="A15">
        <f t="shared" si="0"/>
        <v>12</v>
      </c>
      <c r="B15" t="s">
        <v>1256</v>
      </c>
      <c r="C15" s="186">
        <v>4500000</v>
      </c>
    </row>
    <row r="16" spans="1:5">
      <c r="A16">
        <f t="shared" si="0"/>
        <v>13</v>
      </c>
      <c r="B16" t="s">
        <v>1257</v>
      </c>
      <c r="C16" s="186">
        <v>4000000</v>
      </c>
    </row>
    <row r="17" spans="1:3">
      <c r="A17">
        <f t="shared" si="0"/>
        <v>14</v>
      </c>
      <c r="B17" t="s">
        <v>1258</v>
      </c>
      <c r="C17" s="186">
        <v>3500000</v>
      </c>
    </row>
    <row r="18" spans="1:3">
      <c r="A18">
        <f t="shared" si="0"/>
        <v>15</v>
      </c>
      <c r="B18" t="s">
        <v>1259</v>
      </c>
      <c r="C18" s="186">
        <v>3500000</v>
      </c>
    </row>
    <row r="19" spans="1:3">
      <c r="A19">
        <f t="shared" si="0"/>
        <v>16</v>
      </c>
      <c r="B19" t="s">
        <v>1260</v>
      </c>
      <c r="C19" s="186">
        <v>4500000</v>
      </c>
    </row>
    <row r="20" spans="1:3">
      <c r="A20">
        <f t="shared" si="0"/>
        <v>17</v>
      </c>
      <c r="B20" t="s">
        <v>1261</v>
      </c>
      <c r="C20" s="186">
        <v>4000000</v>
      </c>
    </row>
    <row r="21" spans="1:3">
      <c r="A21">
        <f t="shared" si="0"/>
        <v>18</v>
      </c>
      <c r="B21" t="s">
        <v>1262</v>
      </c>
      <c r="C21" s="186">
        <v>3500000</v>
      </c>
    </row>
    <row r="22" spans="1:3">
      <c r="A22">
        <f t="shared" si="0"/>
        <v>19</v>
      </c>
      <c r="B22" t="s">
        <v>1263</v>
      </c>
      <c r="C22" s="186">
        <v>3000000</v>
      </c>
    </row>
    <row r="23" spans="1:3">
      <c r="A23">
        <f t="shared" si="0"/>
        <v>20</v>
      </c>
      <c r="B23" t="s">
        <v>1264</v>
      </c>
      <c r="C23" s="186">
        <v>4000000</v>
      </c>
    </row>
    <row r="24" spans="1:3">
      <c r="A24">
        <f t="shared" si="0"/>
        <v>21</v>
      </c>
      <c r="B24" t="s">
        <v>1265</v>
      </c>
      <c r="C24" s="186">
        <v>3500000</v>
      </c>
    </row>
    <row r="25" spans="1:3">
      <c r="A25">
        <f t="shared" si="0"/>
        <v>22</v>
      </c>
      <c r="B25" t="s">
        <v>1266</v>
      </c>
      <c r="C25" s="186">
        <v>3000000</v>
      </c>
    </row>
    <row r="26" spans="1:3">
      <c r="A26">
        <f t="shared" si="0"/>
        <v>23</v>
      </c>
      <c r="B26" t="s">
        <v>1267</v>
      </c>
      <c r="C26" s="186">
        <v>2000000</v>
      </c>
    </row>
    <row r="27" spans="1:3">
      <c r="A27">
        <f t="shared" si="0"/>
        <v>24</v>
      </c>
      <c r="B27" t="s">
        <v>1268</v>
      </c>
      <c r="C27" s="186">
        <v>4500000</v>
      </c>
    </row>
    <row r="28" spans="1:3">
      <c r="A28">
        <f t="shared" si="0"/>
        <v>25</v>
      </c>
      <c r="B28" t="s">
        <v>1269</v>
      </c>
      <c r="C28" s="186">
        <v>4000000</v>
      </c>
    </row>
    <row r="29" spans="1:3">
      <c r="A29">
        <f t="shared" si="0"/>
        <v>26</v>
      </c>
      <c r="B29" t="s">
        <v>1270</v>
      </c>
      <c r="C29" s="186">
        <v>3000000</v>
      </c>
    </row>
    <row r="30" spans="1:3">
      <c r="A30">
        <f t="shared" si="0"/>
        <v>27</v>
      </c>
      <c r="B30" t="s">
        <v>1271</v>
      </c>
      <c r="C30" s="186">
        <v>2500000</v>
      </c>
    </row>
    <row r="31" spans="1:3">
      <c r="A31">
        <f t="shared" si="0"/>
        <v>28</v>
      </c>
      <c r="B31" t="s">
        <v>1272</v>
      </c>
      <c r="C31" s="186">
        <v>5000000</v>
      </c>
    </row>
    <row r="32" spans="1:3">
      <c r="A32">
        <f t="shared" si="0"/>
        <v>29</v>
      </c>
      <c r="B32" t="s">
        <v>1273</v>
      </c>
      <c r="C32" s="186">
        <v>4000000</v>
      </c>
    </row>
    <row r="33" spans="1:3">
      <c r="A33">
        <f t="shared" si="0"/>
        <v>30</v>
      </c>
      <c r="B33" t="s">
        <v>1274</v>
      </c>
      <c r="C33" s="186">
        <v>3500000</v>
      </c>
    </row>
    <row r="34" spans="1:3">
      <c r="A34">
        <f t="shared" si="0"/>
        <v>31</v>
      </c>
      <c r="B34" t="s">
        <v>1275</v>
      </c>
      <c r="C34" s="186">
        <v>3000000</v>
      </c>
    </row>
    <row r="35" spans="1:3">
      <c r="A35">
        <f t="shared" si="0"/>
        <v>32</v>
      </c>
      <c r="B35" t="s">
        <v>1276</v>
      </c>
      <c r="C35" s="186">
        <v>2500000</v>
      </c>
    </row>
    <row r="36" spans="1:3">
      <c r="A36">
        <f t="shared" si="0"/>
        <v>33</v>
      </c>
      <c r="B36" t="s">
        <v>1277</v>
      </c>
      <c r="C36" s="186">
        <v>5000000</v>
      </c>
    </row>
    <row r="37" spans="1:3">
      <c r="A37">
        <f t="shared" si="0"/>
        <v>34</v>
      </c>
      <c r="B37" t="s">
        <v>1278</v>
      </c>
      <c r="C37" s="186">
        <v>5000000</v>
      </c>
    </row>
    <row r="38" spans="1:3">
      <c r="A38">
        <f t="shared" si="0"/>
        <v>35</v>
      </c>
      <c r="B38" t="s">
        <v>1279</v>
      </c>
      <c r="C38" s="186">
        <v>4500000</v>
      </c>
    </row>
    <row r="39" spans="1:3">
      <c r="A39">
        <f t="shared" si="0"/>
        <v>36</v>
      </c>
      <c r="B39" t="s">
        <v>1280</v>
      </c>
      <c r="C39" s="186">
        <v>4000000</v>
      </c>
    </row>
    <row r="40" spans="1:3">
      <c r="A40">
        <f t="shared" si="0"/>
        <v>37</v>
      </c>
      <c r="B40" t="s">
        <v>1281</v>
      </c>
      <c r="C40" s="186">
        <v>4000000</v>
      </c>
    </row>
    <row r="41" spans="1:3">
      <c r="A41">
        <f t="shared" si="0"/>
        <v>38</v>
      </c>
      <c r="B41" t="s">
        <v>1282</v>
      </c>
      <c r="C41" s="186">
        <v>6000000</v>
      </c>
    </row>
    <row r="42" spans="1:3">
      <c r="A42">
        <f t="shared" si="0"/>
        <v>39</v>
      </c>
      <c r="B42" t="s">
        <v>1283</v>
      </c>
      <c r="C42" s="186">
        <v>4500000</v>
      </c>
    </row>
    <row r="43" spans="1:3">
      <c r="A43">
        <f t="shared" si="0"/>
        <v>40</v>
      </c>
      <c r="B43" t="s">
        <v>1284</v>
      </c>
      <c r="C43" s="186">
        <v>4500000</v>
      </c>
    </row>
    <row r="44" spans="1:3">
      <c r="A44">
        <f t="shared" si="0"/>
        <v>41</v>
      </c>
      <c r="B44" t="s">
        <v>1285</v>
      </c>
      <c r="C44">
        <v>3000000</v>
      </c>
    </row>
    <row r="45" spans="1:3">
      <c r="A45">
        <f t="shared" si="0"/>
        <v>42</v>
      </c>
      <c r="B45" t="s">
        <v>1286</v>
      </c>
      <c r="C45">
        <v>2500000</v>
      </c>
    </row>
    <row r="46" spans="1:3">
      <c r="A46">
        <f t="shared" si="0"/>
        <v>43</v>
      </c>
      <c r="B46" t="s">
        <v>1287</v>
      </c>
      <c r="C46">
        <v>2500000</v>
      </c>
    </row>
    <row r="47" spans="1:3">
      <c r="A47">
        <f t="shared" si="0"/>
        <v>44</v>
      </c>
      <c r="B47" t="s">
        <v>1288</v>
      </c>
      <c r="C47">
        <v>2000000</v>
      </c>
    </row>
    <row r="48" spans="1:3">
      <c r="A48">
        <f t="shared" si="0"/>
        <v>45</v>
      </c>
      <c r="B48" t="s">
        <v>1402</v>
      </c>
      <c r="C48">
        <v>3500000</v>
      </c>
    </row>
    <row r="49" spans="1:3">
      <c r="A49">
        <f t="shared" si="0"/>
        <v>46</v>
      </c>
      <c r="B49" t="s">
        <v>1403</v>
      </c>
      <c r="C49">
        <v>3000000</v>
      </c>
    </row>
    <row r="50" spans="1:3">
      <c r="A50">
        <f t="shared" si="0"/>
        <v>47</v>
      </c>
      <c r="B50" t="s">
        <v>1404</v>
      </c>
      <c r="C50">
        <v>3000000</v>
      </c>
    </row>
    <row r="51" spans="1:3">
      <c r="A51">
        <f t="shared" si="0"/>
        <v>48</v>
      </c>
      <c r="B51" t="s">
        <v>1405</v>
      </c>
      <c r="C51">
        <v>3000000</v>
      </c>
    </row>
    <row r="52" spans="1:3">
      <c r="A52">
        <f t="shared" si="0"/>
        <v>49</v>
      </c>
      <c r="B52" t="s">
        <v>1289</v>
      </c>
      <c r="C52">
        <v>4000000</v>
      </c>
    </row>
    <row r="53" spans="1:3">
      <c r="A53">
        <f t="shared" si="0"/>
        <v>50</v>
      </c>
      <c r="B53" t="s">
        <v>1290</v>
      </c>
      <c r="C53">
        <v>3500000</v>
      </c>
    </row>
    <row r="54" spans="1:3">
      <c r="A54">
        <f t="shared" si="0"/>
        <v>51</v>
      </c>
      <c r="B54" t="s">
        <v>1291</v>
      </c>
      <c r="C54">
        <v>3500000</v>
      </c>
    </row>
    <row r="55" spans="1:3">
      <c r="A55">
        <f t="shared" si="0"/>
        <v>52</v>
      </c>
      <c r="B55" t="s">
        <v>1292</v>
      </c>
      <c r="C55">
        <v>3000000</v>
      </c>
    </row>
    <row r="56" spans="1:3">
      <c r="A56">
        <f t="shared" si="0"/>
        <v>53</v>
      </c>
      <c r="B56" t="s">
        <v>1293</v>
      </c>
      <c r="C56">
        <v>4000000</v>
      </c>
    </row>
    <row r="57" spans="1:3">
      <c r="A57">
        <f t="shared" si="0"/>
        <v>54</v>
      </c>
      <c r="B57" t="s">
        <v>1294</v>
      </c>
      <c r="C57">
        <v>2500000</v>
      </c>
    </row>
    <row r="58" spans="1:3">
      <c r="A58">
        <f t="shared" si="0"/>
        <v>55</v>
      </c>
      <c r="B58" t="s">
        <v>1295</v>
      </c>
      <c r="C58">
        <v>2500000</v>
      </c>
    </row>
    <row r="59" spans="1:3">
      <c r="A59">
        <f t="shared" si="0"/>
        <v>56</v>
      </c>
      <c r="B59" t="s">
        <v>1296</v>
      </c>
      <c r="C59">
        <v>2000000</v>
      </c>
    </row>
    <row r="60" spans="1:3">
      <c r="A60">
        <f t="shared" si="0"/>
        <v>57</v>
      </c>
      <c r="B60" t="s">
        <v>1297</v>
      </c>
      <c r="C60">
        <v>3000000</v>
      </c>
    </row>
    <row r="61" spans="1:3">
      <c r="A61">
        <f t="shared" si="0"/>
        <v>58</v>
      </c>
      <c r="B61" t="s">
        <v>1298</v>
      </c>
      <c r="C61">
        <v>3000000</v>
      </c>
    </row>
    <row r="62" spans="1:3">
      <c r="A62">
        <f t="shared" si="0"/>
        <v>59</v>
      </c>
      <c r="B62" t="s">
        <v>1299</v>
      </c>
      <c r="C62">
        <v>2500000</v>
      </c>
    </row>
    <row r="63" spans="1:3">
      <c r="A63">
        <f t="shared" si="0"/>
        <v>60</v>
      </c>
      <c r="B63" t="s">
        <v>1300</v>
      </c>
      <c r="C63">
        <v>2000000</v>
      </c>
    </row>
    <row r="64" spans="1:3">
      <c r="A64">
        <f t="shared" si="0"/>
        <v>61</v>
      </c>
      <c r="B64" t="s">
        <v>1301</v>
      </c>
      <c r="C64">
        <v>3500000</v>
      </c>
    </row>
    <row r="65" spans="1:3">
      <c r="A65">
        <f t="shared" si="0"/>
        <v>62</v>
      </c>
      <c r="B65" t="s">
        <v>1302</v>
      </c>
      <c r="C65">
        <v>3000000</v>
      </c>
    </row>
    <row r="66" spans="1:3">
      <c r="A66">
        <f t="shared" si="0"/>
        <v>63</v>
      </c>
      <c r="B66" t="s">
        <v>1303</v>
      </c>
      <c r="C66">
        <v>2500000</v>
      </c>
    </row>
    <row r="67" spans="1:3">
      <c r="A67">
        <f t="shared" si="0"/>
        <v>64</v>
      </c>
      <c r="B67" t="s">
        <v>1304</v>
      </c>
      <c r="C67">
        <v>2500000</v>
      </c>
    </row>
    <row r="68" spans="1:3">
      <c r="A68">
        <f t="shared" si="0"/>
        <v>65</v>
      </c>
      <c r="B68" t="s">
        <v>1305</v>
      </c>
      <c r="C68">
        <v>3000000</v>
      </c>
    </row>
    <row r="69" spans="1:3">
      <c r="A69">
        <f t="shared" si="0"/>
        <v>66</v>
      </c>
      <c r="B69" t="s">
        <v>1306</v>
      </c>
      <c r="C69">
        <v>3000000</v>
      </c>
    </row>
    <row r="70" spans="1:3">
      <c r="A70">
        <f t="shared" ref="A70:A133" si="1">+A69+1</f>
        <v>67</v>
      </c>
      <c r="B70" t="s">
        <v>1307</v>
      </c>
      <c r="C70">
        <v>2000000</v>
      </c>
    </row>
    <row r="71" spans="1:3">
      <c r="A71">
        <f t="shared" si="1"/>
        <v>68</v>
      </c>
      <c r="B71" t="s">
        <v>1308</v>
      </c>
      <c r="C71">
        <v>2000000</v>
      </c>
    </row>
    <row r="72" spans="1:3">
      <c r="A72">
        <f t="shared" si="1"/>
        <v>69</v>
      </c>
      <c r="B72" t="s">
        <v>1309</v>
      </c>
      <c r="C72">
        <v>2000000</v>
      </c>
    </row>
    <row r="73" spans="1:3">
      <c r="A73">
        <f t="shared" si="1"/>
        <v>70</v>
      </c>
      <c r="B73" t="s">
        <v>1310</v>
      </c>
      <c r="C73">
        <v>5000000</v>
      </c>
    </row>
    <row r="74" spans="1:3">
      <c r="A74">
        <f t="shared" si="1"/>
        <v>71</v>
      </c>
      <c r="B74" t="s">
        <v>1311</v>
      </c>
      <c r="C74">
        <v>4000000</v>
      </c>
    </row>
    <row r="75" spans="1:3">
      <c r="A75">
        <f t="shared" si="1"/>
        <v>72</v>
      </c>
      <c r="B75" t="s">
        <v>1312</v>
      </c>
      <c r="C75">
        <v>4000000</v>
      </c>
    </row>
    <row r="76" spans="1:3">
      <c r="A76">
        <f t="shared" si="1"/>
        <v>73</v>
      </c>
      <c r="B76" t="s">
        <v>1313</v>
      </c>
      <c r="C76">
        <v>3500000</v>
      </c>
    </row>
    <row r="77" spans="1:3">
      <c r="A77">
        <f t="shared" si="1"/>
        <v>74</v>
      </c>
      <c r="B77" t="s">
        <v>1314</v>
      </c>
      <c r="C77">
        <v>3000000</v>
      </c>
    </row>
    <row r="78" spans="1:3">
      <c r="A78">
        <f t="shared" si="1"/>
        <v>75</v>
      </c>
      <c r="B78" t="s">
        <v>615</v>
      </c>
      <c r="C78">
        <v>2500000</v>
      </c>
    </row>
    <row r="79" spans="1:3">
      <c r="A79">
        <f t="shared" si="1"/>
        <v>76</v>
      </c>
      <c r="B79" t="s">
        <v>616</v>
      </c>
      <c r="C79">
        <v>2500000</v>
      </c>
    </row>
    <row r="80" spans="1:3">
      <c r="A80">
        <f t="shared" si="1"/>
        <v>77</v>
      </c>
      <c r="B80" t="s">
        <v>617</v>
      </c>
      <c r="C80">
        <v>2100000</v>
      </c>
    </row>
    <row r="81" spans="1:3">
      <c r="A81">
        <f t="shared" si="1"/>
        <v>78</v>
      </c>
      <c r="B81" t="s">
        <v>618</v>
      </c>
      <c r="C81">
        <v>1500000</v>
      </c>
    </row>
    <row r="82" spans="1:3">
      <c r="A82">
        <f t="shared" si="1"/>
        <v>79</v>
      </c>
      <c r="B82" t="s">
        <v>619</v>
      </c>
      <c r="C82">
        <v>1300000</v>
      </c>
    </row>
    <row r="83" spans="1:3">
      <c r="A83">
        <f t="shared" si="1"/>
        <v>80</v>
      </c>
      <c r="B83" t="s">
        <v>620</v>
      </c>
      <c r="C83">
        <v>1300000</v>
      </c>
    </row>
    <row r="84" spans="1:3">
      <c r="A84">
        <f t="shared" si="1"/>
        <v>81</v>
      </c>
      <c r="B84" t="s">
        <v>621</v>
      </c>
      <c r="C84">
        <v>1100000</v>
      </c>
    </row>
    <row r="85" spans="1:3">
      <c r="A85">
        <f t="shared" si="1"/>
        <v>82</v>
      </c>
      <c r="B85" t="s">
        <v>1406</v>
      </c>
      <c r="C85">
        <v>1500000</v>
      </c>
    </row>
    <row r="86" spans="1:3">
      <c r="A86">
        <f t="shared" si="1"/>
        <v>83</v>
      </c>
      <c r="B86" t="s">
        <v>1407</v>
      </c>
      <c r="C86">
        <v>1500000</v>
      </c>
    </row>
    <row r="87" spans="1:3">
      <c r="A87">
        <f t="shared" si="1"/>
        <v>84</v>
      </c>
      <c r="B87" t="s">
        <v>1408</v>
      </c>
      <c r="C87">
        <v>1100000</v>
      </c>
    </row>
    <row r="88" spans="1:3">
      <c r="A88">
        <f t="shared" si="1"/>
        <v>85</v>
      </c>
      <c r="B88" t="s">
        <v>1409</v>
      </c>
      <c r="C88">
        <v>1100000</v>
      </c>
    </row>
    <row r="89" spans="1:3">
      <c r="A89">
        <f t="shared" si="1"/>
        <v>86</v>
      </c>
      <c r="B89" t="s">
        <v>622</v>
      </c>
      <c r="C89">
        <v>1700000</v>
      </c>
    </row>
    <row r="90" spans="1:3">
      <c r="A90">
        <f t="shared" si="1"/>
        <v>87</v>
      </c>
      <c r="B90" t="s">
        <v>623</v>
      </c>
      <c r="C90">
        <v>1500000</v>
      </c>
    </row>
    <row r="91" spans="1:3">
      <c r="A91">
        <f t="shared" si="1"/>
        <v>88</v>
      </c>
      <c r="B91" t="s">
        <v>624</v>
      </c>
      <c r="C91">
        <v>1300000</v>
      </c>
    </row>
    <row r="92" spans="1:3">
      <c r="A92">
        <f t="shared" si="1"/>
        <v>89</v>
      </c>
      <c r="B92" t="s">
        <v>625</v>
      </c>
      <c r="C92">
        <v>1300000</v>
      </c>
    </row>
    <row r="93" spans="1:3">
      <c r="A93">
        <f t="shared" si="1"/>
        <v>90</v>
      </c>
      <c r="B93" t="s">
        <v>626</v>
      </c>
      <c r="C93">
        <v>1700000</v>
      </c>
    </row>
    <row r="94" spans="1:3">
      <c r="A94">
        <f t="shared" si="1"/>
        <v>91</v>
      </c>
      <c r="B94" t="s">
        <v>627</v>
      </c>
      <c r="C94">
        <v>1500000</v>
      </c>
    </row>
    <row r="95" spans="1:3">
      <c r="A95">
        <f t="shared" si="1"/>
        <v>92</v>
      </c>
      <c r="B95" t="s">
        <v>628</v>
      </c>
      <c r="C95">
        <v>1300000</v>
      </c>
    </row>
    <row r="96" spans="1:3">
      <c r="A96">
        <f t="shared" si="1"/>
        <v>93</v>
      </c>
      <c r="B96" t="s">
        <v>629</v>
      </c>
      <c r="C96">
        <v>1100000</v>
      </c>
    </row>
    <row r="97" spans="1:3">
      <c r="A97">
        <f t="shared" si="1"/>
        <v>94</v>
      </c>
      <c r="B97" t="s">
        <v>630</v>
      </c>
      <c r="C97">
        <v>1500000</v>
      </c>
    </row>
    <row r="98" spans="1:3">
      <c r="A98">
        <f t="shared" si="1"/>
        <v>95</v>
      </c>
      <c r="B98" t="s">
        <v>631</v>
      </c>
      <c r="C98">
        <v>1300000</v>
      </c>
    </row>
    <row r="99" spans="1:3">
      <c r="A99">
        <f t="shared" si="1"/>
        <v>96</v>
      </c>
      <c r="B99" t="s">
        <v>632</v>
      </c>
      <c r="C99">
        <v>1100000</v>
      </c>
    </row>
    <row r="100" spans="1:3">
      <c r="A100">
        <f t="shared" si="1"/>
        <v>97</v>
      </c>
      <c r="B100" t="s">
        <v>633</v>
      </c>
      <c r="C100">
        <v>800000</v>
      </c>
    </row>
    <row r="101" spans="1:3">
      <c r="A101">
        <f t="shared" si="1"/>
        <v>98</v>
      </c>
      <c r="B101" t="s">
        <v>634</v>
      </c>
      <c r="C101">
        <v>1700000</v>
      </c>
    </row>
    <row r="102" spans="1:3">
      <c r="A102">
        <f t="shared" si="1"/>
        <v>99</v>
      </c>
      <c r="B102" t="s">
        <v>635</v>
      </c>
      <c r="C102">
        <v>1500000</v>
      </c>
    </row>
    <row r="103" spans="1:3">
      <c r="A103">
        <f t="shared" si="1"/>
        <v>100</v>
      </c>
      <c r="B103" t="s">
        <v>636</v>
      </c>
      <c r="C103">
        <v>1100000</v>
      </c>
    </row>
    <row r="104" spans="1:3">
      <c r="A104">
        <f t="shared" si="1"/>
        <v>101</v>
      </c>
      <c r="B104" t="s">
        <v>637</v>
      </c>
      <c r="C104">
        <v>1000000</v>
      </c>
    </row>
    <row r="105" spans="1:3">
      <c r="A105">
        <f t="shared" si="1"/>
        <v>102</v>
      </c>
      <c r="B105" t="s">
        <v>638</v>
      </c>
      <c r="C105">
        <v>1900000</v>
      </c>
    </row>
    <row r="106" spans="1:3">
      <c r="A106">
        <f t="shared" si="1"/>
        <v>103</v>
      </c>
      <c r="B106" t="s">
        <v>639</v>
      </c>
      <c r="C106">
        <v>1500000</v>
      </c>
    </row>
    <row r="107" spans="1:3">
      <c r="A107">
        <f t="shared" si="1"/>
        <v>104</v>
      </c>
      <c r="B107" t="s">
        <v>640</v>
      </c>
      <c r="C107">
        <v>1300000</v>
      </c>
    </row>
    <row r="108" spans="1:3">
      <c r="A108">
        <f t="shared" si="1"/>
        <v>105</v>
      </c>
      <c r="B108" t="s">
        <v>641</v>
      </c>
      <c r="C108">
        <v>1100000</v>
      </c>
    </row>
    <row r="109" spans="1:3">
      <c r="A109">
        <f t="shared" si="1"/>
        <v>106</v>
      </c>
      <c r="B109" t="s">
        <v>642</v>
      </c>
      <c r="C109">
        <v>1000000</v>
      </c>
    </row>
    <row r="110" spans="1:3">
      <c r="A110">
        <f t="shared" si="1"/>
        <v>107</v>
      </c>
      <c r="B110" t="s">
        <v>643</v>
      </c>
      <c r="C110">
        <v>1900000</v>
      </c>
    </row>
    <row r="111" spans="1:3">
      <c r="A111">
        <f t="shared" si="1"/>
        <v>108</v>
      </c>
      <c r="B111" t="s">
        <v>644</v>
      </c>
      <c r="C111">
        <v>1900000</v>
      </c>
    </row>
    <row r="112" spans="1:3">
      <c r="A112">
        <f t="shared" si="1"/>
        <v>109</v>
      </c>
      <c r="B112" t="s">
        <v>645</v>
      </c>
      <c r="C112">
        <v>1700000</v>
      </c>
    </row>
    <row r="113" spans="1:6">
      <c r="A113">
        <f t="shared" si="1"/>
        <v>110</v>
      </c>
      <c r="B113" t="s">
        <v>646</v>
      </c>
      <c r="C113">
        <v>1500000</v>
      </c>
    </row>
    <row r="114" spans="1:6">
      <c r="A114">
        <f t="shared" si="1"/>
        <v>111</v>
      </c>
      <c r="B114" t="s">
        <v>647</v>
      </c>
      <c r="C114">
        <v>1500000</v>
      </c>
    </row>
    <row r="115" spans="1:6">
      <c r="A115">
        <f t="shared" si="1"/>
        <v>112</v>
      </c>
      <c r="B115" t="s">
        <v>648</v>
      </c>
      <c r="C115">
        <v>2000000</v>
      </c>
    </row>
    <row r="116" spans="1:6">
      <c r="A116">
        <f t="shared" si="1"/>
        <v>113</v>
      </c>
      <c r="B116" t="s">
        <v>649</v>
      </c>
      <c r="C116">
        <v>1700000</v>
      </c>
    </row>
    <row r="117" spans="1:6">
      <c r="A117">
        <f t="shared" si="1"/>
        <v>114</v>
      </c>
      <c r="B117" t="s">
        <v>650</v>
      </c>
      <c r="C117">
        <v>1700000</v>
      </c>
    </row>
    <row r="118" spans="1:6">
      <c r="A118">
        <f t="shared" si="1"/>
        <v>115</v>
      </c>
      <c r="B118" t="s">
        <v>651</v>
      </c>
      <c r="C118">
        <v>1100000</v>
      </c>
    </row>
    <row r="119" spans="1:6">
      <c r="A119">
        <f t="shared" si="1"/>
        <v>116</v>
      </c>
      <c r="B119" t="s">
        <v>652</v>
      </c>
      <c r="C119">
        <v>1000000</v>
      </c>
    </row>
    <row r="120" spans="1:6">
      <c r="A120">
        <f t="shared" si="1"/>
        <v>117</v>
      </c>
      <c r="B120" t="s">
        <v>653</v>
      </c>
      <c r="C120">
        <v>1000000</v>
      </c>
    </row>
    <row r="121" spans="1:6">
      <c r="A121">
        <f t="shared" si="1"/>
        <v>118</v>
      </c>
      <c r="B121" t="s">
        <v>654</v>
      </c>
      <c r="C121">
        <v>800000</v>
      </c>
    </row>
    <row r="122" spans="1:6">
      <c r="A122">
        <f t="shared" si="1"/>
        <v>119</v>
      </c>
      <c r="B122" t="s">
        <v>1410</v>
      </c>
      <c r="C122">
        <v>1300000</v>
      </c>
    </row>
    <row r="123" spans="1:6">
      <c r="A123">
        <f t="shared" si="1"/>
        <v>120</v>
      </c>
      <c r="B123" t="s">
        <v>1411</v>
      </c>
      <c r="C123">
        <v>1100000</v>
      </c>
    </row>
    <row r="124" spans="1:6">
      <c r="A124">
        <f t="shared" si="1"/>
        <v>121</v>
      </c>
      <c r="B124" t="s">
        <v>1412</v>
      </c>
      <c r="C124">
        <v>1100000</v>
      </c>
    </row>
    <row r="125" spans="1:6">
      <c r="A125">
        <f t="shared" si="1"/>
        <v>122</v>
      </c>
      <c r="B125" t="s">
        <v>1397</v>
      </c>
      <c r="C125">
        <v>1100000</v>
      </c>
      <c r="F125" s="2" t="s">
        <v>1397</v>
      </c>
    </row>
    <row r="126" spans="1:6">
      <c r="A126">
        <f t="shared" si="1"/>
        <v>123</v>
      </c>
      <c r="B126" t="s">
        <v>655</v>
      </c>
      <c r="C126">
        <v>1500000</v>
      </c>
    </row>
    <row r="127" spans="1:6">
      <c r="A127">
        <f t="shared" si="1"/>
        <v>124</v>
      </c>
      <c r="B127" t="s">
        <v>656</v>
      </c>
      <c r="C127">
        <v>1300000</v>
      </c>
    </row>
    <row r="128" spans="1:6">
      <c r="A128">
        <f t="shared" si="1"/>
        <v>125</v>
      </c>
      <c r="B128" t="s">
        <v>657</v>
      </c>
      <c r="C128">
        <v>1300000</v>
      </c>
    </row>
    <row r="129" spans="1:3">
      <c r="A129">
        <f t="shared" si="1"/>
        <v>126</v>
      </c>
      <c r="B129" t="s">
        <v>658</v>
      </c>
      <c r="C129">
        <v>1100000</v>
      </c>
    </row>
    <row r="130" spans="1:3">
      <c r="A130">
        <f t="shared" si="1"/>
        <v>127</v>
      </c>
      <c r="B130" t="s">
        <v>659</v>
      </c>
      <c r="C130">
        <v>1500000</v>
      </c>
    </row>
    <row r="131" spans="1:3">
      <c r="A131">
        <f t="shared" si="1"/>
        <v>128</v>
      </c>
      <c r="B131" t="s">
        <v>660</v>
      </c>
      <c r="C131">
        <v>1000000</v>
      </c>
    </row>
    <row r="132" spans="1:3">
      <c r="A132">
        <f t="shared" si="1"/>
        <v>129</v>
      </c>
      <c r="B132" t="s">
        <v>661</v>
      </c>
      <c r="C132">
        <v>1000000</v>
      </c>
    </row>
    <row r="133" spans="1:3">
      <c r="A133">
        <f t="shared" si="1"/>
        <v>130</v>
      </c>
      <c r="B133" t="s">
        <v>662</v>
      </c>
      <c r="C133">
        <v>800000</v>
      </c>
    </row>
    <row r="134" spans="1:3">
      <c r="A134">
        <f t="shared" ref="A134:A197" si="2">+A133+1</f>
        <v>131</v>
      </c>
      <c r="B134" t="s">
        <v>663</v>
      </c>
      <c r="C134">
        <v>1100000</v>
      </c>
    </row>
    <row r="135" spans="1:3">
      <c r="A135">
        <f t="shared" si="2"/>
        <v>132</v>
      </c>
      <c r="B135" t="s">
        <v>664</v>
      </c>
      <c r="C135">
        <v>1100000</v>
      </c>
    </row>
    <row r="136" spans="1:3">
      <c r="A136">
        <f t="shared" si="2"/>
        <v>133</v>
      </c>
      <c r="B136" t="s">
        <v>665</v>
      </c>
      <c r="C136">
        <v>1000000</v>
      </c>
    </row>
    <row r="137" spans="1:3">
      <c r="A137">
        <f t="shared" si="2"/>
        <v>134</v>
      </c>
      <c r="B137" t="s">
        <v>666</v>
      </c>
      <c r="C137">
        <v>800000</v>
      </c>
    </row>
    <row r="138" spans="1:3">
      <c r="A138">
        <f t="shared" si="2"/>
        <v>135</v>
      </c>
      <c r="B138" t="s">
        <v>667</v>
      </c>
      <c r="C138">
        <v>1500000</v>
      </c>
    </row>
    <row r="139" spans="1:3">
      <c r="A139">
        <f t="shared" si="2"/>
        <v>136</v>
      </c>
      <c r="B139" t="s">
        <v>668</v>
      </c>
      <c r="C139">
        <v>1100000</v>
      </c>
    </row>
    <row r="140" spans="1:3">
      <c r="A140">
        <f t="shared" si="2"/>
        <v>137</v>
      </c>
      <c r="B140" t="s">
        <v>669</v>
      </c>
      <c r="C140">
        <v>1000000</v>
      </c>
    </row>
    <row r="141" spans="1:3">
      <c r="A141">
        <f t="shared" si="2"/>
        <v>138</v>
      </c>
      <c r="B141" t="s">
        <v>670</v>
      </c>
      <c r="C141">
        <v>1000000</v>
      </c>
    </row>
    <row r="142" spans="1:3">
      <c r="A142">
        <f t="shared" si="2"/>
        <v>139</v>
      </c>
      <c r="B142" t="s">
        <v>671</v>
      </c>
      <c r="C142">
        <v>1100000</v>
      </c>
    </row>
    <row r="143" spans="1:3">
      <c r="A143">
        <f t="shared" si="2"/>
        <v>140</v>
      </c>
      <c r="B143" t="s">
        <v>672</v>
      </c>
      <c r="C143">
        <v>1100000</v>
      </c>
    </row>
    <row r="144" spans="1:3">
      <c r="A144">
        <f t="shared" si="2"/>
        <v>141</v>
      </c>
      <c r="B144" t="s">
        <v>673</v>
      </c>
      <c r="C144">
        <v>800000</v>
      </c>
    </row>
    <row r="145" spans="1:6">
      <c r="A145">
        <f t="shared" si="2"/>
        <v>142</v>
      </c>
      <c r="B145" t="s">
        <v>674</v>
      </c>
      <c r="C145">
        <v>800000</v>
      </c>
    </row>
    <row r="146" spans="1:6">
      <c r="A146">
        <f t="shared" si="2"/>
        <v>143</v>
      </c>
      <c r="B146" t="s">
        <v>675</v>
      </c>
      <c r="C146">
        <v>800000</v>
      </c>
    </row>
    <row r="147" spans="1:6">
      <c r="A147">
        <f t="shared" si="2"/>
        <v>144</v>
      </c>
      <c r="B147" t="s">
        <v>676</v>
      </c>
      <c r="C147">
        <v>1900000</v>
      </c>
    </row>
    <row r="148" spans="1:6">
      <c r="A148">
        <f t="shared" si="2"/>
        <v>145</v>
      </c>
      <c r="B148" t="s">
        <v>677</v>
      </c>
      <c r="C148">
        <v>1500000</v>
      </c>
    </row>
    <row r="149" spans="1:6">
      <c r="A149">
        <f t="shared" si="2"/>
        <v>146</v>
      </c>
      <c r="B149" t="s">
        <v>678</v>
      </c>
      <c r="C149">
        <v>1500000</v>
      </c>
    </row>
    <row r="150" spans="1:6">
      <c r="A150">
        <f t="shared" si="2"/>
        <v>147</v>
      </c>
      <c r="B150" t="s">
        <v>679</v>
      </c>
      <c r="C150">
        <v>1300000</v>
      </c>
    </row>
    <row r="151" spans="1:6">
      <c r="A151">
        <f t="shared" si="2"/>
        <v>148</v>
      </c>
      <c r="B151" t="s">
        <v>680</v>
      </c>
      <c r="C151">
        <v>1100000</v>
      </c>
    </row>
    <row r="152" spans="1:6">
      <c r="A152">
        <f t="shared" si="2"/>
        <v>149</v>
      </c>
      <c r="B152" t="s">
        <v>681</v>
      </c>
      <c r="C152">
        <v>1000000</v>
      </c>
    </row>
    <row r="153" spans="1:6">
      <c r="A153">
        <f t="shared" si="2"/>
        <v>150</v>
      </c>
      <c r="B153" t="s">
        <v>682</v>
      </c>
      <c r="C153">
        <v>1000000</v>
      </c>
    </row>
    <row r="154" spans="1:6">
      <c r="A154">
        <f t="shared" si="2"/>
        <v>151</v>
      </c>
      <c r="B154" t="s">
        <v>683</v>
      </c>
      <c r="C154">
        <v>900000</v>
      </c>
    </row>
    <row r="155" spans="1:6">
      <c r="A155">
        <f t="shared" si="2"/>
        <v>152</v>
      </c>
      <c r="B155" t="s">
        <v>684</v>
      </c>
      <c r="C155">
        <v>700000</v>
      </c>
    </row>
    <row r="156" spans="1:6">
      <c r="A156">
        <f t="shared" si="2"/>
        <v>153</v>
      </c>
      <c r="B156" t="s">
        <v>685</v>
      </c>
      <c r="C156">
        <v>600000</v>
      </c>
    </row>
    <row r="157" spans="1:6">
      <c r="A157">
        <f t="shared" si="2"/>
        <v>154</v>
      </c>
      <c r="B157" t="s">
        <v>686</v>
      </c>
      <c r="C157">
        <v>600000</v>
      </c>
    </row>
    <row r="158" spans="1:6">
      <c r="A158">
        <f t="shared" si="2"/>
        <v>155</v>
      </c>
      <c r="B158" t="s">
        <v>687</v>
      </c>
      <c r="C158">
        <v>500000</v>
      </c>
    </row>
    <row r="159" spans="1:6">
      <c r="A159">
        <f t="shared" si="2"/>
        <v>156</v>
      </c>
      <c r="B159" t="s">
        <v>1413</v>
      </c>
      <c r="C159">
        <v>700000</v>
      </c>
      <c r="F159" t="b">
        <f>+B125=F125</f>
        <v>1</v>
      </c>
    </row>
    <row r="160" spans="1:6">
      <c r="A160">
        <f t="shared" si="2"/>
        <v>157</v>
      </c>
      <c r="B160" t="s">
        <v>1414</v>
      </c>
      <c r="C160">
        <v>700000</v>
      </c>
    </row>
    <row r="161" spans="1:3">
      <c r="A161">
        <f t="shared" si="2"/>
        <v>158</v>
      </c>
      <c r="B161" t="s">
        <v>1415</v>
      </c>
      <c r="C161">
        <v>500000</v>
      </c>
    </row>
    <row r="162" spans="1:3">
      <c r="A162">
        <f t="shared" si="2"/>
        <v>159</v>
      </c>
      <c r="B162" t="s">
        <v>1416</v>
      </c>
      <c r="C162">
        <v>500000</v>
      </c>
    </row>
    <row r="163" spans="1:3">
      <c r="A163">
        <f t="shared" si="2"/>
        <v>160</v>
      </c>
      <c r="B163" t="s">
        <v>688</v>
      </c>
      <c r="C163">
        <v>700000</v>
      </c>
    </row>
    <row r="164" spans="1:3">
      <c r="A164">
        <f t="shared" si="2"/>
        <v>161</v>
      </c>
      <c r="B164" t="s">
        <v>689</v>
      </c>
      <c r="C164">
        <v>700000</v>
      </c>
    </row>
    <row r="165" spans="1:3">
      <c r="A165">
        <f t="shared" si="2"/>
        <v>162</v>
      </c>
      <c r="B165" t="s">
        <v>690</v>
      </c>
      <c r="C165">
        <v>600000</v>
      </c>
    </row>
    <row r="166" spans="1:3">
      <c r="A166">
        <f t="shared" si="2"/>
        <v>163</v>
      </c>
      <c r="B166" t="s">
        <v>691</v>
      </c>
      <c r="C166">
        <v>600000</v>
      </c>
    </row>
    <row r="167" spans="1:3">
      <c r="A167">
        <f t="shared" si="2"/>
        <v>164</v>
      </c>
      <c r="B167" t="s">
        <v>692</v>
      </c>
      <c r="C167">
        <v>700000</v>
      </c>
    </row>
    <row r="168" spans="1:3">
      <c r="A168">
        <f t="shared" si="2"/>
        <v>165</v>
      </c>
      <c r="B168" t="s">
        <v>693</v>
      </c>
      <c r="C168">
        <v>700000</v>
      </c>
    </row>
    <row r="169" spans="1:3">
      <c r="A169">
        <f t="shared" si="2"/>
        <v>166</v>
      </c>
      <c r="B169" t="s">
        <v>694</v>
      </c>
      <c r="C169">
        <v>600000</v>
      </c>
    </row>
    <row r="170" spans="1:3">
      <c r="A170">
        <f t="shared" si="2"/>
        <v>167</v>
      </c>
      <c r="B170" t="s">
        <v>695</v>
      </c>
      <c r="C170">
        <v>500000</v>
      </c>
    </row>
    <row r="171" spans="1:3">
      <c r="A171">
        <f t="shared" si="2"/>
        <v>168</v>
      </c>
      <c r="B171" t="s">
        <v>696</v>
      </c>
      <c r="C171">
        <v>700000</v>
      </c>
    </row>
    <row r="172" spans="1:3">
      <c r="A172">
        <f t="shared" si="2"/>
        <v>169</v>
      </c>
      <c r="B172" t="s">
        <v>697</v>
      </c>
      <c r="C172">
        <v>600000</v>
      </c>
    </row>
    <row r="173" spans="1:3">
      <c r="A173">
        <f t="shared" si="2"/>
        <v>170</v>
      </c>
      <c r="B173" t="s">
        <v>698</v>
      </c>
      <c r="C173">
        <v>500000</v>
      </c>
    </row>
    <row r="174" spans="1:3">
      <c r="A174">
        <f t="shared" si="2"/>
        <v>171</v>
      </c>
      <c r="B174" t="s">
        <v>699</v>
      </c>
      <c r="C174">
        <v>300000</v>
      </c>
    </row>
    <row r="175" spans="1:3">
      <c r="A175">
        <f t="shared" si="2"/>
        <v>172</v>
      </c>
      <c r="B175" t="s">
        <v>700</v>
      </c>
      <c r="C175">
        <v>700000</v>
      </c>
    </row>
    <row r="176" spans="1:3">
      <c r="A176">
        <f t="shared" si="2"/>
        <v>173</v>
      </c>
      <c r="B176" t="s">
        <v>701</v>
      </c>
      <c r="C176">
        <v>700000</v>
      </c>
    </row>
    <row r="177" spans="1:3">
      <c r="A177">
        <f t="shared" si="2"/>
        <v>174</v>
      </c>
      <c r="B177" t="s">
        <v>702</v>
      </c>
      <c r="C177">
        <v>500000</v>
      </c>
    </row>
    <row r="178" spans="1:3">
      <c r="A178">
        <f t="shared" si="2"/>
        <v>175</v>
      </c>
      <c r="B178" t="s">
        <v>703</v>
      </c>
      <c r="C178">
        <v>500000</v>
      </c>
    </row>
    <row r="179" spans="1:3">
      <c r="A179">
        <f t="shared" si="2"/>
        <v>176</v>
      </c>
      <c r="B179" t="s">
        <v>704</v>
      </c>
      <c r="C179">
        <v>800000</v>
      </c>
    </row>
    <row r="180" spans="1:3">
      <c r="A180">
        <f t="shared" si="2"/>
        <v>177</v>
      </c>
      <c r="B180" t="s">
        <v>705</v>
      </c>
      <c r="C180">
        <v>700000</v>
      </c>
    </row>
    <row r="181" spans="1:3">
      <c r="A181">
        <f t="shared" si="2"/>
        <v>178</v>
      </c>
      <c r="B181" t="s">
        <v>706</v>
      </c>
      <c r="C181">
        <v>600000</v>
      </c>
    </row>
    <row r="182" spans="1:3">
      <c r="A182">
        <f t="shared" si="2"/>
        <v>179</v>
      </c>
      <c r="B182" t="s">
        <v>707</v>
      </c>
      <c r="C182">
        <v>500000</v>
      </c>
    </row>
    <row r="183" spans="1:3">
      <c r="A183">
        <f t="shared" si="2"/>
        <v>180</v>
      </c>
      <c r="B183" t="s">
        <v>708</v>
      </c>
      <c r="C183">
        <v>400000</v>
      </c>
    </row>
    <row r="184" spans="1:3">
      <c r="A184">
        <f t="shared" si="2"/>
        <v>181</v>
      </c>
      <c r="B184" t="s">
        <v>709</v>
      </c>
      <c r="C184">
        <v>800000</v>
      </c>
    </row>
    <row r="185" spans="1:3">
      <c r="A185">
        <f t="shared" si="2"/>
        <v>182</v>
      </c>
      <c r="B185" t="s">
        <v>710</v>
      </c>
      <c r="C185">
        <v>800000</v>
      </c>
    </row>
    <row r="186" spans="1:3">
      <c r="A186">
        <f t="shared" si="2"/>
        <v>183</v>
      </c>
      <c r="B186" t="s">
        <v>711</v>
      </c>
      <c r="C186">
        <v>700000</v>
      </c>
    </row>
    <row r="187" spans="1:3">
      <c r="A187">
        <f t="shared" si="2"/>
        <v>184</v>
      </c>
      <c r="B187" t="s">
        <v>712</v>
      </c>
      <c r="C187">
        <v>700000</v>
      </c>
    </row>
    <row r="188" spans="1:3">
      <c r="A188">
        <f t="shared" si="2"/>
        <v>185</v>
      </c>
      <c r="B188" t="s">
        <v>713</v>
      </c>
      <c r="C188">
        <v>700000</v>
      </c>
    </row>
    <row r="189" spans="1:3">
      <c r="A189">
        <f t="shared" si="2"/>
        <v>186</v>
      </c>
      <c r="B189" t="s">
        <v>714</v>
      </c>
      <c r="C189">
        <v>1000000</v>
      </c>
    </row>
    <row r="190" spans="1:3">
      <c r="A190">
        <f t="shared" si="2"/>
        <v>187</v>
      </c>
      <c r="B190" t="s">
        <v>715</v>
      </c>
      <c r="C190">
        <v>1000000</v>
      </c>
    </row>
    <row r="191" spans="1:3">
      <c r="A191">
        <f t="shared" si="2"/>
        <v>188</v>
      </c>
      <c r="B191" t="s">
        <v>716</v>
      </c>
      <c r="C191">
        <v>700000</v>
      </c>
    </row>
    <row r="192" spans="1:3">
      <c r="A192">
        <f t="shared" si="2"/>
        <v>189</v>
      </c>
      <c r="B192" t="s">
        <v>717</v>
      </c>
      <c r="C192">
        <v>500000</v>
      </c>
    </row>
    <row r="193" spans="1:3">
      <c r="A193">
        <f t="shared" si="2"/>
        <v>190</v>
      </c>
      <c r="B193" t="s">
        <v>718</v>
      </c>
      <c r="C193">
        <v>500000</v>
      </c>
    </row>
    <row r="194" spans="1:3">
      <c r="A194">
        <f t="shared" si="2"/>
        <v>191</v>
      </c>
      <c r="B194" t="s">
        <v>719</v>
      </c>
      <c r="C194">
        <v>500000</v>
      </c>
    </row>
    <row r="195" spans="1:3">
      <c r="A195">
        <f t="shared" si="2"/>
        <v>192</v>
      </c>
      <c r="B195" t="s">
        <v>720</v>
      </c>
      <c r="C195">
        <v>500000</v>
      </c>
    </row>
    <row r="196" spans="1:3">
      <c r="A196">
        <f t="shared" si="2"/>
        <v>193</v>
      </c>
      <c r="B196" t="s">
        <v>1417</v>
      </c>
      <c r="C196">
        <v>600000</v>
      </c>
    </row>
    <row r="197" spans="1:3">
      <c r="A197">
        <f t="shared" si="2"/>
        <v>194</v>
      </c>
      <c r="B197" t="s">
        <v>1418</v>
      </c>
      <c r="C197">
        <v>500000</v>
      </c>
    </row>
    <row r="198" spans="1:3">
      <c r="A198">
        <f t="shared" ref="A198:A225" si="3">+A197+1</f>
        <v>195</v>
      </c>
      <c r="B198" t="s">
        <v>1419</v>
      </c>
      <c r="C198">
        <v>500000</v>
      </c>
    </row>
    <row r="199" spans="1:3">
      <c r="A199">
        <f t="shared" si="3"/>
        <v>196</v>
      </c>
      <c r="B199" t="s">
        <v>1420</v>
      </c>
      <c r="C199">
        <v>500000</v>
      </c>
    </row>
    <row r="200" spans="1:3">
      <c r="A200">
        <f t="shared" si="3"/>
        <v>197</v>
      </c>
      <c r="B200" t="s">
        <v>721</v>
      </c>
      <c r="C200">
        <v>700000</v>
      </c>
    </row>
    <row r="201" spans="1:3">
      <c r="A201">
        <f t="shared" si="3"/>
        <v>198</v>
      </c>
      <c r="B201" t="s">
        <v>722</v>
      </c>
      <c r="C201">
        <v>600000</v>
      </c>
    </row>
    <row r="202" spans="1:3">
      <c r="A202">
        <f t="shared" si="3"/>
        <v>199</v>
      </c>
      <c r="B202" t="s">
        <v>723</v>
      </c>
      <c r="C202">
        <v>600000</v>
      </c>
    </row>
    <row r="203" spans="1:3">
      <c r="A203">
        <f t="shared" si="3"/>
        <v>200</v>
      </c>
      <c r="B203" t="s">
        <v>724</v>
      </c>
      <c r="C203">
        <v>500000</v>
      </c>
    </row>
    <row r="204" spans="1:3">
      <c r="A204">
        <f t="shared" si="3"/>
        <v>201</v>
      </c>
      <c r="B204" t="s">
        <v>725</v>
      </c>
      <c r="C204">
        <v>700000</v>
      </c>
    </row>
    <row r="205" spans="1:3">
      <c r="A205">
        <f t="shared" si="3"/>
        <v>202</v>
      </c>
      <c r="B205" t="s">
        <v>726</v>
      </c>
      <c r="C205">
        <v>500000</v>
      </c>
    </row>
    <row r="206" spans="1:3">
      <c r="A206">
        <f t="shared" si="3"/>
        <v>203</v>
      </c>
      <c r="B206" t="s">
        <v>727</v>
      </c>
      <c r="C206">
        <v>500000</v>
      </c>
    </row>
    <row r="207" spans="1:3">
      <c r="A207">
        <f t="shared" si="3"/>
        <v>204</v>
      </c>
      <c r="B207" t="s">
        <v>728</v>
      </c>
      <c r="C207">
        <v>500000</v>
      </c>
    </row>
    <row r="208" spans="1:3">
      <c r="A208">
        <f t="shared" si="3"/>
        <v>205</v>
      </c>
      <c r="B208" t="s">
        <v>729</v>
      </c>
      <c r="C208">
        <v>500000</v>
      </c>
    </row>
    <row r="209" spans="1:3">
      <c r="A209">
        <f t="shared" si="3"/>
        <v>206</v>
      </c>
      <c r="B209" t="s">
        <v>730</v>
      </c>
      <c r="C209">
        <v>500000</v>
      </c>
    </row>
    <row r="210" spans="1:3">
      <c r="A210">
        <f t="shared" si="3"/>
        <v>207</v>
      </c>
      <c r="B210" t="s">
        <v>731</v>
      </c>
      <c r="C210">
        <v>400000</v>
      </c>
    </row>
    <row r="211" spans="1:3">
      <c r="A211">
        <f t="shared" si="3"/>
        <v>208</v>
      </c>
      <c r="B211" t="s">
        <v>732</v>
      </c>
      <c r="C211">
        <v>300000</v>
      </c>
    </row>
    <row r="212" spans="1:3">
      <c r="A212">
        <f t="shared" si="3"/>
        <v>209</v>
      </c>
      <c r="B212" t="s">
        <v>733</v>
      </c>
      <c r="C212">
        <v>600000</v>
      </c>
    </row>
    <row r="213" spans="1:3">
      <c r="A213">
        <f t="shared" si="3"/>
        <v>210</v>
      </c>
      <c r="B213" t="s">
        <v>734</v>
      </c>
      <c r="C213">
        <v>500000</v>
      </c>
    </row>
    <row r="214" spans="1:3">
      <c r="A214">
        <f t="shared" si="3"/>
        <v>211</v>
      </c>
      <c r="B214" t="s">
        <v>735</v>
      </c>
      <c r="C214">
        <v>500000</v>
      </c>
    </row>
    <row r="215" spans="1:3">
      <c r="A215">
        <f t="shared" si="3"/>
        <v>212</v>
      </c>
      <c r="B215" t="s">
        <v>736</v>
      </c>
      <c r="C215">
        <v>500000</v>
      </c>
    </row>
    <row r="216" spans="1:3">
      <c r="A216">
        <f t="shared" si="3"/>
        <v>213</v>
      </c>
      <c r="B216" t="s">
        <v>737</v>
      </c>
      <c r="C216">
        <v>500000</v>
      </c>
    </row>
    <row r="217" spans="1:3">
      <c r="A217">
        <f t="shared" si="3"/>
        <v>214</v>
      </c>
      <c r="B217" t="s">
        <v>738</v>
      </c>
      <c r="C217">
        <v>500000</v>
      </c>
    </row>
    <row r="218" spans="1:3">
      <c r="A218">
        <f t="shared" si="3"/>
        <v>215</v>
      </c>
      <c r="B218" t="s">
        <v>739</v>
      </c>
      <c r="C218">
        <v>300000</v>
      </c>
    </row>
    <row r="219" spans="1:3">
      <c r="A219">
        <f t="shared" si="3"/>
        <v>216</v>
      </c>
      <c r="B219" t="s">
        <v>740</v>
      </c>
      <c r="C219">
        <v>300000</v>
      </c>
    </row>
    <row r="220" spans="1:3">
      <c r="A220">
        <f t="shared" si="3"/>
        <v>217</v>
      </c>
      <c r="B220" t="s">
        <v>741</v>
      </c>
      <c r="C220">
        <v>300000</v>
      </c>
    </row>
    <row r="221" spans="1:3">
      <c r="A221">
        <f t="shared" si="3"/>
        <v>218</v>
      </c>
      <c r="B221" t="s">
        <v>742</v>
      </c>
      <c r="C221">
        <v>800000</v>
      </c>
    </row>
    <row r="222" spans="1:3">
      <c r="A222">
        <f t="shared" si="3"/>
        <v>219</v>
      </c>
      <c r="B222" t="s">
        <v>743</v>
      </c>
      <c r="C222">
        <v>700000</v>
      </c>
    </row>
    <row r="223" spans="1:3">
      <c r="A223">
        <f t="shared" si="3"/>
        <v>220</v>
      </c>
      <c r="B223" t="s">
        <v>744</v>
      </c>
      <c r="C223">
        <v>700000</v>
      </c>
    </row>
    <row r="224" spans="1:3">
      <c r="A224">
        <f t="shared" si="3"/>
        <v>221</v>
      </c>
      <c r="B224" t="s">
        <v>745</v>
      </c>
      <c r="C224">
        <v>600000</v>
      </c>
    </row>
    <row r="225" spans="1:3">
      <c r="A225">
        <f t="shared" si="3"/>
        <v>222</v>
      </c>
      <c r="B225" t="s">
        <v>746</v>
      </c>
      <c r="C225">
        <v>500000</v>
      </c>
    </row>
  </sheetData>
  <sheetProtection algorithmName="SHA-512" hashValue="jQGkBAUVKuGPky0Yci5cu+9M8Jx3PxBf4ftLf+ah02tLGne59otGXCYHiYy1BluVhScu69GyoIk1S4NBupE66A==" saltValue="GfZDHQPstRPEBjpQLKDZ8A==" spinCount="100000" sheet="1" objects="1" scenarios="1"/>
  <autoFilter ref="A3:C22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67"/>
  <sheetViews>
    <sheetView workbookViewId="0">
      <selection activeCell="G26" sqref="G26"/>
    </sheetView>
  </sheetViews>
  <sheetFormatPr defaultColWidth="8.85546875" defaultRowHeight="15"/>
  <cols>
    <col min="4" max="4" width="10.140625" bestFit="1" customWidth="1"/>
  </cols>
  <sheetData>
    <row r="1" spans="1:5" ht="99.75" customHeight="1">
      <c r="A1" s="796" t="s">
        <v>238</v>
      </c>
      <c r="B1" s="796" t="s">
        <v>525</v>
      </c>
      <c r="C1" s="798" t="s">
        <v>588</v>
      </c>
      <c r="D1" s="155" t="s">
        <v>589</v>
      </c>
      <c r="E1" s="156" t="s">
        <v>590</v>
      </c>
    </row>
    <row r="2" spans="1:5" ht="30.75" thickBot="1">
      <c r="A2" s="797"/>
      <c r="B2" s="797"/>
      <c r="C2" s="799"/>
      <c r="D2" s="157" t="s">
        <v>591</v>
      </c>
      <c r="E2" s="158" t="s">
        <v>591</v>
      </c>
    </row>
    <row r="3" spans="1:5" ht="15.75" thickBot="1">
      <c r="A3" s="159"/>
      <c r="B3" s="160"/>
      <c r="C3" s="161">
        <f>+SUM(C4:C67)</f>
        <v>945</v>
      </c>
      <c r="D3" s="157"/>
      <c r="E3" s="158"/>
    </row>
    <row r="4" spans="1:5" ht="15.75" thickBot="1">
      <c r="A4" s="162">
        <v>1</v>
      </c>
      <c r="B4" s="163" t="s">
        <v>105</v>
      </c>
      <c r="C4" s="164">
        <v>7</v>
      </c>
      <c r="D4" s="164">
        <v>4456000</v>
      </c>
      <c r="E4" s="165">
        <v>2160000</v>
      </c>
    </row>
    <row r="5" spans="1:5" ht="15.75" thickBot="1">
      <c r="A5" s="162">
        <f>+A4+1</f>
        <v>2</v>
      </c>
      <c r="B5" s="163" t="s">
        <v>526</v>
      </c>
      <c r="C5" s="164">
        <v>1</v>
      </c>
      <c r="D5" s="164">
        <v>6400000</v>
      </c>
      <c r="E5" s="165">
        <v>1620000</v>
      </c>
    </row>
    <row r="6" spans="1:5" ht="15.75" thickBot="1">
      <c r="A6" s="162">
        <f t="shared" ref="A6:A67" si="0">+A5+1</f>
        <v>3</v>
      </c>
      <c r="B6" s="163" t="s">
        <v>106</v>
      </c>
      <c r="C6" s="166">
        <v>3</v>
      </c>
      <c r="D6" s="164">
        <v>1000000</v>
      </c>
      <c r="E6" s="165">
        <v>1620000</v>
      </c>
    </row>
    <row r="7" spans="1:5" ht="15.75" thickBot="1">
      <c r="A7" s="162">
        <f t="shared" si="0"/>
        <v>4</v>
      </c>
      <c r="B7" s="163" t="s">
        <v>61</v>
      </c>
      <c r="C7" s="164">
        <f>5+28</f>
        <v>33</v>
      </c>
      <c r="D7" s="164">
        <v>6400000</v>
      </c>
      <c r="E7" s="165">
        <v>1080000</v>
      </c>
    </row>
    <row r="8" spans="1:5" ht="15.75" thickBot="1">
      <c r="A8" s="162">
        <f t="shared" si="0"/>
        <v>5</v>
      </c>
      <c r="B8" s="163" t="s">
        <v>62</v>
      </c>
      <c r="C8" s="164">
        <f>2+27</f>
        <v>29</v>
      </c>
      <c r="D8" s="164">
        <v>6400000</v>
      </c>
      <c r="E8" s="165">
        <v>2160000</v>
      </c>
    </row>
    <row r="9" spans="1:5" ht="15.75" thickBot="1">
      <c r="A9" s="162">
        <f t="shared" si="0"/>
        <v>6</v>
      </c>
      <c r="B9" s="163" t="s">
        <v>99</v>
      </c>
      <c r="C9" s="164">
        <v>7</v>
      </c>
      <c r="D9" s="164">
        <v>6400000</v>
      </c>
      <c r="E9" s="165">
        <v>3240000</v>
      </c>
    </row>
    <row r="10" spans="1:5" ht="15.75" thickBot="1">
      <c r="A10" s="162">
        <f t="shared" si="0"/>
        <v>7</v>
      </c>
      <c r="B10" s="163" t="s">
        <v>80</v>
      </c>
      <c r="C10" s="164">
        <v>11</v>
      </c>
      <c r="D10" s="164">
        <v>6400000</v>
      </c>
      <c r="E10" s="165">
        <v>1080000</v>
      </c>
    </row>
    <row r="11" spans="1:5" ht="15.75" thickBot="1">
      <c r="A11" s="162">
        <f t="shared" si="0"/>
        <v>8</v>
      </c>
      <c r="B11" s="163" t="s">
        <v>94</v>
      </c>
      <c r="C11" s="164">
        <v>58</v>
      </c>
      <c r="D11" s="164">
        <v>6400000</v>
      </c>
      <c r="E11" s="165">
        <v>1080000</v>
      </c>
    </row>
    <row r="12" spans="1:5" ht="15.75" thickBot="1">
      <c r="A12" s="162">
        <f t="shared" si="0"/>
        <v>9</v>
      </c>
      <c r="B12" s="163" t="s">
        <v>90</v>
      </c>
      <c r="C12" s="164">
        <v>3</v>
      </c>
      <c r="D12" s="164">
        <v>7480000</v>
      </c>
      <c r="E12" s="165">
        <v>1080000</v>
      </c>
    </row>
    <row r="13" spans="1:5" ht="15.75" thickBot="1">
      <c r="A13" s="162">
        <f t="shared" si="0"/>
        <v>10</v>
      </c>
      <c r="B13" s="163" t="s">
        <v>89</v>
      </c>
      <c r="C13" s="164">
        <f>1+3</f>
        <v>4</v>
      </c>
      <c r="D13" s="164">
        <v>9640000</v>
      </c>
      <c r="E13" s="165">
        <v>2700000</v>
      </c>
    </row>
    <row r="14" spans="1:5" ht="15.75" thickBot="1">
      <c r="A14" s="162">
        <f t="shared" si="0"/>
        <v>11</v>
      </c>
      <c r="B14" s="163" t="s">
        <v>107</v>
      </c>
      <c r="C14" s="164">
        <f>1+1</f>
        <v>2</v>
      </c>
      <c r="D14" s="164">
        <v>3160000</v>
      </c>
      <c r="E14" s="165">
        <v>216000</v>
      </c>
    </row>
    <row r="15" spans="1:5" ht="15.75" thickBot="1">
      <c r="A15" s="162">
        <f t="shared" si="0"/>
        <v>12</v>
      </c>
      <c r="B15" s="163" t="s">
        <v>102</v>
      </c>
      <c r="C15" s="164">
        <v>3</v>
      </c>
      <c r="D15" s="164">
        <v>3700000</v>
      </c>
      <c r="E15" s="165">
        <v>540000</v>
      </c>
    </row>
    <row r="16" spans="1:5" ht="15.75" thickBot="1">
      <c r="A16" s="162">
        <f t="shared" si="0"/>
        <v>13</v>
      </c>
      <c r="B16" s="163" t="s">
        <v>56</v>
      </c>
      <c r="C16" s="164">
        <v>2</v>
      </c>
      <c r="D16" s="164">
        <v>6400000</v>
      </c>
      <c r="E16" s="165">
        <v>1620000</v>
      </c>
    </row>
    <row r="17" spans="1:5" ht="15.75" thickBot="1">
      <c r="A17" s="162">
        <f t="shared" si="0"/>
        <v>14</v>
      </c>
      <c r="B17" s="163" t="s">
        <v>47</v>
      </c>
      <c r="C17" s="164">
        <v>1</v>
      </c>
      <c r="D17" s="164">
        <v>6400000</v>
      </c>
      <c r="E17" s="165">
        <v>1620000</v>
      </c>
    </row>
    <row r="18" spans="1:5" ht="15.75" thickBot="1">
      <c r="A18" s="162">
        <f t="shared" si="0"/>
        <v>15</v>
      </c>
      <c r="B18" s="163" t="s">
        <v>77</v>
      </c>
      <c r="C18" s="164">
        <f>3+9</f>
        <v>12</v>
      </c>
      <c r="D18" s="164">
        <v>6400000</v>
      </c>
      <c r="E18" s="165">
        <v>1080000</v>
      </c>
    </row>
    <row r="19" spans="1:5" ht="15.75" thickBot="1">
      <c r="A19" s="162">
        <f t="shared" si="0"/>
        <v>16</v>
      </c>
      <c r="B19" s="163" t="s">
        <v>83</v>
      </c>
      <c r="C19" s="164">
        <v>5</v>
      </c>
      <c r="D19" s="164">
        <v>7480000</v>
      </c>
      <c r="E19" s="165">
        <v>270000</v>
      </c>
    </row>
    <row r="20" spans="1:5" ht="15.75" thickBot="1">
      <c r="A20" s="162">
        <f t="shared" si="0"/>
        <v>17</v>
      </c>
      <c r="B20" s="163" t="s">
        <v>86</v>
      </c>
      <c r="C20" s="164">
        <v>1</v>
      </c>
      <c r="D20" s="164">
        <v>10180000</v>
      </c>
      <c r="E20" s="165">
        <v>1080000</v>
      </c>
    </row>
    <row r="21" spans="1:5" ht="15.75" thickBot="1">
      <c r="A21" s="162">
        <f t="shared" si="0"/>
        <v>18</v>
      </c>
      <c r="B21" s="163" t="s">
        <v>91</v>
      </c>
      <c r="C21" s="164">
        <f>9+52</f>
        <v>61</v>
      </c>
      <c r="D21" s="164">
        <v>9640000</v>
      </c>
      <c r="E21" s="165">
        <v>1620000</v>
      </c>
    </row>
    <row r="22" spans="1:5" ht="15.75" thickBot="1">
      <c r="A22" s="162">
        <f t="shared" si="0"/>
        <v>19</v>
      </c>
      <c r="B22" s="163" t="s">
        <v>96</v>
      </c>
      <c r="C22" s="164">
        <v>3</v>
      </c>
      <c r="D22" s="164">
        <v>4780000</v>
      </c>
      <c r="E22" s="165">
        <v>2052000</v>
      </c>
    </row>
    <row r="23" spans="1:5" ht="15.75" thickBot="1">
      <c r="A23" s="162">
        <f t="shared" si="0"/>
        <v>20</v>
      </c>
      <c r="B23" s="163" t="s">
        <v>82</v>
      </c>
      <c r="C23" s="164"/>
      <c r="D23" s="164">
        <v>6400000</v>
      </c>
      <c r="E23" s="165">
        <v>1080000</v>
      </c>
    </row>
    <row r="24" spans="1:5" ht="15.75" thickBot="1">
      <c r="A24" s="162">
        <f t="shared" si="0"/>
        <v>21</v>
      </c>
      <c r="B24" s="163" t="s">
        <v>67</v>
      </c>
      <c r="C24" s="164">
        <f>2+1</f>
        <v>3</v>
      </c>
      <c r="D24" s="164">
        <v>6400000</v>
      </c>
      <c r="E24" s="165">
        <v>3240000</v>
      </c>
    </row>
    <row r="25" spans="1:5" ht="15.75" thickBot="1">
      <c r="A25" s="162">
        <f t="shared" si="0"/>
        <v>22</v>
      </c>
      <c r="B25" s="167" t="str">
        <f>Capex_VCC!AA3</f>
        <v>HNI- ngoại thành</v>
      </c>
      <c r="C25" s="168">
        <f>29+255</f>
        <v>284</v>
      </c>
      <c r="D25" s="168">
        <v>15040000</v>
      </c>
      <c r="E25" s="169">
        <v>3240000</v>
      </c>
    </row>
    <row r="26" spans="1:5" ht="15.75" thickBot="1">
      <c r="A26" s="162"/>
      <c r="B26" s="199" t="str">
        <f>Capex_VCC!AB3</f>
        <v>HNI- Nội thành</v>
      </c>
      <c r="C26" s="200"/>
      <c r="D26" s="168">
        <v>15040000</v>
      </c>
      <c r="E26" s="169">
        <v>3240000</v>
      </c>
    </row>
    <row r="27" spans="1:5" ht="15.75" thickBot="1">
      <c r="A27" s="162">
        <f>+A25+1</f>
        <v>23</v>
      </c>
      <c r="B27" s="163" t="s">
        <v>74</v>
      </c>
      <c r="C27" s="164">
        <v>2</v>
      </c>
      <c r="D27" s="164">
        <v>5320000</v>
      </c>
      <c r="E27" s="165">
        <v>2160000</v>
      </c>
    </row>
    <row r="28" spans="1:5" ht="15.75" thickBot="1">
      <c r="A28" s="162">
        <f t="shared" si="0"/>
        <v>24</v>
      </c>
      <c r="B28" s="163" t="s">
        <v>64</v>
      </c>
      <c r="C28" s="164">
        <f>2+3</f>
        <v>5</v>
      </c>
      <c r="D28" s="164">
        <v>7480000</v>
      </c>
      <c r="E28" s="165">
        <v>2160000</v>
      </c>
    </row>
    <row r="29" spans="1:5" ht="15.75" thickBot="1">
      <c r="A29" s="162">
        <f t="shared" si="0"/>
        <v>25</v>
      </c>
      <c r="B29" s="163" t="s">
        <v>65</v>
      </c>
      <c r="C29" s="164">
        <f>3+5</f>
        <v>8</v>
      </c>
      <c r="D29" s="164">
        <v>17200000</v>
      </c>
      <c r="E29" s="165">
        <v>2700000</v>
      </c>
    </row>
    <row r="30" spans="1:5" ht="15.75" thickBot="1">
      <c r="A30" s="162">
        <f t="shared" si="0"/>
        <v>26</v>
      </c>
      <c r="B30" s="163" t="s">
        <v>55</v>
      </c>
      <c r="C30" s="164">
        <v>2</v>
      </c>
      <c r="D30" s="164">
        <v>1000000</v>
      </c>
      <c r="E30" s="165">
        <v>1620000</v>
      </c>
    </row>
    <row r="31" spans="1:5" ht="15.75" thickBot="1">
      <c r="A31" s="162">
        <f t="shared" si="0"/>
        <v>27</v>
      </c>
      <c r="B31" s="163" t="s">
        <v>103</v>
      </c>
      <c r="C31" s="164"/>
      <c r="D31" s="164">
        <v>4996000</v>
      </c>
      <c r="E31" s="165">
        <v>540000</v>
      </c>
    </row>
    <row r="32" spans="1:5" ht="15.75" thickBot="1">
      <c r="A32" s="162">
        <f t="shared" si="0"/>
        <v>28</v>
      </c>
      <c r="B32" s="163" t="s">
        <v>52</v>
      </c>
      <c r="C32" s="164">
        <v>2</v>
      </c>
      <c r="D32" s="164">
        <v>4780000</v>
      </c>
      <c r="E32" s="165">
        <v>3780000</v>
      </c>
    </row>
    <row r="33" spans="1:5" ht="15.75" thickBot="1">
      <c r="A33" s="162">
        <f t="shared" si="0"/>
        <v>29</v>
      </c>
      <c r="B33" s="170" t="s">
        <v>95</v>
      </c>
      <c r="C33" s="171">
        <f>97+105</f>
        <v>202</v>
      </c>
      <c r="D33" s="171">
        <v>15580000</v>
      </c>
      <c r="E33" s="172">
        <v>1080000</v>
      </c>
    </row>
    <row r="34" spans="1:5" ht="15.75" thickBot="1">
      <c r="A34" s="162">
        <f t="shared" si="0"/>
        <v>30</v>
      </c>
      <c r="B34" s="163" t="s">
        <v>63</v>
      </c>
      <c r="C34" s="164">
        <v>4</v>
      </c>
      <c r="D34" s="164">
        <v>4240000</v>
      </c>
      <c r="E34" s="165">
        <v>5400000</v>
      </c>
    </row>
    <row r="35" spans="1:5" ht="15.75" thickBot="1">
      <c r="A35" s="162">
        <f t="shared" si="0"/>
        <v>31</v>
      </c>
      <c r="B35" s="163" t="s">
        <v>104</v>
      </c>
      <c r="C35" s="164">
        <f>2+4</f>
        <v>6</v>
      </c>
      <c r="D35" s="164">
        <v>1810000</v>
      </c>
      <c r="E35" s="165">
        <v>2160000</v>
      </c>
    </row>
    <row r="36" spans="1:5" ht="15.75" thickBot="1">
      <c r="A36" s="162">
        <f t="shared" si="0"/>
        <v>32</v>
      </c>
      <c r="B36" s="163" t="s">
        <v>78</v>
      </c>
      <c r="C36" s="164">
        <v>2</v>
      </c>
      <c r="D36" s="164">
        <v>6400000</v>
      </c>
      <c r="E36" s="165">
        <v>540000</v>
      </c>
    </row>
    <row r="37" spans="1:5" ht="15.75" thickBot="1">
      <c r="A37" s="162">
        <f t="shared" si="0"/>
        <v>33</v>
      </c>
      <c r="B37" s="163" t="s">
        <v>85</v>
      </c>
      <c r="C37" s="164">
        <f>2+7</f>
        <v>9</v>
      </c>
      <c r="D37" s="164">
        <v>6400000</v>
      </c>
      <c r="E37" s="165">
        <v>2160000</v>
      </c>
    </row>
    <row r="38" spans="1:5" ht="15.75" thickBot="1">
      <c r="A38" s="162">
        <f t="shared" si="0"/>
        <v>34</v>
      </c>
      <c r="B38" s="163" t="s">
        <v>53</v>
      </c>
      <c r="C38" s="164">
        <f>2+3</f>
        <v>5</v>
      </c>
      <c r="D38" s="164">
        <v>6400000</v>
      </c>
      <c r="E38" s="165">
        <v>1620000</v>
      </c>
    </row>
    <row r="39" spans="1:5" ht="15.75" thickBot="1">
      <c r="A39" s="162">
        <f t="shared" si="0"/>
        <v>35</v>
      </c>
      <c r="B39" s="163" t="s">
        <v>87</v>
      </c>
      <c r="C39" s="164">
        <v>3</v>
      </c>
      <c r="D39" s="164">
        <v>13960000</v>
      </c>
      <c r="E39" s="165">
        <v>2700000</v>
      </c>
    </row>
    <row r="40" spans="1:5" ht="15.75" thickBot="1">
      <c r="A40" s="162">
        <f t="shared" si="0"/>
        <v>36</v>
      </c>
      <c r="B40" s="163" t="s">
        <v>97</v>
      </c>
      <c r="C40" s="164">
        <v>24</v>
      </c>
      <c r="D40" s="164">
        <v>1540000</v>
      </c>
      <c r="E40" s="165">
        <v>540000</v>
      </c>
    </row>
    <row r="41" spans="1:5" ht="15.75" thickBot="1">
      <c r="A41" s="162">
        <f t="shared" si="0"/>
        <v>37</v>
      </c>
      <c r="B41" s="163" t="s">
        <v>48</v>
      </c>
      <c r="C41" s="164">
        <v>1</v>
      </c>
      <c r="D41" s="164">
        <v>6400000</v>
      </c>
      <c r="E41" s="165">
        <v>1620000</v>
      </c>
    </row>
    <row r="42" spans="1:5" ht="15.75" thickBot="1">
      <c r="A42" s="162">
        <f t="shared" si="0"/>
        <v>38</v>
      </c>
      <c r="B42" s="163" t="s">
        <v>69</v>
      </c>
      <c r="C42" s="164">
        <f>3+3</f>
        <v>6</v>
      </c>
      <c r="D42" s="164">
        <v>9640000</v>
      </c>
      <c r="E42" s="165">
        <v>4320000</v>
      </c>
    </row>
    <row r="43" spans="1:5" ht="15.75" thickBot="1">
      <c r="A43" s="162">
        <f t="shared" si="0"/>
        <v>39</v>
      </c>
      <c r="B43" s="163" t="s">
        <v>70</v>
      </c>
      <c r="C43" s="164">
        <f>3+1</f>
        <v>4</v>
      </c>
      <c r="D43" s="164">
        <v>5320000</v>
      </c>
      <c r="E43" s="165">
        <v>1620000</v>
      </c>
    </row>
    <row r="44" spans="1:5" ht="15.75" thickBot="1">
      <c r="A44" s="162">
        <f t="shared" si="0"/>
        <v>40</v>
      </c>
      <c r="B44" s="163" t="s">
        <v>88</v>
      </c>
      <c r="C44" s="164">
        <f>1+2</f>
        <v>3</v>
      </c>
      <c r="D44" s="164">
        <v>6400000</v>
      </c>
      <c r="E44" s="165">
        <v>1620000</v>
      </c>
    </row>
    <row r="45" spans="1:5" ht="15.75" thickBot="1">
      <c r="A45" s="162">
        <f t="shared" si="0"/>
        <v>41</v>
      </c>
      <c r="B45" s="163" t="s">
        <v>606</v>
      </c>
      <c r="C45" s="164">
        <v>5</v>
      </c>
      <c r="D45" s="164">
        <v>4240000</v>
      </c>
      <c r="E45" s="165">
        <v>1080000</v>
      </c>
    </row>
    <row r="46" spans="1:5" ht="15.75" thickBot="1">
      <c r="A46" s="162">
        <f t="shared" si="0"/>
        <v>42</v>
      </c>
      <c r="B46" s="163" t="s">
        <v>50</v>
      </c>
      <c r="C46" s="164">
        <f>2+3</f>
        <v>5</v>
      </c>
      <c r="D46" s="164">
        <v>6400000</v>
      </c>
      <c r="E46" s="165">
        <v>1620000</v>
      </c>
    </row>
    <row r="47" spans="1:5" ht="15.75" thickBot="1">
      <c r="A47" s="162">
        <f t="shared" si="0"/>
        <v>43</v>
      </c>
      <c r="B47" s="163" t="s">
        <v>84</v>
      </c>
      <c r="C47" s="164">
        <v>1</v>
      </c>
      <c r="D47" s="164">
        <v>6400000</v>
      </c>
      <c r="E47" s="165">
        <v>1080000</v>
      </c>
    </row>
    <row r="48" spans="1:5" ht="15.75" thickBot="1">
      <c r="A48" s="162">
        <f t="shared" si="0"/>
        <v>44</v>
      </c>
      <c r="B48" s="163" t="s">
        <v>73</v>
      </c>
      <c r="C48" s="164">
        <v>7</v>
      </c>
      <c r="D48" s="164">
        <v>6400000</v>
      </c>
      <c r="E48" s="165">
        <v>1080000</v>
      </c>
    </row>
    <row r="49" spans="1:5" ht="15.75" thickBot="1">
      <c r="A49" s="162">
        <f t="shared" si="0"/>
        <v>45</v>
      </c>
      <c r="B49" s="163" t="s">
        <v>81</v>
      </c>
      <c r="C49" s="164">
        <v>7</v>
      </c>
      <c r="D49" s="164">
        <v>9640000</v>
      </c>
      <c r="E49" s="165">
        <v>1188000</v>
      </c>
    </row>
    <row r="50" spans="1:5" ht="15.75" thickBot="1">
      <c r="A50" s="162">
        <f t="shared" si="0"/>
        <v>46</v>
      </c>
      <c r="B50" s="163" t="s">
        <v>66</v>
      </c>
      <c r="C50" s="164">
        <f>2+17</f>
        <v>19</v>
      </c>
      <c r="D50" s="164">
        <v>6400000</v>
      </c>
      <c r="E50" s="165">
        <v>1080000</v>
      </c>
    </row>
    <row r="51" spans="1:5" ht="15.75" thickBot="1">
      <c r="A51" s="162">
        <f t="shared" si="0"/>
        <v>47</v>
      </c>
      <c r="B51" s="163" t="s">
        <v>79</v>
      </c>
      <c r="C51" s="164">
        <f>3+4</f>
        <v>7</v>
      </c>
      <c r="D51" s="164">
        <v>6400000</v>
      </c>
      <c r="E51" s="165">
        <v>1080000</v>
      </c>
    </row>
    <row r="52" spans="1:5" ht="15.75" thickBot="1">
      <c r="A52" s="162">
        <f t="shared" si="0"/>
        <v>48</v>
      </c>
      <c r="B52" s="163" t="s">
        <v>75</v>
      </c>
      <c r="C52" s="164">
        <v>3</v>
      </c>
      <c r="D52" s="164">
        <v>17200000</v>
      </c>
      <c r="E52" s="165">
        <v>1080000</v>
      </c>
    </row>
    <row r="53" spans="1:5" ht="15.75" thickBot="1">
      <c r="A53" s="162">
        <f t="shared" si="0"/>
        <v>49</v>
      </c>
      <c r="B53" s="163" t="s">
        <v>51</v>
      </c>
      <c r="C53" s="164">
        <v>2</v>
      </c>
      <c r="D53" s="164">
        <v>6400000</v>
      </c>
      <c r="E53" s="165">
        <v>1620000</v>
      </c>
    </row>
    <row r="54" spans="1:5" ht="15.75" thickBot="1">
      <c r="A54" s="162">
        <f t="shared" si="0"/>
        <v>50</v>
      </c>
      <c r="B54" s="163" t="s">
        <v>108</v>
      </c>
      <c r="C54" s="164">
        <v>3</v>
      </c>
      <c r="D54" s="164">
        <v>6400000</v>
      </c>
      <c r="E54" s="165">
        <v>1620000</v>
      </c>
    </row>
    <row r="55" spans="1:5" ht="15.75" thickBot="1">
      <c r="A55" s="162">
        <f t="shared" si="0"/>
        <v>51</v>
      </c>
      <c r="B55" s="163" t="s">
        <v>93</v>
      </c>
      <c r="C55" s="164">
        <f>5+13</f>
        <v>18</v>
      </c>
      <c r="D55" s="164">
        <v>4240000</v>
      </c>
      <c r="E55" s="165">
        <v>540000</v>
      </c>
    </row>
    <row r="56" spans="1:5" ht="15.75" thickBot="1">
      <c r="A56" s="162">
        <f t="shared" si="0"/>
        <v>52</v>
      </c>
      <c r="B56" s="163" t="s">
        <v>98</v>
      </c>
      <c r="C56" s="164">
        <v>5</v>
      </c>
      <c r="D56" s="164">
        <v>4240000</v>
      </c>
      <c r="E56" s="165">
        <v>1620000</v>
      </c>
    </row>
    <row r="57" spans="1:5" ht="15.75" thickBot="1">
      <c r="A57" s="162">
        <f t="shared" si="0"/>
        <v>53</v>
      </c>
      <c r="B57" s="163" t="s">
        <v>68</v>
      </c>
      <c r="C57" s="164">
        <f>2+3</f>
        <v>5</v>
      </c>
      <c r="D57" s="164">
        <v>8560000</v>
      </c>
      <c r="E57" s="165">
        <v>4320000</v>
      </c>
    </row>
    <row r="58" spans="1:5" ht="15.75" thickBot="1">
      <c r="A58" s="162">
        <f t="shared" si="0"/>
        <v>54</v>
      </c>
      <c r="B58" s="163" t="s">
        <v>71</v>
      </c>
      <c r="C58" s="164">
        <v>4</v>
      </c>
      <c r="D58" s="164">
        <v>5320000</v>
      </c>
      <c r="E58" s="165">
        <v>1080000</v>
      </c>
    </row>
    <row r="59" spans="1:5" ht="15.75" thickBot="1">
      <c r="A59" s="162">
        <f t="shared" si="0"/>
        <v>55</v>
      </c>
      <c r="B59" s="163" t="s">
        <v>76</v>
      </c>
      <c r="C59" s="164">
        <v>5</v>
      </c>
      <c r="D59" s="164">
        <v>18280000</v>
      </c>
      <c r="E59" s="165">
        <v>1080000</v>
      </c>
    </row>
    <row r="60" spans="1:5" ht="15.75" thickBot="1">
      <c r="A60" s="162">
        <f t="shared" si="0"/>
        <v>56</v>
      </c>
      <c r="B60" s="163" t="s">
        <v>58</v>
      </c>
      <c r="C60" s="164">
        <v>1</v>
      </c>
      <c r="D60" s="164">
        <v>6400000</v>
      </c>
      <c r="E60" s="165">
        <v>1620000</v>
      </c>
    </row>
    <row r="61" spans="1:5" ht="15.75" thickBot="1">
      <c r="A61" s="162">
        <f t="shared" si="0"/>
        <v>57</v>
      </c>
      <c r="B61" s="163" t="s">
        <v>59</v>
      </c>
      <c r="C61" s="164">
        <f>5+1</f>
        <v>6</v>
      </c>
      <c r="D61" s="164">
        <v>6400000</v>
      </c>
      <c r="E61" s="165">
        <v>1080000</v>
      </c>
    </row>
    <row r="62" spans="1:5" ht="15.75" thickBot="1">
      <c r="A62" s="162">
        <f t="shared" si="0"/>
        <v>58</v>
      </c>
      <c r="B62" s="163" t="s">
        <v>101</v>
      </c>
      <c r="C62" s="164">
        <v>4</v>
      </c>
      <c r="D62" s="164">
        <v>4240000</v>
      </c>
      <c r="E62" s="165">
        <v>540000</v>
      </c>
    </row>
    <row r="63" spans="1:5" ht="15.75" thickBot="1">
      <c r="A63" s="162">
        <f t="shared" si="0"/>
        <v>59</v>
      </c>
      <c r="B63" s="163" t="s">
        <v>100</v>
      </c>
      <c r="C63" s="164">
        <v>1</v>
      </c>
      <c r="D63" s="164">
        <v>3160000</v>
      </c>
      <c r="E63" s="165">
        <v>1620000</v>
      </c>
    </row>
    <row r="64" spans="1:5" ht="15.75" thickBot="1">
      <c r="A64" s="162">
        <f t="shared" si="0"/>
        <v>60</v>
      </c>
      <c r="B64" s="163" t="s">
        <v>60</v>
      </c>
      <c r="C64" s="164">
        <v>5</v>
      </c>
      <c r="D64" s="164">
        <v>6400000</v>
      </c>
      <c r="E64" s="165">
        <v>1080000</v>
      </c>
    </row>
    <row r="65" spans="1:5" ht="15.75" thickBot="1">
      <c r="A65" s="162">
        <f t="shared" si="0"/>
        <v>61</v>
      </c>
      <c r="B65" s="163" t="s">
        <v>92</v>
      </c>
      <c r="C65" s="164">
        <v>9</v>
      </c>
      <c r="D65" s="164">
        <v>6400000</v>
      </c>
      <c r="E65" s="165">
        <v>540000</v>
      </c>
    </row>
    <row r="66" spans="1:5" ht="15.75" thickBot="1">
      <c r="A66" s="162">
        <f t="shared" si="0"/>
        <v>62</v>
      </c>
      <c r="B66" s="173" t="s">
        <v>54</v>
      </c>
      <c r="C66" s="174">
        <v>2</v>
      </c>
      <c r="D66" s="174">
        <v>6400000</v>
      </c>
      <c r="E66" s="175">
        <v>1620000</v>
      </c>
    </row>
    <row r="67" spans="1:5" ht="15.75" thickBot="1">
      <c r="A67" s="162">
        <f t="shared" si="0"/>
        <v>63</v>
      </c>
      <c r="B67" s="215" t="s">
        <v>49</v>
      </c>
      <c r="D67" s="174">
        <v>6400000</v>
      </c>
      <c r="E67" s="175">
        <v>1620000</v>
      </c>
    </row>
  </sheetData>
  <sheetProtection algorithmName="SHA-512" hashValue="7CPFLbpkXWkUybFXzBscS/uUmDgBHfR/28DDP3dmaJuKy/jZ8ZNkz7g3j+TkuIAA+Q0SrrYILaqnUwiGcnYw2w==" saltValue="0qZ3AsrgM8PK4xo/gxt4uQ==" spinCount="100000" sheet="1" objects="1" scenarios="1"/>
  <mergeCells count="3">
    <mergeCell ref="A1:A2"/>
    <mergeCell ref="B1:B2"/>
    <mergeCell ref="C1: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C578"/>
  <sheetViews>
    <sheetView workbookViewId="0">
      <selection activeCell="V21" sqref="V21"/>
    </sheetView>
  </sheetViews>
  <sheetFormatPr defaultColWidth="8.85546875" defaultRowHeight="15"/>
  <cols>
    <col min="13" max="13" width="56.42578125" customWidth="1"/>
    <col min="28" max="28" width="37" customWidth="1"/>
  </cols>
  <sheetData>
    <row r="1" spans="1:29" ht="25.5" customHeight="1" thickBot="1">
      <c r="A1" s="800" t="s">
        <v>238</v>
      </c>
      <c r="B1" s="800" t="s">
        <v>525</v>
      </c>
      <c r="C1" s="802" t="s">
        <v>607</v>
      </c>
      <c r="D1" s="803"/>
      <c r="E1" s="804"/>
      <c r="F1" s="805" t="s">
        <v>608</v>
      </c>
      <c r="G1" s="803"/>
      <c r="H1" s="804"/>
      <c r="I1" s="805" t="s">
        <v>609</v>
      </c>
      <c r="J1" s="803"/>
      <c r="K1" s="804"/>
      <c r="P1" s="806" t="s">
        <v>238</v>
      </c>
      <c r="Q1" s="806" t="s">
        <v>525</v>
      </c>
      <c r="R1" s="808" t="s">
        <v>607</v>
      </c>
      <c r="S1" s="809"/>
      <c r="T1" s="810"/>
      <c r="U1" s="808" t="s">
        <v>608</v>
      </c>
      <c r="V1" s="809"/>
      <c r="W1" s="810"/>
      <c r="X1" s="808" t="s">
        <v>609</v>
      </c>
      <c r="Y1" s="809"/>
      <c r="Z1" s="810"/>
    </row>
    <row r="2" spans="1:29" ht="26.25" thickBot="1">
      <c r="A2" s="801"/>
      <c r="B2" s="801"/>
      <c r="C2" s="190" t="s">
        <v>610</v>
      </c>
      <c r="D2" s="190" t="s">
        <v>611</v>
      </c>
      <c r="E2" s="190" t="s">
        <v>535</v>
      </c>
      <c r="F2" s="190" t="s">
        <v>610</v>
      </c>
      <c r="G2" s="190" t="s">
        <v>611</v>
      </c>
      <c r="H2" s="190" t="s">
        <v>535</v>
      </c>
      <c r="I2" s="190" t="s">
        <v>610</v>
      </c>
      <c r="J2" s="190" t="s">
        <v>611</v>
      </c>
      <c r="K2" s="190" t="s">
        <v>535</v>
      </c>
      <c r="P2" s="807"/>
      <c r="Q2" s="807"/>
      <c r="R2" s="407" t="s">
        <v>610</v>
      </c>
      <c r="S2" s="407" t="s">
        <v>611</v>
      </c>
      <c r="T2" s="407" t="s">
        <v>535</v>
      </c>
      <c r="U2" s="407" t="s">
        <v>610</v>
      </c>
      <c r="V2" s="407" t="s">
        <v>611</v>
      </c>
      <c r="W2" s="407" t="s">
        <v>535</v>
      </c>
      <c r="X2" s="407" t="s">
        <v>610</v>
      </c>
      <c r="Y2" s="407" t="s">
        <v>611</v>
      </c>
      <c r="Z2" s="407" t="s">
        <v>535</v>
      </c>
    </row>
    <row r="3" spans="1:29" ht="26.25" customHeight="1" thickBot="1">
      <c r="A3" s="191">
        <v>1</v>
      </c>
      <c r="B3" s="192" t="s">
        <v>105</v>
      </c>
      <c r="C3" s="193">
        <v>0.78869999999999996</v>
      </c>
      <c r="D3" s="192"/>
      <c r="E3" s="193">
        <v>0.8387</v>
      </c>
      <c r="F3" s="193">
        <v>0.92230000000000001</v>
      </c>
      <c r="G3" s="192"/>
      <c r="H3" s="193">
        <v>0.97230000000000005</v>
      </c>
      <c r="I3" s="194">
        <v>0.9466</v>
      </c>
      <c r="J3" s="195"/>
      <c r="K3" s="194">
        <v>0.99660000000000004</v>
      </c>
      <c r="M3" t="s">
        <v>1120</v>
      </c>
      <c r="N3" s="415">
        <v>0.84909999999999997</v>
      </c>
      <c r="P3" s="408">
        <v>1</v>
      </c>
      <c r="Q3" s="409" t="s">
        <v>105</v>
      </c>
      <c r="R3" s="410">
        <v>0.84909999999999997</v>
      </c>
      <c r="S3" s="409"/>
      <c r="T3" s="410">
        <v>0.91979999999999995</v>
      </c>
      <c r="U3" s="410">
        <v>0.9345</v>
      </c>
      <c r="V3" s="416"/>
      <c r="W3" s="410">
        <v>0.98509999999999998</v>
      </c>
      <c r="X3" s="421">
        <v>0.95909999999999995</v>
      </c>
      <c r="Y3" s="412"/>
      <c r="Z3" s="411">
        <v>0.99</v>
      </c>
    </row>
    <row r="4" spans="1:29" ht="15.75" thickBot="1">
      <c r="A4" s="191">
        <v>2</v>
      </c>
      <c r="B4" s="192" t="s">
        <v>106</v>
      </c>
      <c r="C4" s="193">
        <v>0.81069999999999998</v>
      </c>
      <c r="D4" s="192"/>
      <c r="E4" s="193">
        <v>0.86070000000000002</v>
      </c>
      <c r="F4" s="193">
        <v>0.92959999999999998</v>
      </c>
      <c r="G4" s="192"/>
      <c r="H4" s="193">
        <v>0.97960000000000003</v>
      </c>
      <c r="I4" s="194">
        <v>0.95469999999999999</v>
      </c>
      <c r="J4" s="195"/>
      <c r="K4" s="194">
        <v>1</v>
      </c>
      <c r="M4" t="s">
        <v>1334</v>
      </c>
      <c r="N4" s="415">
        <v>0.83689999999999998</v>
      </c>
      <c r="P4" s="408">
        <v>2</v>
      </c>
      <c r="Q4" s="409" t="s">
        <v>106</v>
      </c>
      <c r="R4" s="410">
        <v>0.83689999999999998</v>
      </c>
      <c r="S4" s="409"/>
      <c r="T4" s="410">
        <v>0.90480000000000005</v>
      </c>
      <c r="U4" s="410">
        <v>0.89080000000000004</v>
      </c>
      <c r="V4" s="416"/>
      <c r="W4" s="410">
        <v>0.93869999999999998</v>
      </c>
      <c r="X4" s="421">
        <v>0.91490000000000005</v>
      </c>
      <c r="Y4" s="412"/>
      <c r="Z4" s="411">
        <v>0.95830000000000004</v>
      </c>
      <c r="AB4" t="s">
        <v>1324</v>
      </c>
      <c r="AC4" s="410">
        <v>0.91569999999999996</v>
      </c>
    </row>
    <row r="5" spans="1:29" ht="15.75" thickBot="1">
      <c r="A5" s="191">
        <v>3</v>
      </c>
      <c r="B5" s="192" t="s">
        <v>61</v>
      </c>
      <c r="C5" s="193">
        <v>0.78410000000000002</v>
      </c>
      <c r="D5" s="193">
        <v>0.81410000000000005</v>
      </c>
      <c r="E5" s="193">
        <v>0.83409999999999995</v>
      </c>
      <c r="F5" s="193">
        <v>0.87639999999999996</v>
      </c>
      <c r="G5" s="193">
        <v>0.90639999999999998</v>
      </c>
      <c r="H5" s="193">
        <v>0.9264</v>
      </c>
      <c r="I5" s="194">
        <v>0.89859999999999995</v>
      </c>
      <c r="J5" s="194">
        <v>0.92859999999999998</v>
      </c>
      <c r="K5" s="194">
        <v>0.9486</v>
      </c>
      <c r="M5" t="s">
        <v>1335</v>
      </c>
      <c r="N5" s="415">
        <v>0.84550000000000003</v>
      </c>
      <c r="P5" s="408">
        <v>3</v>
      </c>
      <c r="Q5" s="409" t="s">
        <v>61</v>
      </c>
      <c r="R5" s="410">
        <v>0.84550000000000003</v>
      </c>
      <c r="S5" s="410">
        <v>0.87480000000000002</v>
      </c>
      <c r="T5" s="410">
        <v>0.91439999999999999</v>
      </c>
      <c r="U5" s="410">
        <v>0.88570000000000004</v>
      </c>
      <c r="V5" s="417">
        <v>0.91490000000000005</v>
      </c>
      <c r="W5" s="410">
        <v>0.9345</v>
      </c>
      <c r="X5" s="421">
        <v>0.89729999999999999</v>
      </c>
      <c r="Y5" s="411">
        <v>0.92659999999999998</v>
      </c>
      <c r="Z5" s="411">
        <v>0.92610000000000003</v>
      </c>
      <c r="AB5" t="s">
        <v>1325</v>
      </c>
    </row>
    <row r="6" spans="1:29" ht="15.75" thickBot="1">
      <c r="A6" s="191">
        <v>4</v>
      </c>
      <c r="B6" s="192" t="s">
        <v>62</v>
      </c>
      <c r="C6" s="193">
        <v>0.78680000000000005</v>
      </c>
      <c r="D6" s="192"/>
      <c r="E6" s="193">
        <v>0.83679999999999999</v>
      </c>
      <c r="F6" s="193">
        <v>0.87070000000000003</v>
      </c>
      <c r="G6" s="192"/>
      <c r="H6" s="193">
        <v>0.92069999999999996</v>
      </c>
      <c r="I6" s="194">
        <v>0.89229999999999998</v>
      </c>
      <c r="J6" s="195"/>
      <c r="K6" s="194">
        <v>0.94230000000000003</v>
      </c>
      <c r="M6" t="s">
        <v>1336</v>
      </c>
      <c r="N6" s="415">
        <v>0.84550000000000003</v>
      </c>
      <c r="P6" s="408">
        <v>4</v>
      </c>
      <c r="Q6" s="409" t="s">
        <v>62</v>
      </c>
      <c r="R6" s="410">
        <v>0.84550000000000003</v>
      </c>
      <c r="S6" s="409"/>
      <c r="T6" s="410">
        <v>0.91439999999999999</v>
      </c>
      <c r="U6" s="410">
        <v>0.88570000000000004</v>
      </c>
      <c r="V6" s="416"/>
      <c r="W6" s="410">
        <v>0.9345</v>
      </c>
      <c r="X6" s="421">
        <v>0.89729999999999999</v>
      </c>
      <c r="Y6" s="412"/>
      <c r="Z6" s="411">
        <v>0.92610000000000003</v>
      </c>
      <c r="AB6" t="s">
        <v>1326</v>
      </c>
      <c r="AC6" s="410">
        <v>0.98870000000000002</v>
      </c>
    </row>
    <row r="7" spans="1:29" ht="15.75" thickBot="1">
      <c r="A7" s="191">
        <v>5</v>
      </c>
      <c r="B7" s="192" t="s">
        <v>99</v>
      </c>
      <c r="C7" s="193">
        <v>0.755</v>
      </c>
      <c r="D7" s="192"/>
      <c r="E7" s="193">
        <v>0.80500000000000005</v>
      </c>
      <c r="F7" s="193">
        <v>0.88029999999999997</v>
      </c>
      <c r="G7" s="192"/>
      <c r="H7" s="193">
        <v>0.93030000000000002</v>
      </c>
      <c r="I7" s="194">
        <v>0.90049999999999997</v>
      </c>
      <c r="J7" s="195"/>
      <c r="K7" s="194">
        <v>0.95050000000000001</v>
      </c>
      <c r="M7" t="s">
        <v>1337</v>
      </c>
      <c r="N7" s="415">
        <v>0.84109999999999996</v>
      </c>
      <c r="P7" s="408">
        <v>5</v>
      </c>
      <c r="Q7" s="409" t="s">
        <v>99</v>
      </c>
      <c r="R7" s="410">
        <v>0.84109999999999996</v>
      </c>
      <c r="S7" s="409"/>
      <c r="T7" s="410">
        <v>0.91890000000000005</v>
      </c>
      <c r="U7" s="410">
        <v>0.87080000000000002</v>
      </c>
      <c r="V7" s="416"/>
      <c r="W7" s="410">
        <v>0.91859999999999997</v>
      </c>
      <c r="X7" s="421">
        <v>0.8901</v>
      </c>
      <c r="Y7" s="412"/>
      <c r="Z7" s="411">
        <v>0.93789999999999996</v>
      </c>
      <c r="AB7" t="s">
        <v>1327</v>
      </c>
      <c r="AC7" s="410">
        <v>0.96040000000000003</v>
      </c>
    </row>
    <row r="8" spans="1:29" ht="15.75" thickBot="1">
      <c r="A8" s="191">
        <v>6</v>
      </c>
      <c r="B8" s="192" t="s">
        <v>80</v>
      </c>
      <c r="C8" s="193">
        <v>0.755</v>
      </c>
      <c r="D8" s="192"/>
      <c r="E8" s="193">
        <v>0.80500000000000005</v>
      </c>
      <c r="F8" s="193">
        <v>0.93730000000000002</v>
      </c>
      <c r="G8" s="192"/>
      <c r="H8" s="193">
        <v>0.98729999999999996</v>
      </c>
      <c r="I8" s="194">
        <v>0.96279999999999999</v>
      </c>
      <c r="J8" s="195"/>
      <c r="K8" s="194">
        <v>1</v>
      </c>
      <c r="M8" t="s">
        <v>1338</v>
      </c>
      <c r="N8" s="415">
        <v>0.84789999999999999</v>
      </c>
      <c r="P8" s="408">
        <v>6</v>
      </c>
      <c r="Q8" s="409" t="s">
        <v>80</v>
      </c>
      <c r="R8" s="410">
        <v>0.84789999999999999</v>
      </c>
      <c r="S8" s="409"/>
      <c r="T8" s="410">
        <v>0.92349999999999999</v>
      </c>
      <c r="U8" s="410">
        <v>0.874</v>
      </c>
      <c r="V8" s="416"/>
      <c r="W8" s="410">
        <v>0.91959999999999997</v>
      </c>
      <c r="X8" s="421">
        <v>0.90720000000000001</v>
      </c>
      <c r="Y8" s="412"/>
      <c r="Z8" s="411">
        <v>0.93110000000000004</v>
      </c>
      <c r="AB8" t="s">
        <v>1328</v>
      </c>
    </row>
    <row r="9" spans="1:29" ht="15.75" thickBot="1">
      <c r="A9" s="191">
        <v>7</v>
      </c>
      <c r="B9" s="192" t="s">
        <v>94</v>
      </c>
      <c r="C9" s="193">
        <v>0.78029999999999999</v>
      </c>
      <c r="D9" s="192"/>
      <c r="E9" s="193">
        <v>0.83030000000000004</v>
      </c>
      <c r="F9" s="193">
        <v>0.86839999999999995</v>
      </c>
      <c r="G9" s="192"/>
      <c r="H9" s="193">
        <v>0.91839999999999999</v>
      </c>
      <c r="I9" s="194">
        <v>0.88970000000000005</v>
      </c>
      <c r="J9" s="195"/>
      <c r="K9" s="194">
        <v>0.93969999999999998</v>
      </c>
      <c r="M9" t="s">
        <v>1339</v>
      </c>
      <c r="N9" s="415">
        <v>0.85370000000000001</v>
      </c>
      <c r="P9" s="408">
        <v>7</v>
      </c>
      <c r="Q9" s="409" t="s">
        <v>94</v>
      </c>
      <c r="R9" s="410">
        <v>0.85370000000000001</v>
      </c>
      <c r="S9" s="409"/>
      <c r="T9" s="410">
        <v>0.92559999999999998</v>
      </c>
      <c r="U9" s="410">
        <v>0.90749999999999997</v>
      </c>
      <c r="V9" s="416"/>
      <c r="W9" s="410">
        <v>0.9194</v>
      </c>
      <c r="X9" s="421">
        <v>0.90539999999999998</v>
      </c>
      <c r="Y9" s="412"/>
      <c r="Z9" s="411">
        <v>0.93720000000000003</v>
      </c>
      <c r="AB9" t="s">
        <v>1329</v>
      </c>
      <c r="AC9" s="410">
        <v>0.99970000000000003</v>
      </c>
    </row>
    <row r="10" spans="1:29" ht="15.75" thickBot="1">
      <c r="A10" s="191">
        <v>8</v>
      </c>
      <c r="B10" s="192" t="s">
        <v>90</v>
      </c>
      <c r="C10" s="193">
        <v>0.80559999999999998</v>
      </c>
      <c r="D10" s="192"/>
      <c r="E10" s="193">
        <v>0.85560000000000003</v>
      </c>
      <c r="F10" s="193">
        <v>0.88749999999999996</v>
      </c>
      <c r="G10" s="192"/>
      <c r="H10" s="193">
        <v>0.9375</v>
      </c>
      <c r="I10" s="194">
        <v>0.91069999999999995</v>
      </c>
      <c r="J10" s="195"/>
      <c r="K10" s="194">
        <v>0.9607</v>
      </c>
      <c r="M10" t="s">
        <v>1340</v>
      </c>
      <c r="N10" s="415">
        <v>0.85389999999999999</v>
      </c>
      <c r="P10" s="408">
        <v>8</v>
      </c>
      <c r="Q10" s="409" t="s">
        <v>90</v>
      </c>
      <c r="R10" s="410">
        <v>0.85389999999999999</v>
      </c>
      <c r="S10" s="409"/>
      <c r="T10" s="410">
        <v>0.92130000000000001</v>
      </c>
      <c r="U10" s="410">
        <v>0.88149999999999995</v>
      </c>
      <c r="V10" s="416"/>
      <c r="W10" s="410">
        <v>0.91900000000000004</v>
      </c>
      <c r="X10" s="421">
        <v>0.91349999999999998</v>
      </c>
      <c r="Y10" s="412"/>
      <c r="Z10" s="411">
        <v>0.93100000000000005</v>
      </c>
      <c r="AB10" t="s">
        <v>1330</v>
      </c>
      <c r="AC10" s="421">
        <v>0.92989999999999995</v>
      </c>
    </row>
    <row r="11" spans="1:29" ht="15.75" thickBot="1">
      <c r="A11" s="191">
        <v>9</v>
      </c>
      <c r="B11" s="192" t="s">
        <v>89</v>
      </c>
      <c r="C11" s="193">
        <v>0.7903</v>
      </c>
      <c r="D11" s="192"/>
      <c r="E11" s="193">
        <v>0.84030000000000005</v>
      </c>
      <c r="F11" s="193">
        <v>0.91769999999999996</v>
      </c>
      <c r="G11" s="192"/>
      <c r="H11" s="193">
        <v>0.9677</v>
      </c>
      <c r="I11" s="194">
        <v>0.94110000000000005</v>
      </c>
      <c r="J11" s="195"/>
      <c r="K11" s="194">
        <v>0.99109999999999998</v>
      </c>
      <c r="M11" t="s">
        <v>1341</v>
      </c>
      <c r="N11" s="415">
        <v>0.85170000000000001</v>
      </c>
      <c r="P11" s="408">
        <v>9</v>
      </c>
      <c r="Q11" s="409" t="s">
        <v>89</v>
      </c>
      <c r="R11" s="410">
        <v>0.85170000000000001</v>
      </c>
      <c r="S11" s="409"/>
      <c r="T11" s="410">
        <v>0.92930000000000001</v>
      </c>
      <c r="U11" s="410">
        <v>0.87290000000000001</v>
      </c>
      <c r="V11" s="416"/>
      <c r="W11" s="410">
        <v>0.9204</v>
      </c>
      <c r="X11" s="421">
        <v>0.89510000000000001</v>
      </c>
      <c r="Y11" s="412"/>
      <c r="Z11" s="411">
        <v>0.94269999999999998</v>
      </c>
      <c r="AB11" t="s">
        <v>1331</v>
      </c>
    </row>
    <row r="12" spans="1:29" ht="15.75" thickBot="1">
      <c r="A12" s="191">
        <v>10</v>
      </c>
      <c r="B12" s="192" t="s">
        <v>107</v>
      </c>
      <c r="C12" s="193">
        <v>0.80969999999999998</v>
      </c>
      <c r="D12" s="192"/>
      <c r="E12" s="193">
        <v>0.85970000000000002</v>
      </c>
      <c r="F12" s="193">
        <v>0.93789999999999996</v>
      </c>
      <c r="G12" s="192"/>
      <c r="H12" s="193">
        <v>0.9879</v>
      </c>
      <c r="I12" s="194">
        <v>0.96379999999999999</v>
      </c>
      <c r="J12" s="195"/>
      <c r="K12" s="194">
        <v>1</v>
      </c>
      <c r="M12" t="s">
        <v>1342</v>
      </c>
      <c r="N12" s="415">
        <v>0.83179999999999998</v>
      </c>
      <c r="P12" s="408">
        <v>10</v>
      </c>
      <c r="Q12" s="409" t="s">
        <v>107</v>
      </c>
      <c r="R12" s="410">
        <v>0.83179999999999998</v>
      </c>
      <c r="S12" s="409"/>
      <c r="T12" s="410">
        <v>0.89890000000000003</v>
      </c>
      <c r="U12" s="410">
        <v>0.88239999999999996</v>
      </c>
      <c r="V12" s="416"/>
      <c r="W12" s="410">
        <v>0.92949999999999999</v>
      </c>
      <c r="X12" s="421">
        <v>0.90680000000000005</v>
      </c>
      <c r="Y12" s="412"/>
      <c r="Z12" s="411">
        <v>0.94089999999999996</v>
      </c>
      <c r="AB12" t="s">
        <v>1332</v>
      </c>
      <c r="AC12" s="411">
        <v>0.99</v>
      </c>
    </row>
    <row r="13" spans="1:29" ht="15.75" thickBot="1">
      <c r="A13" s="191">
        <v>11</v>
      </c>
      <c r="B13" s="192" t="s">
        <v>102</v>
      </c>
      <c r="C13" s="193">
        <v>0.78620000000000001</v>
      </c>
      <c r="D13" s="192"/>
      <c r="E13" s="193">
        <v>0.83620000000000005</v>
      </c>
      <c r="F13" s="193">
        <v>0.89629999999999999</v>
      </c>
      <c r="G13" s="192"/>
      <c r="H13" s="193">
        <v>0.94630000000000003</v>
      </c>
      <c r="I13" s="194">
        <v>0.91810000000000003</v>
      </c>
      <c r="J13" s="195"/>
      <c r="K13" s="194">
        <v>0.96809999999999996</v>
      </c>
      <c r="M13" t="s">
        <v>1343</v>
      </c>
      <c r="N13" s="415">
        <v>0.81469999999999998</v>
      </c>
      <c r="P13" s="408">
        <v>11</v>
      </c>
      <c r="Q13" s="409" t="s">
        <v>102</v>
      </c>
      <c r="R13" s="410">
        <v>0.81469999999999998</v>
      </c>
      <c r="S13" s="409"/>
      <c r="T13" s="410">
        <v>0.89459999999999995</v>
      </c>
      <c r="U13" s="410">
        <v>0.89459999999999995</v>
      </c>
      <c r="V13" s="416"/>
      <c r="W13" s="410">
        <v>0.94450000000000001</v>
      </c>
      <c r="X13" s="421">
        <v>0.9163</v>
      </c>
      <c r="Y13" s="412"/>
      <c r="Z13" s="411">
        <v>0.96619999999999995</v>
      </c>
    </row>
    <row r="14" spans="1:29" ht="15.75" thickBot="1">
      <c r="A14" s="191">
        <v>12</v>
      </c>
      <c r="B14" s="192" t="s">
        <v>77</v>
      </c>
      <c r="C14" s="193">
        <v>0.76759999999999995</v>
      </c>
      <c r="D14" s="192"/>
      <c r="E14" s="193">
        <v>0.93</v>
      </c>
      <c r="F14" s="193">
        <v>0.85819999999999996</v>
      </c>
      <c r="G14" s="192"/>
      <c r="H14" s="193">
        <v>0.95</v>
      </c>
      <c r="I14" s="194">
        <v>0.87590000000000001</v>
      </c>
      <c r="J14" s="195"/>
      <c r="K14" s="194">
        <v>0.92589999999999995</v>
      </c>
      <c r="M14" t="s">
        <v>1344</v>
      </c>
      <c r="N14" s="415">
        <v>0.85829999999999995</v>
      </c>
      <c r="P14" s="408">
        <v>12</v>
      </c>
      <c r="Q14" s="409" t="s">
        <v>77</v>
      </c>
      <c r="R14" s="410">
        <v>0.85829999999999995</v>
      </c>
      <c r="S14" s="409"/>
      <c r="T14" s="410">
        <v>0.92810000000000004</v>
      </c>
      <c r="U14" s="410">
        <v>0.89190000000000003</v>
      </c>
      <c r="V14" s="416"/>
      <c r="W14" s="410">
        <v>0.90659999999999996</v>
      </c>
      <c r="X14" s="421">
        <v>0.92820000000000003</v>
      </c>
      <c r="Y14" s="412"/>
      <c r="Z14" s="411">
        <v>0.95430000000000004</v>
      </c>
    </row>
    <row r="15" spans="1:29" ht="15.75" thickBot="1">
      <c r="A15" s="191">
        <v>13</v>
      </c>
      <c r="B15" s="192" t="s">
        <v>83</v>
      </c>
      <c r="C15" s="192"/>
      <c r="D15" s="193">
        <v>0.82220000000000004</v>
      </c>
      <c r="E15" s="193">
        <v>0.84219999999999995</v>
      </c>
      <c r="F15" s="192"/>
      <c r="G15" s="193">
        <v>0.97770000000000001</v>
      </c>
      <c r="H15" s="193">
        <v>0.99770000000000003</v>
      </c>
      <c r="I15" s="195"/>
      <c r="J15" s="194">
        <v>1</v>
      </c>
      <c r="K15" s="194">
        <v>1</v>
      </c>
      <c r="M15" t="s">
        <v>1345</v>
      </c>
      <c r="N15" s="415"/>
      <c r="P15" s="408">
        <v>13</v>
      </c>
      <c r="Q15" s="409" t="s">
        <v>83</v>
      </c>
      <c r="R15" s="409"/>
      <c r="S15" s="410">
        <v>0.87919999999999998</v>
      </c>
      <c r="T15" s="410">
        <v>0.90620000000000001</v>
      </c>
      <c r="U15" s="409"/>
      <c r="V15" s="417">
        <v>0.93140000000000001</v>
      </c>
      <c r="W15" s="413"/>
      <c r="X15" s="422"/>
      <c r="Y15" s="411">
        <v>0.95040000000000002</v>
      </c>
      <c r="Z15" s="411">
        <v>0.95040000000000002</v>
      </c>
    </row>
    <row r="16" spans="1:29" ht="15.75" thickBot="1">
      <c r="A16" s="191">
        <v>14</v>
      </c>
      <c r="B16" s="192" t="s">
        <v>86</v>
      </c>
      <c r="C16" s="192"/>
      <c r="D16" s="193">
        <v>0.81240000000000001</v>
      </c>
      <c r="E16" s="193">
        <v>0.83240000000000003</v>
      </c>
      <c r="F16" s="192"/>
      <c r="G16" s="193">
        <v>0.95709999999999995</v>
      </c>
      <c r="H16" s="193">
        <v>0.97709999999999997</v>
      </c>
      <c r="I16" s="195"/>
      <c r="J16" s="194">
        <v>0.98150000000000004</v>
      </c>
      <c r="K16" s="194">
        <v>1</v>
      </c>
      <c r="M16" t="s">
        <v>1346</v>
      </c>
      <c r="N16" s="415"/>
      <c r="P16" s="408">
        <v>14</v>
      </c>
      <c r="Q16" s="409" t="s">
        <v>86</v>
      </c>
      <c r="R16" s="409"/>
      <c r="S16" s="410">
        <v>0.876</v>
      </c>
      <c r="T16" s="410">
        <v>0.92410000000000003</v>
      </c>
      <c r="U16" s="409"/>
      <c r="V16" s="417">
        <v>0.93700000000000006</v>
      </c>
      <c r="W16" s="413"/>
      <c r="X16" s="422"/>
      <c r="Y16" s="411">
        <v>0.95909999999999995</v>
      </c>
      <c r="Z16" s="411">
        <v>0.95589999999999997</v>
      </c>
    </row>
    <row r="17" spans="1:26" ht="15.75" thickBot="1">
      <c r="A17" s="191">
        <v>15</v>
      </c>
      <c r="B17" s="192" t="s">
        <v>91</v>
      </c>
      <c r="C17" s="193">
        <v>0.7772</v>
      </c>
      <c r="D17" s="192"/>
      <c r="E17" s="193">
        <v>0.82720000000000005</v>
      </c>
      <c r="F17" s="193">
        <v>0.88200000000000001</v>
      </c>
      <c r="G17" s="192"/>
      <c r="H17" s="193">
        <v>0.93200000000000005</v>
      </c>
      <c r="I17" s="194">
        <v>0.90469999999999995</v>
      </c>
      <c r="J17" s="195"/>
      <c r="K17" s="194">
        <v>0.95469999999999999</v>
      </c>
      <c r="M17" t="s">
        <v>1347</v>
      </c>
      <c r="N17" s="415">
        <v>0.86639999999999995</v>
      </c>
      <c r="P17" s="408">
        <v>15</v>
      </c>
      <c r="Q17" s="409" t="s">
        <v>91</v>
      </c>
      <c r="R17" s="410">
        <v>0.86639999999999995</v>
      </c>
      <c r="S17" s="409"/>
      <c r="T17" s="410">
        <v>0.92059999999999997</v>
      </c>
      <c r="U17" s="410">
        <v>0.89900000000000002</v>
      </c>
      <c r="V17" s="416"/>
      <c r="W17" s="410">
        <v>0.92320000000000002</v>
      </c>
      <c r="X17" s="421">
        <v>0.92900000000000005</v>
      </c>
      <c r="Y17" s="412"/>
      <c r="Z17" s="411">
        <v>0.94320000000000004</v>
      </c>
    </row>
    <row r="18" spans="1:26" ht="15.75" thickBot="1">
      <c r="A18" s="191">
        <v>16</v>
      </c>
      <c r="B18" s="192" t="s">
        <v>96</v>
      </c>
      <c r="C18" s="193">
        <v>0.80579999999999996</v>
      </c>
      <c r="D18" s="192"/>
      <c r="E18" s="193">
        <v>0.85580000000000001</v>
      </c>
      <c r="F18" s="193">
        <v>0.89119999999999999</v>
      </c>
      <c r="G18" s="192"/>
      <c r="H18" s="193">
        <v>0.94120000000000004</v>
      </c>
      <c r="I18" s="194">
        <v>0.91249999999999998</v>
      </c>
      <c r="J18" s="195"/>
      <c r="K18" s="194">
        <v>0.96250000000000002</v>
      </c>
      <c r="M18" t="s">
        <v>1348</v>
      </c>
      <c r="N18" s="415">
        <v>0.81359999999999999</v>
      </c>
      <c r="P18" s="408">
        <v>16</v>
      </c>
      <c r="Q18" s="409" t="s">
        <v>96</v>
      </c>
      <c r="R18" s="410">
        <v>0.81359999999999999</v>
      </c>
      <c r="S18" s="409"/>
      <c r="T18" s="410">
        <v>0.89159999999999995</v>
      </c>
      <c r="U18" s="410">
        <v>0.88560000000000005</v>
      </c>
      <c r="V18" s="416"/>
      <c r="W18" s="410">
        <v>0.92359999999999998</v>
      </c>
      <c r="X18" s="421">
        <v>0.89600000000000002</v>
      </c>
      <c r="Y18" s="412"/>
      <c r="Z18" s="411">
        <v>0.92400000000000004</v>
      </c>
    </row>
    <row r="19" spans="1:26" ht="15.75" thickBot="1">
      <c r="A19" s="191">
        <v>17</v>
      </c>
      <c r="B19" s="192" t="s">
        <v>82</v>
      </c>
      <c r="C19" s="192"/>
      <c r="D19" s="193">
        <v>0.80679999999999996</v>
      </c>
      <c r="E19" s="193">
        <v>0.82679999999999998</v>
      </c>
      <c r="F19" s="192"/>
      <c r="G19" s="193">
        <v>0.97860000000000003</v>
      </c>
      <c r="H19" s="193">
        <v>0.99860000000000004</v>
      </c>
      <c r="I19" s="195"/>
      <c r="J19" s="194">
        <v>1</v>
      </c>
      <c r="K19" s="194">
        <v>1</v>
      </c>
      <c r="M19" t="s">
        <v>1349</v>
      </c>
      <c r="N19" s="415"/>
      <c r="P19" s="408">
        <v>17</v>
      </c>
      <c r="Q19" s="409" t="s">
        <v>82</v>
      </c>
      <c r="R19" s="409"/>
      <c r="S19" s="410">
        <v>0.872</v>
      </c>
      <c r="T19" s="410">
        <v>0.90990000000000004</v>
      </c>
      <c r="U19" s="409"/>
      <c r="V19" s="417">
        <v>0.91579999999999995</v>
      </c>
      <c r="W19" s="410">
        <v>0.93369999999999997</v>
      </c>
      <c r="X19" s="422"/>
      <c r="Y19" s="411">
        <v>0.93489999999999995</v>
      </c>
      <c r="Z19" s="411">
        <v>0.94489999999999996</v>
      </c>
    </row>
    <row r="20" spans="1:26" ht="15.75" thickBot="1">
      <c r="A20" s="191">
        <v>18</v>
      </c>
      <c r="B20" s="192" t="s">
        <v>67</v>
      </c>
      <c r="C20" s="193">
        <v>0.755</v>
      </c>
      <c r="D20" s="192"/>
      <c r="E20" s="193">
        <v>0.80500000000000005</v>
      </c>
      <c r="F20" s="193">
        <v>0.87409999999999999</v>
      </c>
      <c r="G20" s="192"/>
      <c r="H20" s="193">
        <v>0.92410000000000003</v>
      </c>
      <c r="I20" s="194">
        <v>0.89339999999999997</v>
      </c>
      <c r="J20" s="195"/>
      <c r="K20" s="194">
        <v>0.94340000000000002</v>
      </c>
      <c r="M20" t="s">
        <v>1350</v>
      </c>
      <c r="N20" s="415">
        <v>0.82799999999999996</v>
      </c>
      <c r="P20" s="408">
        <v>18</v>
      </c>
      <c r="Q20" s="409" t="s">
        <v>67</v>
      </c>
      <c r="R20" s="410">
        <v>0.82799999999999996</v>
      </c>
      <c r="S20" s="409"/>
      <c r="T20" s="410">
        <v>0.88480000000000003</v>
      </c>
      <c r="U20" s="410">
        <v>0.87960000000000005</v>
      </c>
      <c r="V20" s="416"/>
      <c r="W20" s="410">
        <v>0.91649999999999998</v>
      </c>
      <c r="X20" s="421">
        <v>0.88770000000000004</v>
      </c>
      <c r="Y20" s="412"/>
      <c r="Z20" s="411">
        <v>0.93459999999999999</v>
      </c>
    </row>
    <row r="21" spans="1:26" ht="15.75" thickBot="1">
      <c r="A21" s="191">
        <v>19</v>
      </c>
      <c r="B21" s="192" t="s">
        <v>600</v>
      </c>
      <c r="C21" s="193">
        <v>0.8226</v>
      </c>
      <c r="D21" s="192"/>
      <c r="E21" s="193">
        <v>0.93</v>
      </c>
      <c r="F21" s="193">
        <v>0.86509999999999998</v>
      </c>
      <c r="G21" s="192"/>
      <c r="H21" s="193">
        <v>0.95</v>
      </c>
      <c r="I21" s="194">
        <v>0.88360000000000005</v>
      </c>
      <c r="J21" s="195"/>
      <c r="K21" s="194">
        <v>0.97</v>
      </c>
      <c r="M21" t="s">
        <v>1315</v>
      </c>
      <c r="N21" s="415">
        <v>0.91569999999999996</v>
      </c>
      <c r="P21" s="408">
        <v>19</v>
      </c>
      <c r="Q21" s="409" t="s">
        <v>600</v>
      </c>
      <c r="R21" s="410">
        <v>0.91569999999999996</v>
      </c>
      <c r="S21" s="409"/>
      <c r="T21" s="410">
        <v>0.98870000000000002</v>
      </c>
      <c r="U21" s="410">
        <v>0.96040000000000003</v>
      </c>
      <c r="V21" s="416"/>
      <c r="W21" s="410">
        <v>0.99970000000000003</v>
      </c>
      <c r="X21" s="421">
        <v>0.92989999999999995</v>
      </c>
      <c r="Y21" s="412"/>
      <c r="Z21" s="411">
        <v>0.99</v>
      </c>
    </row>
    <row r="22" spans="1:26" ht="15.75" thickBot="1">
      <c r="A22" s="191">
        <v>20</v>
      </c>
      <c r="B22" s="192" t="s">
        <v>74</v>
      </c>
      <c r="C22" s="193">
        <v>0.7802</v>
      </c>
      <c r="D22" s="193">
        <v>0.81020000000000003</v>
      </c>
      <c r="E22" s="193">
        <v>0.83020000000000005</v>
      </c>
      <c r="F22" s="193">
        <v>0.87429999999999997</v>
      </c>
      <c r="G22" s="193">
        <v>0.90429999999999999</v>
      </c>
      <c r="H22" s="193">
        <v>0.92430000000000001</v>
      </c>
      <c r="I22" s="194">
        <v>0.89459999999999995</v>
      </c>
      <c r="J22" s="194">
        <v>0.92459999999999998</v>
      </c>
      <c r="K22" s="194">
        <v>0.9446</v>
      </c>
      <c r="M22" t="s">
        <v>1351</v>
      </c>
      <c r="N22" s="415">
        <v>0.84140000000000004</v>
      </c>
      <c r="P22" s="408">
        <v>20</v>
      </c>
      <c r="Q22" s="409" t="s">
        <v>74</v>
      </c>
      <c r="R22" s="410">
        <v>0.84140000000000004</v>
      </c>
      <c r="S22" s="410">
        <v>0.86219999999999997</v>
      </c>
      <c r="T22" s="410">
        <v>0.90280000000000005</v>
      </c>
      <c r="U22" s="410">
        <v>0.89810000000000001</v>
      </c>
      <c r="V22" s="417">
        <v>0.92889999999999995</v>
      </c>
      <c r="W22" s="410">
        <v>0.94940000000000002</v>
      </c>
      <c r="X22" s="421">
        <v>0.91890000000000005</v>
      </c>
      <c r="Y22" s="411">
        <v>0.94969999999999999</v>
      </c>
      <c r="Z22" s="411">
        <v>0.97030000000000005</v>
      </c>
    </row>
    <row r="23" spans="1:26" ht="15.75" thickBot="1">
      <c r="A23" s="191">
        <v>21</v>
      </c>
      <c r="B23" s="192" t="s">
        <v>64</v>
      </c>
      <c r="C23" s="193">
        <v>0.79320000000000002</v>
      </c>
      <c r="D23" s="192"/>
      <c r="E23" s="193">
        <v>0.84319999999999995</v>
      </c>
      <c r="F23" s="193">
        <v>0.87429999999999997</v>
      </c>
      <c r="G23" s="192"/>
      <c r="H23" s="193">
        <v>0.92430000000000001</v>
      </c>
      <c r="I23" s="194">
        <v>0.89629999999999999</v>
      </c>
      <c r="J23" s="195"/>
      <c r="K23" s="194">
        <v>0.94630000000000003</v>
      </c>
      <c r="M23" t="s">
        <v>1352</v>
      </c>
      <c r="N23" s="415">
        <v>0.82220000000000004</v>
      </c>
      <c r="P23" s="408">
        <v>21</v>
      </c>
      <c r="Q23" s="409" t="s">
        <v>64</v>
      </c>
      <c r="R23" s="410">
        <v>0.82220000000000004</v>
      </c>
      <c r="S23" s="409"/>
      <c r="T23" s="410">
        <v>0.88900000000000001</v>
      </c>
      <c r="U23" s="410">
        <v>0.86809999999999998</v>
      </c>
      <c r="V23" s="416"/>
      <c r="W23" s="410">
        <v>0.90480000000000005</v>
      </c>
      <c r="X23" s="421">
        <v>0.90859999999999996</v>
      </c>
      <c r="Y23" s="412"/>
      <c r="Z23" s="411">
        <v>0.95540000000000003</v>
      </c>
    </row>
    <row r="24" spans="1:26" ht="15.75" thickBot="1">
      <c r="A24" s="191">
        <v>22</v>
      </c>
      <c r="B24" s="192" t="s">
        <v>65</v>
      </c>
      <c r="C24" s="193">
        <v>0.80310000000000004</v>
      </c>
      <c r="D24" s="192"/>
      <c r="E24" s="193">
        <v>0.85309999999999997</v>
      </c>
      <c r="F24" s="193">
        <v>0.88380000000000003</v>
      </c>
      <c r="G24" s="192"/>
      <c r="H24" s="193">
        <v>0.93379999999999996</v>
      </c>
      <c r="I24" s="194">
        <v>0.90410000000000001</v>
      </c>
      <c r="J24" s="195"/>
      <c r="K24" s="194">
        <v>0.95409999999999995</v>
      </c>
      <c r="M24" t="s">
        <v>1353</v>
      </c>
      <c r="N24" s="415">
        <v>0.87660000000000005</v>
      </c>
      <c r="P24" s="408">
        <v>22</v>
      </c>
      <c r="Q24" s="409" t="s">
        <v>65</v>
      </c>
      <c r="R24" s="410">
        <v>0.87660000000000005</v>
      </c>
      <c r="S24" s="409"/>
      <c r="T24" s="410">
        <v>0.89180000000000004</v>
      </c>
      <c r="U24" s="410">
        <v>0.90959999999999996</v>
      </c>
      <c r="V24" s="416"/>
      <c r="W24" s="410">
        <v>0.94489999999999996</v>
      </c>
      <c r="X24" s="421">
        <v>0.90800000000000003</v>
      </c>
      <c r="Y24" s="412"/>
      <c r="Z24" s="411">
        <v>0.95320000000000005</v>
      </c>
    </row>
    <row r="25" spans="1:26" ht="15.75" thickBot="1">
      <c r="A25" s="191">
        <v>23</v>
      </c>
      <c r="B25" s="192" t="s">
        <v>103</v>
      </c>
      <c r="C25" s="193">
        <v>0.79849999999999999</v>
      </c>
      <c r="D25" s="192"/>
      <c r="E25" s="193">
        <v>0.84850000000000003</v>
      </c>
      <c r="F25" s="193">
        <v>0.91739999999999999</v>
      </c>
      <c r="G25" s="192"/>
      <c r="H25" s="193">
        <v>0.96740000000000004</v>
      </c>
      <c r="I25" s="194">
        <v>0.94130000000000003</v>
      </c>
      <c r="J25" s="195"/>
      <c r="K25" s="194">
        <v>0.99129999999999996</v>
      </c>
      <c r="M25" t="s">
        <v>1354</v>
      </c>
      <c r="N25" s="415">
        <v>0.84470000000000001</v>
      </c>
      <c r="P25" s="408">
        <v>23</v>
      </c>
      <c r="Q25" s="409" t="s">
        <v>103</v>
      </c>
      <c r="R25" s="410">
        <v>0.84470000000000001</v>
      </c>
      <c r="S25" s="409"/>
      <c r="T25" s="410">
        <v>0.91379999999999995</v>
      </c>
      <c r="U25" s="410">
        <v>0.90149999999999997</v>
      </c>
      <c r="V25" s="416"/>
      <c r="W25" s="410">
        <v>0.9506</v>
      </c>
      <c r="X25" s="421">
        <v>0.92500000000000004</v>
      </c>
      <c r="Y25" s="412"/>
      <c r="Z25" s="411">
        <v>0.97409999999999997</v>
      </c>
    </row>
    <row r="26" spans="1:26" ht="15.75" thickBot="1">
      <c r="A26" s="191">
        <v>24</v>
      </c>
      <c r="B26" s="192" t="s">
        <v>52</v>
      </c>
      <c r="C26" s="192"/>
      <c r="D26" s="193">
        <v>0.82499999999999996</v>
      </c>
      <c r="E26" s="193">
        <v>0.84499999999999997</v>
      </c>
      <c r="F26" s="192"/>
      <c r="G26" s="193">
        <v>0.96</v>
      </c>
      <c r="H26" s="193">
        <v>0.98</v>
      </c>
      <c r="I26" s="195"/>
      <c r="J26" s="194">
        <v>0.92989999999999995</v>
      </c>
      <c r="K26" s="194">
        <v>0.94989999999999997</v>
      </c>
      <c r="M26" t="s">
        <v>1355</v>
      </c>
      <c r="N26" s="415"/>
      <c r="P26" s="408">
        <v>24</v>
      </c>
      <c r="Q26" s="409" t="s">
        <v>52</v>
      </c>
      <c r="R26" s="409"/>
      <c r="S26" s="410">
        <v>0.87609999999999999</v>
      </c>
      <c r="T26" s="410">
        <v>0.90439999999999998</v>
      </c>
      <c r="U26" s="409"/>
      <c r="V26" s="417">
        <v>0.91979999999999995</v>
      </c>
      <c r="W26" s="410">
        <v>0.8982</v>
      </c>
      <c r="X26" s="422"/>
      <c r="Y26" s="411">
        <v>0.94230000000000003</v>
      </c>
      <c r="Z26" s="411">
        <v>0.95230000000000004</v>
      </c>
    </row>
    <row r="27" spans="1:26" ht="15.75" thickBot="1">
      <c r="A27" s="191">
        <v>25</v>
      </c>
      <c r="B27" s="192" t="s">
        <v>95</v>
      </c>
      <c r="C27" s="193">
        <v>0.78</v>
      </c>
      <c r="D27" s="192"/>
      <c r="E27" s="193">
        <v>0.93</v>
      </c>
      <c r="F27" s="193">
        <v>0.85829999999999995</v>
      </c>
      <c r="G27" s="192"/>
      <c r="H27" s="193">
        <v>0.95</v>
      </c>
      <c r="I27" s="194">
        <v>0.87849999999999995</v>
      </c>
      <c r="J27" s="195"/>
      <c r="K27" s="194">
        <v>0.97</v>
      </c>
      <c r="M27" t="s">
        <v>1356</v>
      </c>
      <c r="N27" s="415">
        <v>0.91569999999999996</v>
      </c>
      <c r="P27" s="408">
        <v>25</v>
      </c>
      <c r="Q27" s="409" t="s">
        <v>95</v>
      </c>
      <c r="R27" s="410">
        <v>0.91569999999999996</v>
      </c>
      <c r="S27" s="413"/>
      <c r="T27" s="410">
        <v>0.98870000000000002</v>
      </c>
      <c r="U27" s="410">
        <v>0.96040000000000003</v>
      </c>
      <c r="V27" s="418"/>
      <c r="W27" s="410">
        <v>0.99970000000000003</v>
      </c>
      <c r="X27" s="417">
        <v>0.92989999999999995</v>
      </c>
      <c r="Y27" s="413"/>
      <c r="Z27" s="410">
        <v>0.99</v>
      </c>
    </row>
    <row r="28" spans="1:26" ht="15.75" thickBot="1">
      <c r="A28" s="191">
        <v>26</v>
      </c>
      <c r="B28" s="192" t="s">
        <v>63</v>
      </c>
      <c r="C28" s="193">
        <v>0.755</v>
      </c>
      <c r="D28" s="192"/>
      <c r="E28" s="193">
        <v>0.80500000000000005</v>
      </c>
      <c r="F28" s="193">
        <v>0.87429999999999997</v>
      </c>
      <c r="G28" s="192"/>
      <c r="H28" s="193">
        <v>0.92430000000000001</v>
      </c>
      <c r="I28" s="194">
        <v>0.89629999999999999</v>
      </c>
      <c r="J28" s="195"/>
      <c r="K28" s="194">
        <v>0.94630000000000003</v>
      </c>
      <c r="M28" t="s">
        <v>1357</v>
      </c>
      <c r="N28" s="415">
        <v>0.81420000000000003</v>
      </c>
      <c r="P28" s="408">
        <v>26</v>
      </c>
      <c r="Q28" s="409" t="s">
        <v>63</v>
      </c>
      <c r="R28" s="410">
        <v>0.81420000000000003</v>
      </c>
      <c r="S28" s="409"/>
      <c r="T28" s="410">
        <v>0.89080000000000004</v>
      </c>
      <c r="U28" s="410">
        <v>0.86539999999999995</v>
      </c>
      <c r="V28" s="416"/>
      <c r="W28" s="410">
        <v>0.90210000000000001</v>
      </c>
      <c r="X28" s="421">
        <v>0.90600000000000003</v>
      </c>
      <c r="Y28" s="412"/>
      <c r="Z28" s="411">
        <v>0.9526</v>
      </c>
    </row>
    <row r="29" spans="1:26" ht="15.75" thickBot="1">
      <c r="A29" s="191">
        <v>27</v>
      </c>
      <c r="B29" s="192" t="s">
        <v>104</v>
      </c>
      <c r="C29" s="193">
        <v>0.81289999999999996</v>
      </c>
      <c r="D29" s="192"/>
      <c r="E29" s="193">
        <v>0.8629</v>
      </c>
      <c r="F29" s="193">
        <v>0.92959999999999998</v>
      </c>
      <c r="G29" s="192"/>
      <c r="H29" s="193">
        <v>0.97960000000000003</v>
      </c>
      <c r="I29" s="194">
        <v>0.95469999999999999</v>
      </c>
      <c r="J29" s="195"/>
      <c r="K29" s="194">
        <v>1</v>
      </c>
      <c r="M29" t="s">
        <v>1358</v>
      </c>
      <c r="N29" s="415">
        <v>0.8347</v>
      </c>
      <c r="P29" s="408">
        <v>27</v>
      </c>
      <c r="Q29" s="409" t="s">
        <v>104</v>
      </c>
      <c r="R29" s="410">
        <v>0.8347</v>
      </c>
      <c r="S29" s="409"/>
      <c r="T29" s="410">
        <v>0.9042</v>
      </c>
      <c r="U29" s="410">
        <v>0.92020000000000002</v>
      </c>
      <c r="V29" s="416"/>
      <c r="W29" s="410">
        <v>0.96970000000000001</v>
      </c>
      <c r="X29" s="421">
        <v>0.94499999999999995</v>
      </c>
      <c r="Y29" s="412"/>
      <c r="Z29" s="411">
        <v>0.9899</v>
      </c>
    </row>
    <row r="30" spans="1:26" ht="15.75" thickBot="1">
      <c r="A30" s="191">
        <v>28</v>
      </c>
      <c r="B30" s="192" t="s">
        <v>78</v>
      </c>
      <c r="C30" s="192"/>
      <c r="D30" s="193">
        <v>0.83760000000000001</v>
      </c>
      <c r="E30" s="193">
        <v>0.85760000000000003</v>
      </c>
      <c r="F30" s="192"/>
      <c r="G30" s="193">
        <v>0.96519999999999995</v>
      </c>
      <c r="H30" s="193">
        <v>0.98519999999999996</v>
      </c>
      <c r="I30" s="195"/>
      <c r="J30" s="194">
        <v>0.99050000000000005</v>
      </c>
      <c r="K30" s="194">
        <v>1</v>
      </c>
      <c r="M30" t="s">
        <v>1359</v>
      </c>
      <c r="N30" s="415"/>
      <c r="P30" s="408">
        <v>28</v>
      </c>
      <c r="Q30" s="409" t="s">
        <v>78</v>
      </c>
      <c r="R30" s="409"/>
      <c r="S30" s="410">
        <v>0.8639</v>
      </c>
      <c r="T30" s="410">
        <v>0.91069999999999995</v>
      </c>
      <c r="U30" s="409"/>
      <c r="V30" s="417">
        <v>0.92110000000000003</v>
      </c>
      <c r="W30" s="410">
        <v>0.90800000000000003</v>
      </c>
      <c r="X30" s="422"/>
      <c r="Y30" s="411">
        <v>0.93240000000000001</v>
      </c>
      <c r="Z30" s="411">
        <v>0.94040000000000001</v>
      </c>
    </row>
    <row r="31" spans="1:26" ht="15.75" thickBot="1">
      <c r="A31" s="191">
        <v>29</v>
      </c>
      <c r="B31" s="192" t="s">
        <v>85</v>
      </c>
      <c r="C31" s="193">
        <v>0.79500000000000004</v>
      </c>
      <c r="D31" s="192"/>
      <c r="E31" s="193">
        <v>0.84499999999999997</v>
      </c>
      <c r="F31" s="193">
        <v>0.97550000000000003</v>
      </c>
      <c r="G31" s="192"/>
      <c r="H31" s="193">
        <v>1</v>
      </c>
      <c r="I31" s="194">
        <v>1</v>
      </c>
      <c r="J31" s="195"/>
      <c r="K31" s="194">
        <v>1</v>
      </c>
      <c r="M31" t="s">
        <v>1360</v>
      </c>
      <c r="N31" s="415">
        <v>0.84719999999999995</v>
      </c>
      <c r="P31" s="408">
        <v>29</v>
      </c>
      <c r="Q31" s="409" t="s">
        <v>85</v>
      </c>
      <c r="R31" s="410">
        <v>0.84719999999999995</v>
      </c>
      <c r="S31" s="409"/>
      <c r="T31" s="410">
        <v>0.91600000000000004</v>
      </c>
      <c r="U31" s="410">
        <v>0.9536</v>
      </c>
      <c r="V31" s="416"/>
      <c r="W31" s="410">
        <v>0.97760000000000002</v>
      </c>
      <c r="X31" s="421">
        <v>0.97760000000000002</v>
      </c>
      <c r="Y31" s="412"/>
      <c r="Z31" s="411">
        <v>0.98760000000000003</v>
      </c>
    </row>
    <row r="32" spans="1:26" ht="15.75" thickBot="1">
      <c r="A32" s="191">
        <v>30</v>
      </c>
      <c r="B32" s="192" t="s">
        <v>53</v>
      </c>
      <c r="C32" s="192"/>
      <c r="D32" s="193">
        <v>0.82450000000000001</v>
      </c>
      <c r="E32" s="193">
        <v>0.84450000000000003</v>
      </c>
      <c r="F32" s="192"/>
      <c r="G32" s="193">
        <v>0.9274</v>
      </c>
      <c r="H32" s="193">
        <v>0.94740000000000002</v>
      </c>
      <c r="I32" s="195"/>
      <c r="J32" s="194">
        <v>0.95169999999999999</v>
      </c>
      <c r="K32" s="194">
        <v>0.97170000000000001</v>
      </c>
      <c r="M32" t="s">
        <v>1361</v>
      </c>
      <c r="N32" s="415"/>
      <c r="P32" s="408">
        <v>30</v>
      </c>
      <c r="Q32" s="409" t="s">
        <v>53</v>
      </c>
      <c r="R32" s="409"/>
      <c r="S32" s="410">
        <v>0.86029999999999995</v>
      </c>
      <c r="T32" s="410">
        <v>0.9083</v>
      </c>
      <c r="U32" s="409"/>
      <c r="V32" s="417">
        <v>0.92269999999999996</v>
      </c>
      <c r="W32" s="410">
        <v>0.93069999999999997</v>
      </c>
      <c r="X32" s="422"/>
      <c r="Y32" s="411">
        <v>0.93459999999999999</v>
      </c>
      <c r="Z32" s="411">
        <v>0.95250000000000001</v>
      </c>
    </row>
    <row r="33" spans="1:26" ht="15.75" thickBot="1">
      <c r="A33" s="191">
        <v>31</v>
      </c>
      <c r="B33" s="192" t="s">
        <v>87</v>
      </c>
      <c r="C33" s="192"/>
      <c r="D33" s="193">
        <v>0.8125</v>
      </c>
      <c r="E33" s="193">
        <v>0.83250000000000002</v>
      </c>
      <c r="F33" s="192"/>
      <c r="G33" s="193">
        <v>0.93200000000000005</v>
      </c>
      <c r="H33" s="193">
        <v>0.95199999999999996</v>
      </c>
      <c r="I33" s="195"/>
      <c r="J33" s="194">
        <v>0.95389999999999997</v>
      </c>
      <c r="K33" s="194">
        <v>0.97389999999999999</v>
      </c>
      <c r="M33" t="s">
        <v>1362</v>
      </c>
      <c r="N33" s="415"/>
      <c r="P33" s="408">
        <v>31</v>
      </c>
      <c r="Q33" s="409" t="s">
        <v>87</v>
      </c>
      <c r="R33" s="409"/>
      <c r="S33" s="410">
        <v>0.86619999999999997</v>
      </c>
      <c r="T33" s="410">
        <v>0.90390000000000004</v>
      </c>
      <c r="U33" s="409"/>
      <c r="V33" s="417">
        <v>0.90159999999999996</v>
      </c>
      <c r="W33" s="410">
        <v>0.91920000000000002</v>
      </c>
      <c r="X33" s="422"/>
      <c r="Y33" s="411">
        <v>0.92090000000000005</v>
      </c>
      <c r="Z33" s="411">
        <v>0.9385</v>
      </c>
    </row>
    <row r="34" spans="1:26" ht="15.75" thickBot="1">
      <c r="A34" s="191">
        <v>32</v>
      </c>
      <c r="B34" s="192" t="s">
        <v>97</v>
      </c>
      <c r="C34" s="193">
        <v>0.78659999999999997</v>
      </c>
      <c r="D34" s="192"/>
      <c r="E34" s="193">
        <v>0.83660000000000001</v>
      </c>
      <c r="F34" s="193">
        <v>0.87450000000000006</v>
      </c>
      <c r="G34" s="192"/>
      <c r="H34" s="193">
        <v>0.92449999999999999</v>
      </c>
      <c r="I34" s="194">
        <v>0.89410000000000001</v>
      </c>
      <c r="J34" s="195"/>
      <c r="K34" s="194">
        <v>0.94410000000000005</v>
      </c>
      <c r="M34" t="s">
        <v>1363</v>
      </c>
      <c r="N34" s="415">
        <v>0.82540000000000002</v>
      </c>
      <c r="P34" s="408">
        <v>32</v>
      </c>
      <c r="Q34" s="409" t="s">
        <v>97</v>
      </c>
      <c r="R34" s="410">
        <v>0.82540000000000002</v>
      </c>
      <c r="S34" s="409"/>
      <c r="T34" s="410">
        <v>0.89770000000000005</v>
      </c>
      <c r="U34" s="410">
        <v>0.86970000000000003</v>
      </c>
      <c r="V34" s="416"/>
      <c r="W34" s="410">
        <v>0.90200000000000002</v>
      </c>
      <c r="X34" s="421">
        <v>0.90629999999999999</v>
      </c>
      <c r="Y34" s="412"/>
      <c r="Z34" s="411">
        <v>0.92859999999999998</v>
      </c>
    </row>
    <row r="35" spans="1:26" ht="15.75" thickBot="1">
      <c r="A35" s="191">
        <v>33</v>
      </c>
      <c r="B35" s="192" t="s">
        <v>69</v>
      </c>
      <c r="C35" s="193">
        <v>0.755</v>
      </c>
      <c r="D35" s="192"/>
      <c r="E35" s="193">
        <v>0.80500000000000005</v>
      </c>
      <c r="F35" s="193">
        <v>0.88170000000000004</v>
      </c>
      <c r="G35" s="192"/>
      <c r="H35" s="193">
        <v>0.93169999999999997</v>
      </c>
      <c r="I35" s="194">
        <v>0.90169999999999995</v>
      </c>
      <c r="J35" s="195"/>
      <c r="K35" s="194">
        <v>0.95169999999999999</v>
      </c>
      <c r="M35" t="s">
        <v>1364</v>
      </c>
      <c r="N35" s="415">
        <v>0.82110000000000005</v>
      </c>
      <c r="P35" s="408">
        <v>33</v>
      </c>
      <c r="Q35" s="409" t="s">
        <v>69</v>
      </c>
      <c r="R35" s="410">
        <v>0.82110000000000005</v>
      </c>
      <c r="S35" s="409"/>
      <c r="T35" s="410">
        <v>0.91820000000000002</v>
      </c>
      <c r="U35" s="410">
        <v>0.88039999999999996</v>
      </c>
      <c r="V35" s="416"/>
      <c r="W35" s="410">
        <v>0.90749999999999997</v>
      </c>
      <c r="X35" s="421">
        <v>0.90920000000000001</v>
      </c>
      <c r="Y35" s="412"/>
      <c r="Z35" s="411">
        <v>0.92630000000000001</v>
      </c>
    </row>
    <row r="36" spans="1:26" ht="15.75" thickBot="1">
      <c r="A36" s="191">
        <v>34</v>
      </c>
      <c r="B36" s="192" t="s">
        <v>70</v>
      </c>
      <c r="C36" s="193">
        <v>0.755</v>
      </c>
      <c r="D36" s="192"/>
      <c r="E36" s="193">
        <v>0.80500000000000005</v>
      </c>
      <c r="F36" s="193">
        <v>0.91859999999999997</v>
      </c>
      <c r="G36" s="192"/>
      <c r="H36" s="193">
        <v>0.96860000000000002</v>
      </c>
      <c r="I36" s="194">
        <v>0.94340000000000002</v>
      </c>
      <c r="J36" s="195"/>
      <c r="K36" s="194">
        <v>0.99339999999999995</v>
      </c>
      <c r="M36" t="s">
        <v>1121</v>
      </c>
      <c r="N36" s="415">
        <v>0.81830000000000003</v>
      </c>
      <c r="P36" s="408">
        <v>34</v>
      </c>
      <c r="Q36" s="409" t="s">
        <v>70</v>
      </c>
      <c r="R36" s="410">
        <v>0.81830000000000003</v>
      </c>
      <c r="S36" s="409"/>
      <c r="T36" s="410">
        <v>0.90449999999999997</v>
      </c>
      <c r="U36" s="410">
        <v>0.87960000000000005</v>
      </c>
      <c r="V36" s="416"/>
      <c r="W36" s="410">
        <v>0.90580000000000005</v>
      </c>
      <c r="X36" s="421">
        <v>0.87250000000000005</v>
      </c>
      <c r="Y36" s="412"/>
      <c r="Z36" s="411">
        <v>0.91869999999999996</v>
      </c>
    </row>
    <row r="37" spans="1:26" ht="15.75" thickBot="1">
      <c r="A37" s="191">
        <v>35</v>
      </c>
      <c r="B37" s="192" t="s">
        <v>88</v>
      </c>
      <c r="C37" s="193">
        <v>0.80510000000000004</v>
      </c>
      <c r="D37" s="192"/>
      <c r="E37" s="193">
        <v>0.85509999999999997</v>
      </c>
      <c r="F37" s="193">
        <v>0.94179999999999997</v>
      </c>
      <c r="G37" s="192"/>
      <c r="H37" s="193">
        <v>0.99180000000000001</v>
      </c>
      <c r="I37" s="194">
        <v>0.9677</v>
      </c>
      <c r="J37" s="195"/>
      <c r="K37" s="194">
        <v>1</v>
      </c>
      <c r="M37" t="s">
        <v>1365</v>
      </c>
      <c r="N37" s="415">
        <v>0.83109999999999995</v>
      </c>
      <c r="P37" s="408">
        <v>35</v>
      </c>
      <c r="Q37" s="409" t="s">
        <v>88</v>
      </c>
      <c r="R37" s="410">
        <v>0.83109999999999995</v>
      </c>
      <c r="S37" s="409"/>
      <c r="T37" s="410">
        <v>0.88839999999999997</v>
      </c>
      <c r="U37" s="410">
        <v>0.89039999999999997</v>
      </c>
      <c r="V37" s="416"/>
      <c r="W37" s="410">
        <v>0.93759999999999999</v>
      </c>
      <c r="X37" s="421">
        <v>0.91490000000000005</v>
      </c>
      <c r="Y37" s="412"/>
      <c r="Z37" s="411">
        <v>0.94540000000000002</v>
      </c>
    </row>
    <row r="38" spans="1:26" ht="15.75" thickBot="1">
      <c r="A38" s="191">
        <v>36</v>
      </c>
      <c r="B38" s="192" t="s">
        <v>72</v>
      </c>
      <c r="C38" s="193">
        <v>0.78510000000000002</v>
      </c>
      <c r="D38" s="193">
        <v>0.81510000000000005</v>
      </c>
      <c r="E38" s="193">
        <v>0.83509999999999995</v>
      </c>
      <c r="F38" s="193">
        <v>0.88</v>
      </c>
      <c r="G38" s="193">
        <v>0.91</v>
      </c>
      <c r="H38" s="193">
        <v>0.93</v>
      </c>
      <c r="I38" s="194">
        <v>0.877</v>
      </c>
      <c r="J38" s="194">
        <v>0.90700000000000003</v>
      </c>
      <c r="K38" s="194">
        <v>0.92700000000000005</v>
      </c>
      <c r="M38" t="s">
        <v>1366</v>
      </c>
      <c r="N38" s="415">
        <v>0.83079999999999998</v>
      </c>
      <c r="P38" s="408">
        <v>36</v>
      </c>
      <c r="Q38" s="409" t="s">
        <v>72</v>
      </c>
      <c r="R38" s="410">
        <v>0.83079999999999998</v>
      </c>
      <c r="S38" s="410">
        <v>0.85950000000000004</v>
      </c>
      <c r="T38" s="410">
        <v>0.91869999999999996</v>
      </c>
      <c r="U38" s="410">
        <v>0.90159999999999996</v>
      </c>
      <c r="V38" s="417">
        <v>0.92030000000000001</v>
      </c>
      <c r="W38" s="410">
        <v>0.9294</v>
      </c>
      <c r="X38" s="421">
        <v>0.90869999999999995</v>
      </c>
      <c r="Y38" s="411">
        <v>0.93740000000000001</v>
      </c>
      <c r="Z38" s="411">
        <v>0.95660000000000001</v>
      </c>
    </row>
    <row r="39" spans="1:26" ht="15.75" thickBot="1">
      <c r="A39" s="191">
        <v>37</v>
      </c>
      <c r="B39" s="192" t="s">
        <v>50</v>
      </c>
      <c r="C39" s="193">
        <v>0.78669999999999995</v>
      </c>
      <c r="D39" s="193">
        <v>0.81669999999999998</v>
      </c>
      <c r="E39" s="193">
        <v>0.8367</v>
      </c>
      <c r="F39" s="193">
        <v>0.89629999999999999</v>
      </c>
      <c r="G39" s="193">
        <v>0.92630000000000001</v>
      </c>
      <c r="H39" s="193">
        <v>0.94630000000000003</v>
      </c>
      <c r="I39" s="194">
        <v>0.91779999999999995</v>
      </c>
      <c r="J39" s="194">
        <v>0.94779999999999998</v>
      </c>
      <c r="K39" s="194">
        <v>0.96779999999999999</v>
      </c>
      <c r="M39" t="s">
        <v>1367</v>
      </c>
      <c r="N39" s="415">
        <v>0.83120000000000005</v>
      </c>
      <c r="P39" s="408">
        <v>37</v>
      </c>
      <c r="Q39" s="409" t="s">
        <v>50</v>
      </c>
      <c r="R39" s="410">
        <v>0.83120000000000005</v>
      </c>
      <c r="S39" s="410">
        <v>0.84060000000000001</v>
      </c>
      <c r="T39" s="410">
        <v>0.89019999999999999</v>
      </c>
      <c r="U39" s="410">
        <v>0.89859999999999995</v>
      </c>
      <c r="V39" s="417">
        <v>0.92800000000000005</v>
      </c>
      <c r="W39" s="410">
        <v>0.92759999999999998</v>
      </c>
      <c r="X39" s="421">
        <v>0.89970000000000006</v>
      </c>
      <c r="Y39" s="411">
        <v>0.92910000000000004</v>
      </c>
      <c r="Z39" s="411">
        <v>0.94869999999999999</v>
      </c>
    </row>
    <row r="40" spans="1:26" ht="15.75" thickBot="1">
      <c r="A40" s="191">
        <v>38</v>
      </c>
      <c r="B40" s="192" t="s">
        <v>84</v>
      </c>
      <c r="C40" s="193">
        <v>0.755</v>
      </c>
      <c r="D40" s="193">
        <v>0.78500000000000003</v>
      </c>
      <c r="E40" s="193">
        <v>0.80500000000000005</v>
      </c>
      <c r="F40" s="193">
        <v>0.95299999999999996</v>
      </c>
      <c r="G40" s="193">
        <v>0.98299999999999998</v>
      </c>
      <c r="H40" s="193">
        <v>1</v>
      </c>
      <c r="I40" s="194">
        <v>0.97989999999999999</v>
      </c>
      <c r="J40" s="194">
        <v>1</v>
      </c>
      <c r="K40" s="194">
        <v>1</v>
      </c>
      <c r="M40" t="s">
        <v>1368</v>
      </c>
      <c r="N40" s="415">
        <v>0.81499999999999995</v>
      </c>
      <c r="P40" s="408">
        <v>38</v>
      </c>
      <c r="Q40" s="409" t="s">
        <v>84</v>
      </c>
      <c r="R40" s="410">
        <v>0.81499999999999995</v>
      </c>
      <c r="S40" s="410">
        <v>0.84099999999999997</v>
      </c>
      <c r="T40" s="410">
        <v>0.88829999999999998</v>
      </c>
      <c r="U40" s="410">
        <v>0.90669999999999995</v>
      </c>
      <c r="V40" s="417">
        <v>0.93279999999999996</v>
      </c>
      <c r="W40" s="410">
        <v>0.9375</v>
      </c>
      <c r="X40" s="421">
        <v>0.90010000000000001</v>
      </c>
      <c r="Y40" s="411">
        <v>0.91749999999999998</v>
      </c>
      <c r="Z40" s="411">
        <v>0.92749999999999999</v>
      </c>
    </row>
    <row r="41" spans="1:26" ht="15.75" thickBot="1">
      <c r="A41" s="191">
        <v>39</v>
      </c>
      <c r="B41" s="192" t="s">
        <v>73</v>
      </c>
      <c r="C41" s="193">
        <v>0.7893</v>
      </c>
      <c r="D41" s="193">
        <v>0.81930000000000003</v>
      </c>
      <c r="E41" s="193">
        <v>0.83930000000000005</v>
      </c>
      <c r="F41" s="193">
        <v>0.91820000000000002</v>
      </c>
      <c r="G41" s="193">
        <v>0.94820000000000004</v>
      </c>
      <c r="H41" s="193">
        <v>0.96819999999999995</v>
      </c>
      <c r="I41" s="194">
        <v>0.94289999999999996</v>
      </c>
      <c r="J41" s="194">
        <v>0.97289999999999999</v>
      </c>
      <c r="K41" s="194">
        <v>0.9929</v>
      </c>
      <c r="M41" t="s">
        <v>1333</v>
      </c>
      <c r="N41" s="415">
        <v>0.85219999999999996</v>
      </c>
      <c r="P41" s="408">
        <v>39</v>
      </c>
      <c r="Q41" s="409" t="s">
        <v>73</v>
      </c>
      <c r="R41" s="410">
        <v>0.85219999999999996</v>
      </c>
      <c r="S41" s="410">
        <v>0.872</v>
      </c>
      <c r="T41" s="410">
        <v>0.91180000000000005</v>
      </c>
      <c r="U41" s="410">
        <v>0.91</v>
      </c>
      <c r="V41" s="417">
        <v>0.93969999999999998</v>
      </c>
      <c r="W41" s="410">
        <v>0.95950000000000002</v>
      </c>
      <c r="X41" s="421">
        <v>0.93440000000000001</v>
      </c>
      <c r="Y41" s="411">
        <v>0.96419999999999995</v>
      </c>
      <c r="Z41" s="411">
        <v>0.98399999999999999</v>
      </c>
    </row>
    <row r="42" spans="1:26" ht="15.75" thickBot="1">
      <c r="A42" s="191">
        <v>40</v>
      </c>
      <c r="B42" s="192" t="s">
        <v>81</v>
      </c>
      <c r="C42" s="193">
        <v>0.78500000000000003</v>
      </c>
      <c r="D42" s="193">
        <v>0.81499999999999995</v>
      </c>
      <c r="E42" s="193">
        <v>0.83499999999999996</v>
      </c>
      <c r="F42" s="193">
        <v>0.87670000000000003</v>
      </c>
      <c r="G42" s="193">
        <v>0.90669999999999995</v>
      </c>
      <c r="H42" s="193">
        <v>0.92669999999999997</v>
      </c>
      <c r="I42" s="194">
        <v>0.89610000000000001</v>
      </c>
      <c r="J42" s="194">
        <v>0.92610000000000003</v>
      </c>
      <c r="K42" s="194">
        <v>0.94610000000000005</v>
      </c>
      <c r="M42" t="s">
        <v>1369</v>
      </c>
      <c r="N42" s="415">
        <v>0.85009999999999997</v>
      </c>
      <c r="P42" s="408">
        <v>40</v>
      </c>
      <c r="Q42" s="409" t="s">
        <v>81</v>
      </c>
      <c r="R42" s="410">
        <v>0.85009999999999997</v>
      </c>
      <c r="S42" s="410">
        <v>0.89800000000000002</v>
      </c>
      <c r="T42" s="410">
        <v>0.91659999999999997</v>
      </c>
      <c r="U42" s="410">
        <v>0.9254</v>
      </c>
      <c r="V42" s="417">
        <v>0.94330000000000003</v>
      </c>
      <c r="W42" s="410">
        <v>0.96189999999999998</v>
      </c>
      <c r="X42" s="421">
        <v>0.9335</v>
      </c>
      <c r="Y42" s="411">
        <v>0.96140000000000003</v>
      </c>
      <c r="Z42" s="411">
        <v>0.98</v>
      </c>
    </row>
    <row r="43" spans="1:26" ht="15.75" thickBot="1">
      <c r="A43" s="191">
        <v>41</v>
      </c>
      <c r="B43" s="192" t="s">
        <v>66</v>
      </c>
      <c r="C43" s="192"/>
      <c r="D43" s="193">
        <v>0.83</v>
      </c>
      <c r="E43" s="193">
        <v>0.85</v>
      </c>
      <c r="F43" s="192"/>
      <c r="G43" s="193">
        <v>0.96</v>
      </c>
      <c r="H43" s="193">
        <v>0.98</v>
      </c>
      <c r="I43" s="195"/>
      <c r="J43" s="194">
        <v>0.9466</v>
      </c>
      <c r="K43" s="194">
        <v>0.96660000000000001</v>
      </c>
      <c r="M43" t="s">
        <v>1370</v>
      </c>
      <c r="N43" s="415"/>
      <c r="P43" s="408">
        <v>41</v>
      </c>
      <c r="Q43" s="409" t="s">
        <v>66</v>
      </c>
      <c r="R43" s="409"/>
      <c r="S43" s="410">
        <v>0.87180000000000002</v>
      </c>
      <c r="T43" s="410">
        <v>0.91039999999999999</v>
      </c>
      <c r="U43" s="409"/>
      <c r="V43" s="417">
        <v>0.9627</v>
      </c>
      <c r="W43" s="410">
        <v>0.98119999999999996</v>
      </c>
      <c r="X43" s="422"/>
      <c r="Y43" s="411">
        <v>0.96020000000000005</v>
      </c>
      <c r="Z43" s="411">
        <v>0.96879999999999999</v>
      </c>
    </row>
    <row r="44" spans="1:26" ht="15.75" thickBot="1">
      <c r="A44" s="191">
        <v>42</v>
      </c>
      <c r="B44" s="192" t="s">
        <v>79</v>
      </c>
      <c r="C44" s="193">
        <v>0.77170000000000005</v>
      </c>
      <c r="D44" s="193">
        <v>0.80169999999999997</v>
      </c>
      <c r="E44" s="193">
        <v>0.82169999999999999</v>
      </c>
      <c r="F44" s="193">
        <v>0.89190000000000003</v>
      </c>
      <c r="G44" s="193">
        <v>0.92190000000000005</v>
      </c>
      <c r="H44" s="193">
        <v>0.94189999999999996</v>
      </c>
      <c r="I44" s="194">
        <v>0.91290000000000004</v>
      </c>
      <c r="J44" s="194">
        <v>0.94289999999999996</v>
      </c>
      <c r="K44" s="194">
        <v>0.96289999999999998</v>
      </c>
      <c r="M44" t="s">
        <v>1371</v>
      </c>
      <c r="N44" s="415">
        <v>0.85389999999999999</v>
      </c>
      <c r="P44" s="408">
        <v>42</v>
      </c>
      <c r="Q44" s="409" t="s">
        <v>79</v>
      </c>
      <c r="R44" s="410">
        <v>0.85389999999999999</v>
      </c>
      <c r="S44" s="410">
        <v>0.87009999999999998</v>
      </c>
      <c r="T44" s="410">
        <v>0.90759999999999996</v>
      </c>
      <c r="U44" s="410">
        <v>0.88890000000000002</v>
      </c>
      <c r="V44" s="417">
        <v>0.92510000000000003</v>
      </c>
      <c r="W44" s="410">
        <v>0.94259999999999999</v>
      </c>
      <c r="X44" s="421">
        <v>0.92730000000000001</v>
      </c>
      <c r="Y44" s="411">
        <v>0.94350000000000001</v>
      </c>
      <c r="Z44" s="411">
        <v>0.96089999999999998</v>
      </c>
    </row>
    <row r="45" spans="1:26" ht="15.75" thickBot="1">
      <c r="A45" s="191">
        <v>43</v>
      </c>
      <c r="B45" s="192" t="s">
        <v>75</v>
      </c>
      <c r="C45" s="193">
        <v>0.78639999999999999</v>
      </c>
      <c r="D45" s="193">
        <v>0.81640000000000001</v>
      </c>
      <c r="E45" s="193">
        <v>0.83640000000000003</v>
      </c>
      <c r="F45" s="193">
        <v>0.89990000000000003</v>
      </c>
      <c r="G45" s="193">
        <v>0.92989999999999995</v>
      </c>
      <c r="H45" s="193">
        <v>0.94989999999999997</v>
      </c>
      <c r="I45" s="194">
        <v>0.92159999999999997</v>
      </c>
      <c r="J45" s="194">
        <v>0.9516</v>
      </c>
      <c r="K45" s="194">
        <v>0.97160000000000002</v>
      </c>
      <c r="M45" t="s">
        <v>1372</v>
      </c>
      <c r="N45" s="415">
        <v>0.85160000000000002</v>
      </c>
      <c r="P45" s="408">
        <v>43</v>
      </c>
      <c r="Q45" s="409" t="s">
        <v>75</v>
      </c>
      <c r="R45" s="410">
        <v>0.85160000000000002</v>
      </c>
      <c r="S45" s="410">
        <v>0.87060000000000004</v>
      </c>
      <c r="T45" s="410">
        <v>0.9</v>
      </c>
      <c r="U45" s="410">
        <v>0.87150000000000005</v>
      </c>
      <c r="V45" s="417">
        <v>0.90059999999999996</v>
      </c>
      <c r="W45" s="410">
        <v>0.91990000000000005</v>
      </c>
      <c r="X45" s="421">
        <v>0.90249999999999997</v>
      </c>
      <c r="Y45" s="411">
        <v>0.92159999999999997</v>
      </c>
      <c r="Z45" s="411">
        <v>0.94089999999999996</v>
      </c>
    </row>
    <row r="46" spans="1:26" ht="15.75" thickBot="1">
      <c r="A46" s="191">
        <v>44</v>
      </c>
      <c r="B46" s="192" t="s">
        <v>108</v>
      </c>
      <c r="C46" s="193">
        <v>0.8024</v>
      </c>
      <c r="D46" s="192"/>
      <c r="E46" s="193">
        <v>0.85240000000000005</v>
      </c>
      <c r="F46" s="193">
        <v>0.92130000000000001</v>
      </c>
      <c r="G46" s="192"/>
      <c r="H46" s="193">
        <v>0.97130000000000005</v>
      </c>
      <c r="I46" s="194">
        <v>0.9456</v>
      </c>
      <c r="J46" s="195"/>
      <c r="K46" s="194">
        <v>0.99560000000000004</v>
      </c>
      <c r="M46" t="s">
        <v>1373</v>
      </c>
      <c r="N46" s="415">
        <v>0.84199999999999997</v>
      </c>
      <c r="P46" s="408">
        <v>44</v>
      </c>
      <c r="Q46" s="409" t="s">
        <v>108</v>
      </c>
      <c r="R46" s="410">
        <v>0.84199999999999997</v>
      </c>
      <c r="S46" s="409"/>
      <c r="T46" s="410">
        <v>0.88949999999999996</v>
      </c>
      <c r="U46" s="410">
        <v>0.91500000000000004</v>
      </c>
      <c r="V46" s="419"/>
      <c r="W46" s="414">
        <v>0.9224</v>
      </c>
      <c r="X46" s="421">
        <v>0.91800000000000004</v>
      </c>
      <c r="Y46" s="412"/>
      <c r="Z46" s="411">
        <v>0.94550000000000001</v>
      </c>
    </row>
    <row r="47" spans="1:26" ht="15.75" thickBot="1">
      <c r="A47" s="191">
        <v>45</v>
      </c>
      <c r="B47" s="192" t="s">
        <v>93</v>
      </c>
      <c r="C47" s="193">
        <v>0.78669999999999995</v>
      </c>
      <c r="D47" s="192"/>
      <c r="E47" s="193">
        <v>0.8367</v>
      </c>
      <c r="F47" s="193">
        <v>0.88119999999999998</v>
      </c>
      <c r="G47" s="192"/>
      <c r="H47" s="193">
        <v>0.93120000000000003</v>
      </c>
      <c r="I47" s="194">
        <v>0.90380000000000005</v>
      </c>
      <c r="J47" s="195"/>
      <c r="K47" s="194">
        <v>0.95379999999999998</v>
      </c>
      <c r="M47" t="s">
        <v>1374</v>
      </c>
      <c r="N47" s="415">
        <v>0.83450000000000002</v>
      </c>
      <c r="P47" s="408">
        <v>45</v>
      </c>
      <c r="Q47" s="409" t="s">
        <v>93</v>
      </c>
      <c r="R47" s="410">
        <v>0.83450000000000002</v>
      </c>
      <c r="S47" s="409"/>
      <c r="T47" s="410">
        <v>0.88060000000000005</v>
      </c>
      <c r="U47" s="410">
        <v>0.88149999999999995</v>
      </c>
      <c r="V47" s="420"/>
      <c r="W47" s="410">
        <v>0.90759999999999996</v>
      </c>
      <c r="X47" s="421">
        <v>0.90239999999999998</v>
      </c>
      <c r="Y47" s="412"/>
      <c r="Z47" s="411">
        <v>0.93840000000000001</v>
      </c>
    </row>
    <row r="48" spans="1:26" ht="15.75" thickBot="1">
      <c r="A48" s="191">
        <v>46</v>
      </c>
      <c r="B48" s="192" t="s">
        <v>98</v>
      </c>
      <c r="C48" s="193">
        <v>0.755</v>
      </c>
      <c r="D48" s="192"/>
      <c r="E48" s="193">
        <v>0.80500000000000005</v>
      </c>
      <c r="F48" s="193">
        <v>0.87670000000000003</v>
      </c>
      <c r="G48" s="192"/>
      <c r="H48" s="193">
        <v>0.92669999999999997</v>
      </c>
      <c r="I48" s="194">
        <v>0.89659999999999995</v>
      </c>
      <c r="J48" s="195"/>
      <c r="K48" s="194">
        <v>0.9466</v>
      </c>
      <c r="M48" t="s">
        <v>1375</v>
      </c>
      <c r="N48" s="415">
        <v>0.83499999999999996</v>
      </c>
      <c r="P48" s="408">
        <v>46</v>
      </c>
      <c r="Q48" s="409" t="s">
        <v>98</v>
      </c>
      <c r="R48" s="410">
        <v>0.83499999999999996</v>
      </c>
      <c r="S48" s="409"/>
      <c r="T48" s="410">
        <v>0.88229999999999997</v>
      </c>
      <c r="U48" s="410">
        <v>0.9002</v>
      </c>
      <c r="V48" s="416"/>
      <c r="W48" s="410">
        <v>0.92759999999999998</v>
      </c>
      <c r="X48" s="421">
        <v>0.91900000000000004</v>
      </c>
      <c r="Y48" s="412"/>
      <c r="Z48" s="411">
        <v>0.94640000000000002</v>
      </c>
    </row>
    <row r="49" spans="1:26" ht="15.75" thickBot="1">
      <c r="A49" s="191">
        <v>47</v>
      </c>
      <c r="B49" s="192" t="s">
        <v>68</v>
      </c>
      <c r="C49" s="193">
        <v>0.755</v>
      </c>
      <c r="D49" s="192"/>
      <c r="E49" s="193">
        <v>0.80500000000000005</v>
      </c>
      <c r="F49" s="193">
        <v>0.88549999999999995</v>
      </c>
      <c r="G49" s="192"/>
      <c r="H49" s="193">
        <v>0.9355</v>
      </c>
      <c r="I49" s="194">
        <v>0.90590000000000004</v>
      </c>
      <c r="J49" s="195"/>
      <c r="K49" s="194">
        <v>0.95589999999999997</v>
      </c>
      <c r="M49" t="s">
        <v>1376</v>
      </c>
      <c r="N49" s="415">
        <v>0.84460000000000002</v>
      </c>
      <c r="P49" s="408">
        <v>47</v>
      </c>
      <c r="Q49" s="409" t="s">
        <v>68</v>
      </c>
      <c r="R49" s="410">
        <v>0.84460000000000002</v>
      </c>
      <c r="S49" s="409"/>
      <c r="T49" s="410">
        <v>0.89259999999999995</v>
      </c>
      <c r="U49" s="410">
        <v>0.90990000000000004</v>
      </c>
      <c r="V49" s="416"/>
      <c r="W49" s="410">
        <v>0.92789999999999995</v>
      </c>
      <c r="X49" s="421">
        <v>0.86939999999999995</v>
      </c>
      <c r="Y49" s="412"/>
      <c r="Z49" s="411">
        <v>0.91739999999999999</v>
      </c>
    </row>
    <row r="50" spans="1:26" ht="15.75" thickBot="1">
      <c r="A50" s="191">
        <v>48</v>
      </c>
      <c r="B50" s="192" t="s">
        <v>71</v>
      </c>
      <c r="C50" s="193">
        <v>0.79469999999999996</v>
      </c>
      <c r="D50" s="193">
        <v>0.82469999999999999</v>
      </c>
      <c r="E50" s="193">
        <v>0.84470000000000001</v>
      </c>
      <c r="F50" s="193">
        <v>0.89149999999999996</v>
      </c>
      <c r="G50" s="193">
        <v>0.92149999999999999</v>
      </c>
      <c r="H50" s="193">
        <v>0.9415</v>
      </c>
      <c r="I50" s="194">
        <v>0.91359999999999997</v>
      </c>
      <c r="J50" s="194">
        <v>0.94359999999999999</v>
      </c>
      <c r="K50" s="194">
        <v>0.96360000000000001</v>
      </c>
      <c r="M50" t="s">
        <v>1377</v>
      </c>
      <c r="N50" s="415">
        <v>0.84940000000000004</v>
      </c>
      <c r="P50" s="408">
        <v>48</v>
      </c>
      <c r="Q50" s="409" t="s">
        <v>71</v>
      </c>
      <c r="R50" s="410">
        <v>0.84940000000000004</v>
      </c>
      <c r="S50" s="410">
        <v>0.86809999999999998</v>
      </c>
      <c r="T50" s="410">
        <v>0.91720000000000002</v>
      </c>
      <c r="U50" s="410">
        <v>0.90190000000000003</v>
      </c>
      <c r="V50" s="417">
        <v>0.92059999999999997</v>
      </c>
      <c r="W50" s="410">
        <v>0.93969999999999998</v>
      </c>
      <c r="X50" s="421">
        <v>0.91310000000000002</v>
      </c>
      <c r="Y50" s="411">
        <v>0.95169999999999999</v>
      </c>
      <c r="Z50" s="411">
        <v>0.96079999999999999</v>
      </c>
    </row>
    <row r="51" spans="1:26" ht="15.75" thickBot="1">
      <c r="A51" s="191">
        <v>49</v>
      </c>
      <c r="B51" s="192" t="s">
        <v>76</v>
      </c>
      <c r="C51" s="193">
        <v>0.79020000000000001</v>
      </c>
      <c r="D51" s="193">
        <v>0.82020000000000004</v>
      </c>
      <c r="E51" s="193">
        <v>0.93</v>
      </c>
      <c r="F51" s="193">
        <v>0.88400000000000001</v>
      </c>
      <c r="G51" s="193">
        <v>0.91400000000000003</v>
      </c>
      <c r="H51" s="193">
        <v>0.95</v>
      </c>
      <c r="I51" s="194">
        <v>0.9042</v>
      </c>
      <c r="J51" s="194">
        <v>0.93420000000000003</v>
      </c>
      <c r="K51" s="194">
        <v>0.95420000000000005</v>
      </c>
      <c r="M51" t="s">
        <v>1378</v>
      </c>
      <c r="N51" s="415">
        <v>0.85770000000000002</v>
      </c>
      <c r="P51" s="408">
        <v>49</v>
      </c>
      <c r="Q51" s="409" t="s">
        <v>76</v>
      </c>
      <c r="R51" s="410">
        <v>0.85770000000000002</v>
      </c>
      <c r="S51" s="410">
        <v>0.88570000000000004</v>
      </c>
      <c r="T51" s="410">
        <v>0.91820000000000002</v>
      </c>
      <c r="U51" s="410">
        <v>0.88529999999999998</v>
      </c>
      <c r="V51" s="417">
        <v>0.9133</v>
      </c>
      <c r="W51" s="410">
        <v>0.94689999999999996</v>
      </c>
      <c r="X51" s="421">
        <v>0.90410000000000001</v>
      </c>
      <c r="Y51" s="411">
        <v>0.93210000000000004</v>
      </c>
      <c r="Z51" s="411">
        <v>0.95079999999999998</v>
      </c>
    </row>
    <row r="52" spans="1:26" ht="15.75" thickBot="1">
      <c r="A52" s="191">
        <v>50</v>
      </c>
      <c r="B52" s="192" t="s">
        <v>101</v>
      </c>
      <c r="C52" s="193">
        <v>0.78790000000000004</v>
      </c>
      <c r="D52" s="192"/>
      <c r="E52" s="193">
        <v>0.83789999999999998</v>
      </c>
      <c r="F52" s="193">
        <v>0.89229999999999998</v>
      </c>
      <c r="G52" s="192"/>
      <c r="H52" s="193">
        <v>0.94230000000000003</v>
      </c>
      <c r="I52" s="194">
        <v>0.91379999999999995</v>
      </c>
      <c r="J52" s="195"/>
      <c r="K52" s="194">
        <v>0.96379999999999999</v>
      </c>
      <c r="M52" t="s">
        <v>1379</v>
      </c>
      <c r="N52" s="415">
        <v>0.83169999999999999</v>
      </c>
      <c r="P52" s="408">
        <v>50</v>
      </c>
      <c r="Q52" s="409" t="s">
        <v>101</v>
      </c>
      <c r="R52" s="410">
        <v>0.83169999999999999</v>
      </c>
      <c r="S52" s="409"/>
      <c r="T52" s="410">
        <v>0.88819999999999999</v>
      </c>
      <c r="U52" s="410">
        <v>0.88870000000000005</v>
      </c>
      <c r="V52" s="416"/>
      <c r="W52" s="410">
        <v>0.92510000000000003</v>
      </c>
      <c r="X52" s="421">
        <v>0.90869999999999995</v>
      </c>
      <c r="Y52" s="412"/>
      <c r="Z52" s="411">
        <v>0.95509999999999995</v>
      </c>
    </row>
    <row r="53" spans="1:26" ht="15.75" thickBot="1">
      <c r="A53" s="191">
        <v>51</v>
      </c>
      <c r="B53" s="192" t="s">
        <v>100</v>
      </c>
      <c r="C53" s="193">
        <v>0.755</v>
      </c>
      <c r="D53" s="192"/>
      <c r="E53" s="193">
        <v>0.80500000000000005</v>
      </c>
      <c r="F53" s="193">
        <v>0.88900000000000001</v>
      </c>
      <c r="G53" s="192"/>
      <c r="H53" s="193">
        <v>0.93899999999999995</v>
      </c>
      <c r="I53" s="194">
        <v>0.91</v>
      </c>
      <c r="J53" s="195"/>
      <c r="K53" s="194">
        <v>0.96</v>
      </c>
      <c r="M53" t="s">
        <v>1380</v>
      </c>
      <c r="N53" s="415">
        <v>0.83450000000000002</v>
      </c>
      <c r="P53" s="408">
        <v>51</v>
      </c>
      <c r="Q53" s="409" t="s">
        <v>100</v>
      </c>
      <c r="R53" s="410">
        <v>0.83450000000000002</v>
      </c>
      <c r="S53" s="409"/>
      <c r="T53" s="410">
        <v>0.87180000000000002</v>
      </c>
      <c r="U53" s="410">
        <v>0.88129999999999997</v>
      </c>
      <c r="V53" s="416"/>
      <c r="W53" s="410">
        <v>0.92869999999999997</v>
      </c>
      <c r="X53" s="421">
        <v>0.9012</v>
      </c>
      <c r="Y53" s="412"/>
      <c r="Z53" s="411">
        <v>0.94850000000000001</v>
      </c>
    </row>
    <row r="54" spans="1:26" ht="15.75" thickBot="1">
      <c r="A54" s="191">
        <v>52</v>
      </c>
      <c r="B54" s="192" t="s">
        <v>60</v>
      </c>
      <c r="C54" s="193">
        <v>0.80030000000000001</v>
      </c>
      <c r="D54" s="193">
        <v>0.83030000000000004</v>
      </c>
      <c r="E54" s="193">
        <v>0.85029999999999994</v>
      </c>
      <c r="F54" s="193">
        <v>0.87409999999999999</v>
      </c>
      <c r="G54" s="193">
        <v>0.90410000000000001</v>
      </c>
      <c r="H54" s="193">
        <v>0.92410000000000003</v>
      </c>
      <c r="I54" s="194">
        <v>0.89339999999999997</v>
      </c>
      <c r="J54" s="194">
        <v>0.9234</v>
      </c>
      <c r="K54" s="194">
        <v>0.94340000000000002</v>
      </c>
      <c r="M54" t="s">
        <v>1381</v>
      </c>
      <c r="N54" s="415">
        <v>0.83930000000000005</v>
      </c>
      <c r="P54" s="408">
        <v>52</v>
      </c>
      <c r="Q54" s="409" t="s">
        <v>60</v>
      </c>
      <c r="R54" s="410">
        <v>0.83930000000000005</v>
      </c>
      <c r="S54" s="410">
        <v>0.86670000000000003</v>
      </c>
      <c r="T54" s="410">
        <v>0.88490000000000002</v>
      </c>
      <c r="U54" s="410">
        <v>0.88660000000000005</v>
      </c>
      <c r="V54" s="417">
        <v>0.90390000000000004</v>
      </c>
      <c r="W54" s="410">
        <v>0.92210000000000003</v>
      </c>
      <c r="X54" s="421">
        <v>0.89419999999999999</v>
      </c>
      <c r="Y54" s="411">
        <v>0.92149999999999999</v>
      </c>
      <c r="Z54" s="411">
        <v>0.93969999999999998</v>
      </c>
    </row>
    <row r="55" spans="1:26" ht="15.75" thickBot="1">
      <c r="A55" s="191">
        <v>53</v>
      </c>
      <c r="B55" s="192" t="s">
        <v>92</v>
      </c>
      <c r="C55" s="193">
        <v>0.80840000000000001</v>
      </c>
      <c r="D55" s="192"/>
      <c r="E55" s="193">
        <v>0.85840000000000005</v>
      </c>
      <c r="F55" s="193">
        <v>0.8831</v>
      </c>
      <c r="G55" s="192"/>
      <c r="H55" s="193">
        <v>0.93310000000000004</v>
      </c>
      <c r="I55" s="194">
        <v>0.90590000000000004</v>
      </c>
      <c r="J55" s="195"/>
      <c r="K55" s="194">
        <v>0.95589999999999997</v>
      </c>
      <c r="M55" t="s">
        <v>1382</v>
      </c>
      <c r="N55" s="415">
        <v>0.84370000000000001</v>
      </c>
      <c r="P55" s="408">
        <v>53</v>
      </c>
      <c r="Q55" s="409" t="s">
        <v>92</v>
      </c>
      <c r="R55" s="410">
        <v>0.84370000000000001</v>
      </c>
      <c r="S55" s="409"/>
      <c r="T55" s="410">
        <v>0.90969999999999995</v>
      </c>
      <c r="U55" s="410">
        <v>0.89239999999999997</v>
      </c>
      <c r="V55" s="416"/>
      <c r="W55" s="410">
        <v>0.93840000000000001</v>
      </c>
      <c r="X55" s="421">
        <v>0.90339999999999998</v>
      </c>
      <c r="Y55" s="412"/>
      <c r="Z55" s="411">
        <v>0.94940000000000002</v>
      </c>
    </row>
    <row r="56" spans="1:26" ht="15.75" thickBot="1">
      <c r="A56">
        <f>+A55+1</f>
        <v>54</v>
      </c>
      <c r="B56" s="196" t="s">
        <v>59</v>
      </c>
      <c r="C56" s="193">
        <v>0.78669999999999995</v>
      </c>
      <c r="D56" s="193">
        <v>0.81669999999999998</v>
      </c>
      <c r="E56" s="193">
        <v>0.8367</v>
      </c>
      <c r="F56" s="193">
        <v>0.89629999999999999</v>
      </c>
      <c r="G56" s="193">
        <v>0.92630000000000001</v>
      </c>
      <c r="H56" s="193">
        <v>0.94630000000000003</v>
      </c>
      <c r="I56" s="194">
        <v>0.91779999999999995</v>
      </c>
      <c r="J56" s="194">
        <v>0.94779999999999998</v>
      </c>
      <c r="K56" s="194">
        <v>0.96779999999999999</v>
      </c>
      <c r="M56" t="s">
        <v>1383</v>
      </c>
      <c r="N56" s="415">
        <v>0.8498</v>
      </c>
      <c r="P56" s="408">
        <v>54</v>
      </c>
      <c r="Q56" s="409" t="s">
        <v>59</v>
      </c>
      <c r="R56" s="410">
        <v>0.8498</v>
      </c>
      <c r="S56" s="410">
        <v>0.86609999999999998</v>
      </c>
      <c r="T56" s="410">
        <v>0.89370000000000005</v>
      </c>
      <c r="U56" s="410">
        <v>0.89590000000000003</v>
      </c>
      <c r="V56" s="417">
        <v>0.93220000000000003</v>
      </c>
      <c r="W56" s="410">
        <v>0.93979999999999997</v>
      </c>
      <c r="X56" s="421">
        <v>0.91479999999999995</v>
      </c>
      <c r="Y56" s="411">
        <v>0.94110000000000005</v>
      </c>
      <c r="Z56" s="411">
        <v>0.9486</v>
      </c>
    </row>
    <row r="57" spans="1:26" ht="15.75" thickBot="1">
      <c r="A57">
        <f t="shared" ref="A57:A65" si="0">+A56+1</f>
        <v>55</v>
      </c>
      <c r="B57" s="196" t="s">
        <v>51</v>
      </c>
      <c r="C57" s="193">
        <v>0.78669999999999995</v>
      </c>
      <c r="D57" s="193">
        <v>0.81669999999999998</v>
      </c>
      <c r="E57" s="193">
        <v>0.8367</v>
      </c>
      <c r="F57" s="193">
        <v>0.89629999999999999</v>
      </c>
      <c r="G57" s="193">
        <v>0.92630000000000001</v>
      </c>
      <c r="H57" s="193">
        <v>0.94630000000000003</v>
      </c>
      <c r="I57" s="194">
        <v>0.91779999999999995</v>
      </c>
      <c r="J57" s="194">
        <v>0.94779999999999998</v>
      </c>
      <c r="K57" s="194">
        <v>0.96779999999999999</v>
      </c>
      <c r="M57" t="s">
        <v>1384</v>
      </c>
      <c r="N57" s="415"/>
      <c r="P57" s="408">
        <v>55</v>
      </c>
      <c r="Q57" s="409" t="s">
        <v>51</v>
      </c>
      <c r="R57" s="413"/>
      <c r="S57" s="410">
        <v>0.878</v>
      </c>
      <c r="T57" s="410">
        <v>0.90680000000000005</v>
      </c>
      <c r="U57" s="413"/>
      <c r="V57" s="417">
        <v>0.92110000000000003</v>
      </c>
      <c r="W57" s="410">
        <v>0.93989999999999996</v>
      </c>
      <c r="X57" s="422"/>
      <c r="Y57" s="411">
        <v>0.93130000000000002</v>
      </c>
      <c r="Z57" s="411">
        <v>0.95009999999999994</v>
      </c>
    </row>
    <row r="58" spans="1:26" ht="15.75" thickBot="1">
      <c r="A58">
        <f t="shared" si="0"/>
        <v>56</v>
      </c>
      <c r="B58" s="196" t="s">
        <v>48</v>
      </c>
      <c r="C58" s="193">
        <v>0.78669999999999995</v>
      </c>
      <c r="D58" s="193">
        <v>0.81669999999999998</v>
      </c>
      <c r="E58" s="193">
        <v>0.8367</v>
      </c>
      <c r="F58" s="193">
        <v>0.89629999999999999</v>
      </c>
      <c r="G58" s="193">
        <v>0.92630000000000001</v>
      </c>
      <c r="H58" s="193">
        <v>0.94630000000000003</v>
      </c>
      <c r="I58" s="194">
        <v>0.91779999999999995</v>
      </c>
      <c r="J58" s="194">
        <v>0.94779999999999998</v>
      </c>
      <c r="K58" s="194">
        <v>0.96779999999999999</v>
      </c>
      <c r="M58" t="s">
        <v>1385</v>
      </c>
      <c r="N58" s="415"/>
      <c r="P58" s="408">
        <v>56</v>
      </c>
      <c r="Q58" s="409" t="s">
        <v>48</v>
      </c>
      <c r="R58" s="413"/>
      <c r="S58" s="410">
        <v>0.87860000000000005</v>
      </c>
      <c r="T58" s="410">
        <v>0.90739999999999998</v>
      </c>
      <c r="U58" s="413"/>
      <c r="V58" s="417">
        <v>0.92179999999999995</v>
      </c>
      <c r="W58" s="410">
        <v>0.93059999999999998</v>
      </c>
      <c r="X58" s="422"/>
      <c r="Y58" s="411">
        <v>0.93200000000000005</v>
      </c>
      <c r="Z58" s="411">
        <v>0.95079999999999998</v>
      </c>
    </row>
    <row r="59" spans="1:26" ht="15.75" thickBot="1">
      <c r="A59">
        <f t="shared" si="0"/>
        <v>57</v>
      </c>
      <c r="B59" s="196" t="s">
        <v>47</v>
      </c>
      <c r="C59" s="193">
        <v>0.78669999999999995</v>
      </c>
      <c r="D59" s="193">
        <v>0.81669999999999998</v>
      </c>
      <c r="E59" s="193">
        <v>0.8367</v>
      </c>
      <c r="F59" s="193">
        <v>0.89629999999999999</v>
      </c>
      <c r="G59" s="193">
        <v>0.92630000000000001</v>
      </c>
      <c r="H59" s="193">
        <v>0.94630000000000003</v>
      </c>
      <c r="I59" s="194">
        <v>0.91779999999999995</v>
      </c>
      <c r="J59" s="194">
        <v>0.94779999999999998</v>
      </c>
      <c r="K59" s="194">
        <v>0.96779999999999999</v>
      </c>
      <c r="M59" t="s">
        <v>1386</v>
      </c>
      <c r="N59" s="415"/>
      <c r="P59" s="408">
        <v>57</v>
      </c>
      <c r="Q59" s="409" t="s">
        <v>47</v>
      </c>
      <c r="R59" s="413"/>
      <c r="S59" s="410">
        <v>0.87839999999999996</v>
      </c>
      <c r="T59" s="410">
        <v>0.90720000000000001</v>
      </c>
      <c r="U59" s="413"/>
      <c r="V59" s="417">
        <v>0.92149999999999999</v>
      </c>
      <c r="W59" s="410">
        <v>0.9304</v>
      </c>
      <c r="X59" s="422"/>
      <c r="Y59" s="411">
        <v>0.93179999999999996</v>
      </c>
      <c r="Z59" s="411">
        <v>0.9506</v>
      </c>
    </row>
    <row r="60" spans="1:26" ht="15.75" thickBot="1">
      <c r="A60">
        <f t="shared" si="0"/>
        <v>58</v>
      </c>
      <c r="B60" s="196" t="s">
        <v>49</v>
      </c>
      <c r="C60" s="193">
        <v>0.78669999999999995</v>
      </c>
      <c r="D60" s="193">
        <v>0.81669999999999998</v>
      </c>
      <c r="E60" s="193">
        <v>0.8367</v>
      </c>
      <c r="F60" s="193">
        <v>0.89629999999999999</v>
      </c>
      <c r="G60" s="193">
        <v>0.92630000000000001</v>
      </c>
      <c r="H60" s="193">
        <v>0.94630000000000003</v>
      </c>
      <c r="I60" s="194">
        <v>0.91779999999999995</v>
      </c>
      <c r="J60" s="194">
        <v>0.94779999999999998</v>
      </c>
      <c r="K60" s="194">
        <v>0.96779999999999999</v>
      </c>
      <c r="M60" t="s">
        <v>1387</v>
      </c>
      <c r="N60" s="415"/>
      <c r="P60" s="408">
        <v>58</v>
      </c>
      <c r="Q60" s="409" t="s">
        <v>49</v>
      </c>
      <c r="R60" s="413"/>
      <c r="S60" s="410">
        <v>0.87549999999999994</v>
      </c>
      <c r="T60" s="410">
        <v>0.90480000000000005</v>
      </c>
      <c r="U60" s="413"/>
      <c r="V60" s="417">
        <v>0.92100000000000004</v>
      </c>
      <c r="W60" s="410">
        <v>0.93020000000000003</v>
      </c>
      <c r="X60" s="422"/>
      <c r="Y60" s="411">
        <v>0.93159999999999998</v>
      </c>
      <c r="Z60" s="411">
        <v>0.95089999999999997</v>
      </c>
    </row>
    <row r="61" spans="1:26" ht="15.75" thickBot="1">
      <c r="A61">
        <f t="shared" si="0"/>
        <v>59</v>
      </c>
      <c r="B61" s="196" t="s">
        <v>54</v>
      </c>
      <c r="C61" s="193">
        <v>0.78669999999999995</v>
      </c>
      <c r="D61" s="193">
        <v>0.81669999999999998</v>
      </c>
      <c r="E61" s="193">
        <v>0.8367</v>
      </c>
      <c r="F61" s="193">
        <v>0.89629999999999999</v>
      </c>
      <c r="G61" s="193">
        <v>0.92630000000000001</v>
      </c>
      <c r="H61" s="193">
        <v>0.94630000000000003</v>
      </c>
      <c r="I61" s="194">
        <v>0.91779999999999995</v>
      </c>
      <c r="J61" s="194">
        <v>0.94779999999999998</v>
      </c>
      <c r="K61" s="194">
        <v>0.96779999999999999</v>
      </c>
      <c r="M61" t="s">
        <v>1388</v>
      </c>
      <c r="N61" s="415"/>
      <c r="P61" s="408">
        <v>59</v>
      </c>
      <c r="Q61" s="409" t="s">
        <v>54</v>
      </c>
      <c r="R61" s="413"/>
      <c r="S61" s="410">
        <v>0.86250000000000004</v>
      </c>
      <c r="T61" s="410">
        <v>0.90229999999999999</v>
      </c>
      <c r="U61" s="413"/>
      <c r="V61" s="417">
        <v>0.92149999999999999</v>
      </c>
      <c r="W61" s="410">
        <v>0.94140000000000001</v>
      </c>
      <c r="X61" s="422"/>
      <c r="Y61" s="411">
        <v>0.94289999999999996</v>
      </c>
      <c r="Z61" s="411">
        <v>0.96279999999999999</v>
      </c>
    </row>
    <row r="62" spans="1:26" ht="15.75" thickBot="1">
      <c r="A62">
        <f t="shared" si="0"/>
        <v>60</v>
      </c>
      <c r="B62" s="196" t="s">
        <v>526</v>
      </c>
      <c r="C62" s="193">
        <v>0.78669999999999995</v>
      </c>
      <c r="D62" s="193">
        <v>0.81669999999999998</v>
      </c>
      <c r="E62" s="193">
        <v>0.8367</v>
      </c>
      <c r="F62" s="193">
        <v>0.89629999999999999</v>
      </c>
      <c r="G62" s="193">
        <v>0.92630000000000001</v>
      </c>
      <c r="H62" s="193">
        <v>0.94630000000000003</v>
      </c>
      <c r="I62" s="194">
        <v>0.91779999999999995</v>
      </c>
      <c r="J62" s="194">
        <v>0.94779999999999998</v>
      </c>
      <c r="K62" s="194">
        <v>0.96779999999999999</v>
      </c>
      <c r="M62" t="s">
        <v>1389</v>
      </c>
      <c r="N62" s="415"/>
      <c r="P62" s="408">
        <v>60</v>
      </c>
      <c r="Q62" s="409" t="s">
        <v>526</v>
      </c>
      <c r="R62" s="413"/>
      <c r="S62" s="410">
        <v>0.86639999999999995</v>
      </c>
      <c r="T62" s="410">
        <v>0.90400000000000003</v>
      </c>
      <c r="U62" s="413"/>
      <c r="V62" s="417">
        <v>0.92259999999999998</v>
      </c>
      <c r="W62" s="410">
        <v>0.94010000000000005</v>
      </c>
      <c r="X62" s="422"/>
      <c r="Y62" s="411">
        <v>0.94140000000000001</v>
      </c>
      <c r="Z62" s="411">
        <v>0.95899999999999996</v>
      </c>
    </row>
    <row r="63" spans="1:26" ht="15.75" thickBot="1">
      <c r="A63">
        <f t="shared" si="0"/>
        <v>61</v>
      </c>
      <c r="B63" s="196" t="s">
        <v>55</v>
      </c>
      <c r="C63" s="193">
        <v>0.78669999999999995</v>
      </c>
      <c r="D63" s="193">
        <v>0.81669999999999998</v>
      </c>
      <c r="E63" s="193">
        <v>0.8367</v>
      </c>
      <c r="F63" s="193">
        <v>0.89629999999999999</v>
      </c>
      <c r="G63" s="193">
        <v>0.92630000000000001</v>
      </c>
      <c r="H63" s="193">
        <v>0.94630000000000003</v>
      </c>
      <c r="I63" s="194">
        <v>0.91779999999999995</v>
      </c>
      <c r="J63" s="194">
        <v>0.94779999999999998</v>
      </c>
      <c r="K63" s="194">
        <v>0.96779999999999999</v>
      </c>
      <c r="M63" t="s">
        <v>1390</v>
      </c>
      <c r="N63" s="415"/>
      <c r="P63" s="408">
        <v>61</v>
      </c>
      <c r="Q63" s="409" t="s">
        <v>55</v>
      </c>
      <c r="R63" s="413"/>
      <c r="S63" s="410">
        <v>0.86750000000000005</v>
      </c>
      <c r="T63" s="410">
        <v>0.90580000000000005</v>
      </c>
      <c r="U63" s="413"/>
      <c r="V63" s="417">
        <v>0.92779999999999996</v>
      </c>
      <c r="W63" s="410">
        <v>0.94610000000000005</v>
      </c>
      <c r="X63" s="422"/>
      <c r="Y63" s="411">
        <v>0.94750000000000001</v>
      </c>
      <c r="Z63" s="411">
        <v>0.95579999999999998</v>
      </c>
    </row>
    <row r="64" spans="1:26" ht="15.75" thickBot="1">
      <c r="A64">
        <f t="shared" si="0"/>
        <v>62</v>
      </c>
      <c r="B64" s="196" t="s">
        <v>56</v>
      </c>
      <c r="C64" s="193">
        <v>0.78669999999999995</v>
      </c>
      <c r="D64" s="193">
        <v>0.81669999999999998</v>
      </c>
      <c r="E64" s="193">
        <v>0.8367</v>
      </c>
      <c r="F64" s="193">
        <v>0.89629999999999999</v>
      </c>
      <c r="G64" s="193">
        <v>0.92630000000000001</v>
      </c>
      <c r="H64" s="193">
        <v>0.94630000000000003</v>
      </c>
      <c r="I64" s="194">
        <v>0.91779999999999995</v>
      </c>
      <c r="J64" s="194">
        <v>0.94779999999999998</v>
      </c>
      <c r="K64" s="194">
        <v>0.96779999999999999</v>
      </c>
      <c r="M64" t="s">
        <v>1391</v>
      </c>
      <c r="N64" s="415"/>
      <c r="P64" s="408">
        <v>62</v>
      </c>
      <c r="Q64" s="409" t="s">
        <v>56</v>
      </c>
      <c r="R64" s="413"/>
      <c r="S64" s="410">
        <v>0.86829999999999996</v>
      </c>
      <c r="T64" s="410">
        <v>0.90880000000000005</v>
      </c>
      <c r="U64" s="413"/>
      <c r="V64" s="417">
        <v>0.95079999999999998</v>
      </c>
      <c r="W64" s="410">
        <v>0.97130000000000005</v>
      </c>
      <c r="X64" s="422"/>
      <c r="Y64" s="411">
        <v>0.9728</v>
      </c>
      <c r="Z64" s="411">
        <v>0.99339999999999995</v>
      </c>
    </row>
    <row r="65" spans="1:26" ht="15.75" thickBot="1">
      <c r="A65">
        <f t="shared" si="0"/>
        <v>63</v>
      </c>
      <c r="B65" s="196" t="s">
        <v>58</v>
      </c>
      <c r="C65" s="193">
        <v>0.78669999999999995</v>
      </c>
      <c r="D65" s="193">
        <v>0.81669999999999998</v>
      </c>
      <c r="E65" s="193">
        <v>0.8367</v>
      </c>
      <c r="F65" s="193">
        <v>0.89629999999999999</v>
      </c>
      <c r="G65" s="193">
        <v>0.92630000000000001</v>
      </c>
      <c r="H65" s="193">
        <v>0.94630000000000003</v>
      </c>
      <c r="I65" s="194">
        <v>0.91779999999999995</v>
      </c>
      <c r="J65" s="194">
        <v>0.94779999999999998</v>
      </c>
      <c r="K65" s="194">
        <v>0.96779999999999999</v>
      </c>
      <c r="M65" t="s">
        <v>1392</v>
      </c>
      <c r="N65" s="415"/>
      <c r="P65" s="408">
        <v>63</v>
      </c>
      <c r="Q65" s="409" t="s">
        <v>58</v>
      </c>
      <c r="R65" s="413"/>
      <c r="S65" s="410">
        <v>0.86319999999999997</v>
      </c>
      <c r="T65" s="410">
        <v>0.90259999999999996</v>
      </c>
      <c r="U65" s="413"/>
      <c r="V65" s="417">
        <v>0.92959999999999998</v>
      </c>
      <c r="W65" s="410">
        <v>0.94899999999999995</v>
      </c>
      <c r="X65" s="422"/>
      <c r="Y65" s="411">
        <v>0.9405</v>
      </c>
      <c r="Z65" s="411">
        <v>0.95989999999999998</v>
      </c>
    </row>
    <row r="66" spans="1:26">
      <c r="M66" t="s">
        <v>1122</v>
      </c>
      <c r="N66" s="415"/>
    </row>
    <row r="67" spans="1:26">
      <c r="M67" t="s">
        <v>1123</v>
      </c>
      <c r="N67" s="415"/>
    </row>
    <row r="68" spans="1:26">
      <c r="M68" t="s">
        <v>1124</v>
      </c>
      <c r="N68" s="415">
        <v>0.87480000000000002</v>
      </c>
    </row>
    <row r="69" spans="1:26">
      <c r="M69" t="s">
        <v>1125</v>
      </c>
      <c r="N69" s="415"/>
    </row>
    <row r="70" spans="1:26">
      <c r="M70" t="s">
        <v>1126</v>
      </c>
      <c r="N70" s="415"/>
    </row>
    <row r="71" spans="1:26">
      <c r="M71" t="s">
        <v>1127</v>
      </c>
      <c r="N71" s="415"/>
    </row>
    <row r="72" spans="1:26">
      <c r="M72" t="s">
        <v>1128</v>
      </c>
      <c r="N72" s="415"/>
    </row>
    <row r="73" spans="1:26">
      <c r="M73" t="s">
        <v>1129</v>
      </c>
      <c r="N73" s="415"/>
    </row>
    <row r="74" spans="1:26">
      <c r="M74" t="s">
        <v>1130</v>
      </c>
      <c r="N74" s="415"/>
    </row>
    <row r="75" spans="1:26">
      <c r="M75" t="s">
        <v>1131</v>
      </c>
      <c r="N75" s="415"/>
    </row>
    <row r="76" spans="1:26">
      <c r="M76" t="s">
        <v>1132</v>
      </c>
      <c r="N76" s="415"/>
    </row>
    <row r="77" spans="1:26">
      <c r="M77" t="s">
        <v>1133</v>
      </c>
      <c r="N77" s="415"/>
    </row>
    <row r="78" spans="1:26">
      <c r="M78" t="s">
        <v>1134</v>
      </c>
      <c r="N78" s="415">
        <v>0.87919999999999998</v>
      </c>
    </row>
    <row r="79" spans="1:26">
      <c r="M79" t="s">
        <v>1135</v>
      </c>
      <c r="N79" s="415">
        <v>0.876</v>
      </c>
    </row>
    <row r="80" spans="1:26">
      <c r="M80" t="s">
        <v>1136</v>
      </c>
      <c r="N80" s="415"/>
    </row>
    <row r="81" spans="13:14">
      <c r="M81" t="s">
        <v>1137</v>
      </c>
      <c r="N81" s="415"/>
    </row>
    <row r="82" spans="13:14">
      <c r="M82" t="s">
        <v>1138</v>
      </c>
      <c r="N82" s="415">
        <v>0.872</v>
      </c>
    </row>
    <row r="83" spans="13:14">
      <c r="M83" t="s">
        <v>1139</v>
      </c>
      <c r="N83" s="415"/>
    </row>
    <row r="84" spans="13:14">
      <c r="M84" t="s">
        <v>1316</v>
      </c>
      <c r="N84" s="415"/>
    </row>
    <row r="85" spans="13:14">
      <c r="M85" t="s">
        <v>1140</v>
      </c>
      <c r="N85" s="415">
        <v>0.86219999999999997</v>
      </c>
    </row>
    <row r="86" spans="13:14">
      <c r="M86" t="s">
        <v>1141</v>
      </c>
      <c r="N86" s="415"/>
    </row>
    <row r="87" spans="13:14">
      <c r="M87" t="s">
        <v>1142</v>
      </c>
      <c r="N87" s="415"/>
    </row>
    <row r="88" spans="13:14">
      <c r="M88" t="s">
        <v>1143</v>
      </c>
      <c r="N88" s="415"/>
    </row>
    <row r="89" spans="13:14">
      <c r="M89" t="s">
        <v>1144</v>
      </c>
      <c r="N89" s="415">
        <v>0.87609999999999999</v>
      </c>
    </row>
    <row r="90" spans="13:14">
      <c r="M90" t="s">
        <v>1145</v>
      </c>
      <c r="N90" s="415"/>
    </row>
    <row r="91" spans="13:14">
      <c r="M91" t="s">
        <v>1146</v>
      </c>
      <c r="N91" s="415"/>
    </row>
    <row r="92" spans="13:14">
      <c r="M92" t="s">
        <v>1147</v>
      </c>
      <c r="N92" s="415"/>
    </row>
    <row r="93" spans="13:14">
      <c r="M93" t="s">
        <v>1148</v>
      </c>
      <c r="N93" s="415">
        <v>0.8639</v>
      </c>
    </row>
    <row r="94" spans="13:14">
      <c r="M94" t="s">
        <v>1149</v>
      </c>
      <c r="N94" s="415"/>
    </row>
    <row r="95" spans="13:14">
      <c r="M95" t="s">
        <v>1150</v>
      </c>
      <c r="N95" s="415">
        <v>0.86029999999999995</v>
      </c>
    </row>
    <row r="96" spans="13:14">
      <c r="M96" t="s">
        <v>1151</v>
      </c>
      <c r="N96" s="415">
        <v>0.86619999999999997</v>
      </c>
    </row>
    <row r="97" spans="13:14">
      <c r="M97" t="s">
        <v>1152</v>
      </c>
      <c r="N97" s="415"/>
    </row>
    <row r="98" spans="13:14">
      <c r="M98" t="s">
        <v>1153</v>
      </c>
      <c r="N98" s="415"/>
    </row>
    <row r="99" spans="13:14">
      <c r="M99" t="s">
        <v>1154</v>
      </c>
      <c r="N99" s="415"/>
    </row>
    <row r="100" spans="13:14">
      <c r="M100" t="s">
        <v>1155</v>
      </c>
      <c r="N100" s="415"/>
    </row>
    <row r="101" spans="13:14">
      <c r="M101" t="s">
        <v>1156</v>
      </c>
      <c r="N101" s="415">
        <v>0.85950000000000004</v>
      </c>
    </row>
    <row r="102" spans="13:14">
      <c r="M102" t="s">
        <v>1157</v>
      </c>
      <c r="N102" s="415">
        <v>0.84060000000000001</v>
      </c>
    </row>
    <row r="103" spans="13:14">
      <c r="M103" t="s">
        <v>1158</v>
      </c>
      <c r="N103" s="415">
        <v>0.84099999999999997</v>
      </c>
    </row>
    <row r="104" spans="13:14">
      <c r="M104" t="s">
        <v>1159</v>
      </c>
      <c r="N104" s="415">
        <v>0.872</v>
      </c>
    </row>
    <row r="105" spans="13:14">
      <c r="M105" t="s">
        <v>1160</v>
      </c>
      <c r="N105" s="415">
        <v>0.89800000000000002</v>
      </c>
    </row>
    <row r="106" spans="13:14">
      <c r="M106" t="s">
        <v>1161</v>
      </c>
      <c r="N106" s="415">
        <v>0.87180000000000002</v>
      </c>
    </row>
    <row r="107" spans="13:14">
      <c r="M107" t="s">
        <v>1162</v>
      </c>
      <c r="N107" s="415">
        <v>0.87009999999999998</v>
      </c>
    </row>
    <row r="108" spans="13:14">
      <c r="M108" t="s">
        <v>1163</v>
      </c>
      <c r="N108" s="415">
        <v>0.87060000000000004</v>
      </c>
    </row>
    <row r="109" spans="13:14">
      <c r="M109" t="s">
        <v>1164</v>
      </c>
      <c r="N109" s="415"/>
    </row>
    <row r="110" spans="13:14">
      <c r="M110" t="s">
        <v>1165</v>
      </c>
      <c r="N110" s="415"/>
    </row>
    <row r="111" spans="13:14">
      <c r="M111" t="s">
        <v>1166</v>
      </c>
      <c r="N111" s="415"/>
    </row>
    <row r="112" spans="13:14">
      <c r="M112" t="s">
        <v>1167</v>
      </c>
      <c r="N112" s="415"/>
    </row>
    <row r="113" spans="13:14">
      <c r="M113" t="s">
        <v>1168</v>
      </c>
      <c r="N113" s="415">
        <v>0.86809999999999998</v>
      </c>
    </row>
    <row r="114" spans="13:14">
      <c r="M114" t="s">
        <v>1169</v>
      </c>
      <c r="N114" s="415">
        <v>0.88570000000000004</v>
      </c>
    </row>
    <row r="115" spans="13:14">
      <c r="M115" t="s">
        <v>1170</v>
      </c>
      <c r="N115" s="415"/>
    </row>
    <row r="116" spans="13:14">
      <c r="M116" t="s">
        <v>1171</v>
      </c>
      <c r="N116" s="415"/>
    </row>
    <row r="117" spans="13:14">
      <c r="M117" t="s">
        <v>1172</v>
      </c>
      <c r="N117" s="415">
        <v>0.86670000000000003</v>
      </c>
    </row>
    <row r="118" spans="13:14">
      <c r="M118" t="s">
        <v>1173</v>
      </c>
      <c r="N118" s="415"/>
    </row>
    <row r="119" spans="13:14">
      <c r="M119" t="s">
        <v>1174</v>
      </c>
      <c r="N119" s="415">
        <v>0.86609999999999998</v>
      </c>
    </row>
    <row r="120" spans="13:14">
      <c r="M120" t="s">
        <v>1175</v>
      </c>
      <c r="N120" s="415">
        <v>0.878</v>
      </c>
    </row>
    <row r="121" spans="13:14">
      <c r="M121" t="s">
        <v>1176</v>
      </c>
      <c r="N121" s="415">
        <v>0.87860000000000005</v>
      </c>
    </row>
    <row r="122" spans="13:14">
      <c r="M122" t="s">
        <v>1177</v>
      </c>
      <c r="N122" s="415">
        <v>0.87839999999999996</v>
      </c>
    </row>
    <row r="123" spans="13:14">
      <c r="M123" t="s">
        <v>1178</v>
      </c>
      <c r="N123" s="415">
        <v>0.87549999999999994</v>
      </c>
    </row>
    <row r="124" spans="13:14">
      <c r="M124" t="s">
        <v>1179</v>
      </c>
      <c r="N124" s="415">
        <v>0.86250000000000004</v>
      </c>
    </row>
    <row r="125" spans="13:14">
      <c r="M125" t="s">
        <v>1180</v>
      </c>
      <c r="N125" s="415">
        <v>0.86639999999999995</v>
      </c>
    </row>
    <row r="126" spans="13:14">
      <c r="M126" t="s">
        <v>1181</v>
      </c>
      <c r="N126" s="415">
        <v>0.86750000000000005</v>
      </c>
    </row>
    <row r="127" spans="13:14">
      <c r="M127" t="s">
        <v>1182</v>
      </c>
      <c r="N127" s="415">
        <v>0.86829999999999996</v>
      </c>
    </row>
    <row r="128" spans="13:14">
      <c r="M128" t="s">
        <v>1183</v>
      </c>
      <c r="N128" s="415">
        <v>0.86319999999999997</v>
      </c>
    </row>
    <row r="129" spans="13:14">
      <c r="M129" t="s">
        <v>1184</v>
      </c>
      <c r="N129" s="415">
        <v>0.91979999999999995</v>
      </c>
    </row>
    <row r="130" spans="13:14">
      <c r="M130" t="s">
        <v>1185</v>
      </c>
      <c r="N130" s="415">
        <v>0.90480000000000005</v>
      </c>
    </row>
    <row r="131" spans="13:14">
      <c r="M131" t="s">
        <v>1186</v>
      </c>
      <c r="N131" s="415">
        <v>0.91439999999999999</v>
      </c>
    </row>
    <row r="132" spans="13:14">
      <c r="M132" t="s">
        <v>1187</v>
      </c>
      <c r="N132" s="415">
        <v>0.91439999999999999</v>
      </c>
    </row>
    <row r="133" spans="13:14">
      <c r="M133" t="s">
        <v>1188</v>
      </c>
      <c r="N133" s="415">
        <v>0.91890000000000005</v>
      </c>
    </row>
    <row r="134" spans="13:14">
      <c r="M134" t="s">
        <v>1189</v>
      </c>
      <c r="N134" s="415">
        <v>0.92349999999999999</v>
      </c>
    </row>
    <row r="135" spans="13:14">
      <c r="M135" t="s">
        <v>1190</v>
      </c>
      <c r="N135" s="415">
        <v>0.92559999999999998</v>
      </c>
    </row>
    <row r="136" spans="13:14">
      <c r="M136" t="s">
        <v>1191</v>
      </c>
      <c r="N136" s="415">
        <v>0.92130000000000001</v>
      </c>
    </row>
    <row r="137" spans="13:14">
      <c r="M137" t="s">
        <v>1192</v>
      </c>
      <c r="N137" s="415">
        <v>0.92930000000000001</v>
      </c>
    </row>
    <row r="138" spans="13:14">
      <c r="M138" t="s">
        <v>1193</v>
      </c>
      <c r="N138" s="415">
        <v>0.89890000000000003</v>
      </c>
    </row>
    <row r="139" spans="13:14">
      <c r="M139" t="s">
        <v>1194</v>
      </c>
      <c r="N139" s="415">
        <v>0.89459999999999995</v>
      </c>
    </row>
    <row r="140" spans="13:14">
      <c r="M140" t="s">
        <v>1195</v>
      </c>
      <c r="N140" s="415">
        <v>0.92810000000000004</v>
      </c>
    </row>
    <row r="141" spans="13:14">
      <c r="M141" t="s">
        <v>1196</v>
      </c>
      <c r="N141" s="415">
        <v>0.90620000000000001</v>
      </c>
    </row>
    <row r="142" spans="13:14">
      <c r="M142" t="s">
        <v>1197</v>
      </c>
      <c r="N142" s="415">
        <v>0.92410000000000003</v>
      </c>
    </row>
    <row r="143" spans="13:14">
      <c r="M143" t="s">
        <v>1198</v>
      </c>
      <c r="N143" s="415">
        <v>0.92059999999999997</v>
      </c>
    </row>
    <row r="144" spans="13:14">
      <c r="M144" t="s">
        <v>1199</v>
      </c>
      <c r="N144" s="415">
        <v>0.89159999999999995</v>
      </c>
    </row>
    <row r="145" spans="13:14">
      <c r="M145" t="s">
        <v>1200</v>
      </c>
      <c r="N145" s="415">
        <v>0.90990000000000004</v>
      </c>
    </row>
    <row r="146" spans="13:14">
      <c r="M146" t="s">
        <v>1201</v>
      </c>
      <c r="N146" s="415">
        <v>0.88480000000000003</v>
      </c>
    </row>
    <row r="147" spans="13:14">
      <c r="M147" t="s">
        <v>1317</v>
      </c>
      <c r="N147" s="415">
        <v>0.98870000000000002</v>
      </c>
    </row>
    <row r="148" spans="13:14">
      <c r="M148" t="s">
        <v>1202</v>
      </c>
      <c r="N148" s="415">
        <v>0.90280000000000005</v>
      </c>
    </row>
    <row r="149" spans="13:14">
      <c r="M149" t="s">
        <v>1203</v>
      </c>
      <c r="N149" s="415">
        <v>0.88900000000000001</v>
      </c>
    </row>
    <row r="150" spans="13:14">
      <c r="M150" t="s">
        <v>1204</v>
      </c>
      <c r="N150" s="415">
        <v>0.89180000000000004</v>
      </c>
    </row>
    <row r="151" spans="13:14">
      <c r="M151" t="s">
        <v>1205</v>
      </c>
      <c r="N151" s="415">
        <v>0.91379999999999995</v>
      </c>
    </row>
    <row r="152" spans="13:14">
      <c r="M152" t="s">
        <v>1206</v>
      </c>
      <c r="N152" s="415">
        <v>0.90439999999999998</v>
      </c>
    </row>
    <row r="153" spans="13:14">
      <c r="M153" t="s">
        <v>1207</v>
      </c>
      <c r="N153" s="415">
        <v>0.98870000000000002</v>
      </c>
    </row>
    <row r="154" spans="13:14">
      <c r="M154" t="s">
        <v>1208</v>
      </c>
      <c r="N154" s="415">
        <v>0.89080000000000004</v>
      </c>
    </row>
    <row r="155" spans="13:14">
      <c r="M155" t="s">
        <v>1209</v>
      </c>
      <c r="N155" s="415">
        <v>0.9042</v>
      </c>
    </row>
    <row r="156" spans="13:14">
      <c r="M156" t="s">
        <v>1210</v>
      </c>
      <c r="N156" s="415">
        <v>0.91069999999999995</v>
      </c>
    </row>
    <row r="157" spans="13:14">
      <c r="M157" t="s">
        <v>1211</v>
      </c>
      <c r="N157" s="415">
        <v>0.91600000000000004</v>
      </c>
    </row>
    <row r="158" spans="13:14">
      <c r="M158" t="s">
        <v>1212</v>
      </c>
      <c r="N158" s="415">
        <v>0.9083</v>
      </c>
    </row>
    <row r="159" spans="13:14">
      <c r="M159" t="s">
        <v>1213</v>
      </c>
      <c r="N159" s="415">
        <v>0.90390000000000004</v>
      </c>
    </row>
    <row r="160" spans="13:14">
      <c r="M160" t="s">
        <v>1214</v>
      </c>
      <c r="N160" s="415">
        <v>0.89770000000000005</v>
      </c>
    </row>
    <row r="161" spans="13:14">
      <c r="M161" t="s">
        <v>1215</v>
      </c>
      <c r="N161" s="415">
        <v>0.91820000000000002</v>
      </c>
    </row>
    <row r="162" spans="13:14">
      <c r="M162" t="s">
        <v>1216</v>
      </c>
      <c r="N162" s="415">
        <v>0.90449999999999997</v>
      </c>
    </row>
    <row r="163" spans="13:14">
      <c r="M163" t="s">
        <v>1217</v>
      </c>
      <c r="N163" s="415">
        <v>0.88839999999999997</v>
      </c>
    </row>
    <row r="164" spans="13:14">
      <c r="M164" t="s">
        <v>1218</v>
      </c>
      <c r="N164" s="415">
        <v>0.91869999999999996</v>
      </c>
    </row>
    <row r="165" spans="13:14">
      <c r="M165" t="s">
        <v>1219</v>
      </c>
      <c r="N165" s="415">
        <v>0.89019999999999999</v>
      </c>
    </row>
    <row r="166" spans="13:14">
      <c r="M166" t="s">
        <v>1220</v>
      </c>
      <c r="N166" s="415">
        <v>0.88829999999999998</v>
      </c>
    </row>
    <row r="167" spans="13:14">
      <c r="M167" t="s">
        <v>1221</v>
      </c>
      <c r="N167" s="415">
        <v>0.91180000000000005</v>
      </c>
    </row>
    <row r="168" spans="13:14">
      <c r="M168" t="s">
        <v>1222</v>
      </c>
      <c r="N168" s="415">
        <v>0.91659999999999997</v>
      </c>
    </row>
    <row r="169" spans="13:14">
      <c r="M169" t="s">
        <v>1223</v>
      </c>
      <c r="N169" s="415">
        <v>0.91039999999999999</v>
      </c>
    </row>
    <row r="170" spans="13:14">
      <c r="M170" t="s">
        <v>1224</v>
      </c>
      <c r="N170" s="415">
        <v>0.90759999999999996</v>
      </c>
    </row>
    <row r="171" spans="13:14">
      <c r="M171" t="s">
        <v>1225</v>
      </c>
      <c r="N171" s="415">
        <v>0.9</v>
      </c>
    </row>
    <row r="172" spans="13:14">
      <c r="M172" t="s">
        <v>1226</v>
      </c>
      <c r="N172" s="415">
        <v>0.88949999999999996</v>
      </c>
    </row>
    <row r="173" spans="13:14">
      <c r="M173" t="s">
        <v>1227</v>
      </c>
      <c r="N173" s="415">
        <v>0.88060000000000005</v>
      </c>
    </row>
    <row r="174" spans="13:14">
      <c r="M174" t="s">
        <v>1228</v>
      </c>
      <c r="N174" s="415">
        <v>0.88229999999999997</v>
      </c>
    </row>
    <row r="175" spans="13:14">
      <c r="M175" t="s">
        <v>1229</v>
      </c>
      <c r="N175" s="415">
        <v>0.89259999999999995</v>
      </c>
    </row>
    <row r="176" spans="13:14">
      <c r="M176" t="s">
        <v>1230</v>
      </c>
      <c r="N176" s="415">
        <v>0.91720000000000002</v>
      </c>
    </row>
    <row r="177" spans="13:14">
      <c r="M177" t="s">
        <v>1231</v>
      </c>
      <c r="N177" s="415">
        <v>0.91820000000000002</v>
      </c>
    </row>
    <row r="178" spans="13:14">
      <c r="M178" t="s">
        <v>1232</v>
      </c>
      <c r="N178" s="415">
        <v>0.88819999999999999</v>
      </c>
    </row>
    <row r="179" spans="13:14">
      <c r="M179" t="s">
        <v>1233</v>
      </c>
      <c r="N179" s="415">
        <v>0.87180000000000002</v>
      </c>
    </row>
    <row r="180" spans="13:14">
      <c r="M180" t="s">
        <v>1234</v>
      </c>
      <c r="N180" s="415">
        <v>0.88490000000000002</v>
      </c>
    </row>
    <row r="181" spans="13:14">
      <c r="M181" t="s">
        <v>1235</v>
      </c>
      <c r="N181" s="415">
        <v>0.90969999999999995</v>
      </c>
    </row>
    <row r="182" spans="13:14">
      <c r="M182" t="s">
        <v>1236</v>
      </c>
      <c r="N182" s="415">
        <v>0.89370000000000005</v>
      </c>
    </row>
    <row r="183" spans="13:14">
      <c r="M183" t="s">
        <v>1237</v>
      </c>
      <c r="N183" s="415">
        <v>0.90680000000000005</v>
      </c>
    </row>
    <row r="184" spans="13:14">
      <c r="M184" t="s">
        <v>1238</v>
      </c>
      <c r="N184" s="415">
        <v>0.90739999999999998</v>
      </c>
    </row>
    <row r="185" spans="13:14">
      <c r="M185" t="s">
        <v>1239</v>
      </c>
      <c r="N185" s="415">
        <v>0.90720000000000001</v>
      </c>
    </row>
    <row r="186" spans="13:14">
      <c r="M186" t="s">
        <v>1240</v>
      </c>
      <c r="N186" s="415">
        <v>0.90480000000000005</v>
      </c>
    </row>
    <row r="187" spans="13:14">
      <c r="M187" t="s">
        <v>1241</v>
      </c>
      <c r="N187" s="415">
        <v>0.90229999999999999</v>
      </c>
    </row>
    <row r="188" spans="13:14">
      <c r="M188" t="s">
        <v>1242</v>
      </c>
      <c r="N188" s="415">
        <v>0.90400000000000003</v>
      </c>
    </row>
    <row r="189" spans="13:14">
      <c r="M189" t="s">
        <v>1243</v>
      </c>
      <c r="N189" s="415">
        <v>0.90580000000000005</v>
      </c>
    </row>
    <row r="190" spans="13:14">
      <c r="M190" t="s">
        <v>1244</v>
      </c>
      <c r="N190" s="415">
        <v>0.90880000000000005</v>
      </c>
    </row>
    <row r="191" spans="13:14">
      <c r="M191" t="s">
        <v>1245</v>
      </c>
      <c r="N191" s="415">
        <v>0.90259999999999996</v>
      </c>
    </row>
    <row r="192" spans="13:14">
      <c r="M192" t="s">
        <v>934</v>
      </c>
      <c r="N192" s="415">
        <v>0.9345</v>
      </c>
    </row>
    <row r="193" spans="13:14">
      <c r="M193" t="s">
        <v>935</v>
      </c>
      <c r="N193" s="415">
        <v>0.89080000000000004</v>
      </c>
    </row>
    <row r="194" spans="13:14">
      <c r="M194" t="s">
        <v>936</v>
      </c>
      <c r="N194" s="415">
        <v>0.88570000000000004</v>
      </c>
    </row>
    <row r="195" spans="13:14">
      <c r="M195" t="s">
        <v>937</v>
      </c>
      <c r="N195" s="415">
        <v>0.88570000000000004</v>
      </c>
    </row>
    <row r="196" spans="13:14">
      <c r="M196" t="s">
        <v>938</v>
      </c>
      <c r="N196" s="415">
        <v>0.87080000000000002</v>
      </c>
    </row>
    <row r="197" spans="13:14">
      <c r="M197" t="s">
        <v>939</v>
      </c>
      <c r="N197" s="415">
        <v>0.874</v>
      </c>
    </row>
    <row r="198" spans="13:14">
      <c r="M198" t="s">
        <v>940</v>
      </c>
      <c r="N198" s="415">
        <v>0.90749999999999997</v>
      </c>
    </row>
    <row r="199" spans="13:14">
      <c r="M199" t="s">
        <v>941</v>
      </c>
      <c r="N199" s="415">
        <v>0.88149999999999995</v>
      </c>
    </row>
    <row r="200" spans="13:14">
      <c r="M200" t="s">
        <v>942</v>
      </c>
      <c r="N200" s="415">
        <v>0.87290000000000001</v>
      </c>
    </row>
    <row r="201" spans="13:14">
      <c r="M201" t="s">
        <v>943</v>
      </c>
      <c r="N201" s="415">
        <v>0.88239999999999996</v>
      </c>
    </row>
    <row r="202" spans="13:14">
      <c r="M202" t="s">
        <v>944</v>
      </c>
      <c r="N202" s="415">
        <v>0.89459999999999995</v>
      </c>
    </row>
    <row r="203" spans="13:14">
      <c r="M203" t="s">
        <v>945</v>
      </c>
      <c r="N203" s="415">
        <v>0.89190000000000003</v>
      </c>
    </row>
    <row r="204" spans="13:14">
      <c r="M204" t="s">
        <v>946</v>
      </c>
      <c r="N204" s="415"/>
    </row>
    <row r="205" spans="13:14">
      <c r="M205" t="s">
        <v>947</v>
      </c>
      <c r="N205" s="415"/>
    </row>
    <row r="206" spans="13:14">
      <c r="M206" t="s">
        <v>948</v>
      </c>
      <c r="N206" s="415">
        <v>0.89900000000000002</v>
      </c>
    </row>
    <row r="207" spans="13:14">
      <c r="M207" t="s">
        <v>949</v>
      </c>
      <c r="N207" s="415">
        <v>0.88560000000000005</v>
      </c>
    </row>
    <row r="208" spans="13:14">
      <c r="M208" t="s">
        <v>950</v>
      </c>
      <c r="N208" s="415"/>
    </row>
    <row r="209" spans="13:14">
      <c r="M209" t="s">
        <v>951</v>
      </c>
      <c r="N209" s="415">
        <v>0.87960000000000005</v>
      </c>
    </row>
    <row r="210" spans="13:14">
      <c r="M210" t="s">
        <v>1318</v>
      </c>
      <c r="N210" s="415">
        <v>0.96040000000000003</v>
      </c>
    </row>
    <row r="211" spans="13:14">
      <c r="M211" t="s">
        <v>952</v>
      </c>
      <c r="N211" s="415">
        <v>0.89810000000000001</v>
      </c>
    </row>
    <row r="212" spans="13:14">
      <c r="M212" t="s">
        <v>953</v>
      </c>
      <c r="N212" s="415">
        <v>0.86809999999999998</v>
      </c>
    </row>
    <row r="213" spans="13:14">
      <c r="M213" t="s">
        <v>954</v>
      </c>
      <c r="N213" s="415">
        <v>0.90959999999999996</v>
      </c>
    </row>
    <row r="214" spans="13:14">
      <c r="M214" t="s">
        <v>955</v>
      </c>
      <c r="N214" s="415">
        <v>0.90149999999999997</v>
      </c>
    </row>
    <row r="215" spans="13:14">
      <c r="M215" t="s">
        <v>956</v>
      </c>
      <c r="N215" s="415"/>
    </row>
    <row r="216" spans="13:14">
      <c r="M216" t="s">
        <v>957</v>
      </c>
      <c r="N216" s="415">
        <v>0.96040000000000003</v>
      </c>
    </row>
    <row r="217" spans="13:14">
      <c r="M217" t="s">
        <v>958</v>
      </c>
      <c r="N217" s="415">
        <v>0.86539999999999995</v>
      </c>
    </row>
    <row r="218" spans="13:14">
      <c r="M218" t="s">
        <v>959</v>
      </c>
      <c r="N218" s="415">
        <v>0.92020000000000002</v>
      </c>
    </row>
    <row r="219" spans="13:14">
      <c r="M219" t="s">
        <v>960</v>
      </c>
      <c r="N219" s="415"/>
    </row>
    <row r="220" spans="13:14">
      <c r="M220" t="s">
        <v>961</v>
      </c>
      <c r="N220" s="415">
        <v>0.9536</v>
      </c>
    </row>
    <row r="221" spans="13:14">
      <c r="M221" t="s">
        <v>962</v>
      </c>
      <c r="N221" s="415"/>
    </row>
    <row r="222" spans="13:14">
      <c r="M222" t="s">
        <v>963</v>
      </c>
      <c r="N222" s="415"/>
    </row>
    <row r="223" spans="13:14">
      <c r="M223" t="s">
        <v>964</v>
      </c>
      <c r="N223" s="415">
        <v>0.86970000000000003</v>
      </c>
    </row>
    <row r="224" spans="13:14">
      <c r="M224" t="s">
        <v>965</v>
      </c>
      <c r="N224" s="415">
        <v>0.88039999999999996</v>
      </c>
    </row>
    <row r="225" spans="13:14">
      <c r="M225" t="s">
        <v>966</v>
      </c>
      <c r="N225" s="415">
        <v>0.87960000000000005</v>
      </c>
    </row>
    <row r="226" spans="13:14">
      <c r="M226" t="s">
        <v>967</v>
      </c>
      <c r="N226" s="415">
        <v>0.89039999999999997</v>
      </c>
    </row>
    <row r="227" spans="13:14">
      <c r="M227" t="s">
        <v>968</v>
      </c>
      <c r="N227" s="415">
        <v>0.90159999999999996</v>
      </c>
    </row>
    <row r="228" spans="13:14">
      <c r="M228" t="s">
        <v>969</v>
      </c>
      <c r="N228" s="415">
        <v>0.89859999999999995</v>
      </c>
    </row>
    <row r="229" spans="13:14">
      <c r="M229" t="s">
        <v>970</v>
      </c>
      <c r="N229" s="415">
        <v>0.90669999999999995</v>
      </c>
    </row>
    <row r="230" spans="13:14">
      <c r="M230" t="s">
        <v>971</v>
      </c>
      <c r="N230" s="415">
        <v>0.91</v>
      </c>
    </row>
    <row r="231" spans="13:14">
      <c r="M231" t="s">
        <v>972</v>
      </c>
      <c r="N231" s="415">
        <v>0.9254</v>
      </c>
    </row>
    <row r="232" spans="13:14">
      <c r="M232" t="s">
        <v>973</v>
      </c>
      <c r="N232" s="415"/>
    </row>
    <row r="233" spans="13:14">
      <c r="M233" t="s">
        <v>974</v>
      </c>
      <c r="N233" s="415">
        <v>0.88890000000000002</v>
      </c>
    </row>
    <row r="234" spans="13:14">
      <c r="M234" t="s">
        <v>975</v>
      </c>
      <c r="N234" s="415">
        <v>0.87150000000000005</v>
      </c>
    </row>
    <row r="235" spans="13:14">
      <c r="M235" t="s">
        <v>976</v>
      </c>
      <c r="N235" s="415">
        <v>0.91500000000000004</v>
      </c>
    </row>
    <row r="236" spans="13:14">
      <c r="M236" t="s">
        <v>977</v>
      </c>
      <c r="N236" s="415">
        <v>0.88149999999999995</v>
      </c>
    </row>
    <row r="237" spans="13:14">
      <c r="M237" t="s">
        <v>978</v>
      </c>
      <c r="N237" s="415">
        <v>0.9002</v>
      </c>
    </row>
    <row r="238" spans="13:14">
      <c r="M238" t="s">
        <v>979</v>
      </c>
      <c r="N238" s="415">
        <v>0.90990000000000004</v>
      </c>
    </row>
    <row r="239" spans="13:14">
      <c r="M239" t="s">
        <v>980</v>
      </c>
      <c r="N239" s="415">
        <v>0.90190000000000003</v>
      </c>
    </row>
    <row r="240" spans="13:14">
      <c r="M240" t="s">
        <v>981</v>
      </c>
      <c r="N240" s="415">
        <v>0.88529999999999998</v>
      </c>
    </row>
    <row r="241" spans="13:14">
      <c r="M241" t="s">
        <v>982</v>
      </c>
      <c r="N241" s="415">
        <v>0.88870000000000005</v>
      </c>
    </row>
    <row r="242" spans="13:14">
      <c r="M242" t="s">
        <v>983</v>
      </c>
      <c r="N242" s="415">
        <v>0.88129999999999997</v>
      </c>
    </row>
    <row r="243" spans="13:14">
      <c r="M243" t="s">
        <v>984</v>
      </c>
      <c r="N243" s="415">
        <v>0.88660000000000005</v>
      </c>
    </row>
    <row r="244" spans="13:14">
      <c r="M244" t="s">
        <v>985</v>
      </c>
      <c r="N244" s="415">
        <v>0.89239999999999997</v>
      </c>
    </row>
    <row r="245" spans="13:14">
      <c r="M245" t="s">
        <v>986</v>
      </c>
      <c r="N245" s="415">
        <v>0.89590000000000003</v>
      </c>
    </row>
    <row r="246" spans="13:14">
      <c r="M246" t="s">
        <v>987</v>
      </c>
      <c r="N246" s="415"/>
    </row>
    <row r="247" spans="13:14">
      <c r="M247" t="s">
        <v>988</v>
      </c>
      <c r="N247" s="415"/>
    </row>
    <row r="248" spans="13:14">
      <c r="M248" t="s">
        <v>989</v>
      </c>
      <c r="N248" s="415"/>
    </row>
    <row r="249" spans="13:14">
      <c r="M249" t="s">
        <v>990</v>
      </c>
      <c r="N249" s="415"/>
    </row>
    <row r="250" spans="13:14">
      <c r="M250" t="s">
        <v>991</v>
      </c>
      <c r="N250" s="415"/>
    </row>
    <row r="251" spans="13:14">
      <c r="M251" t="s">
        <v>992</v>
      </c>
      <c r="N251" s="415"/>
    </row>
    <row r="252" spans="13:14">
      <c r="M252" t="s">
        <v>993</v>
      </c>
      <c r="N252" s="415"/>
    </row>
    <row r="253" spans="13:14">
      <c r="M253" t="s">
        <v>994</v>
      </c>
      <c r="N253" s="415"/>
    </row>
    <row r="254" spans="13:14">
      <c r="M254" t="s">
        <v>995</v>
      </c>
      <c r="N254" s="415"/>
    </row>
    <row r="255" spans="13:14">
      <c r="M255" t="s">
        <v>996</v>
      </c>
      <c r="N255" s="415"/>
    </row>
    <row r="256" spans="13:14">
      <c r="M256" t="s">
        <v>997</v>
      </c>
      <c r="N256" s="415"/>
    </row>
    <row r="257" spans="13:14">
      <c r="M257" t="s">
        <v>998</v>
      </c>
      <c r="N257" s="415">
        <v>0.91490000000000005</v>
      </c>
    </row>
    <row r="258" spans="13:14">
      <c r="M258" t="s">
        <v>999</v>
      </c>
      <c r="N258" s="415"/>
    </row>
    <row r="259" spans="13:14">
      <c r="M259" t="s">
        <v>1000</v>
      </c>
      <c r="N259" s="415"/>
    </row>
    <row r="260" spans="13:14">
      <c r="M260" t="s">
        <v>1001</v>
      </c>
      <c r="N260" s="415"/>
    </row>
    <row r="261" spans="13:14">
      <c r="M261" t="s">
        <v>1002</v>
      </c>
      <c r="N261" s="415"/>
    </row>
    <row r="262" spans="13:14">
      <c r="M262" t="s">
        <v>1003</v>
      </c>
      <c r="N262" s="415"/>
    </row>
    <row r="263" spans="13:14">
      <c r="M263" t="s">
        <v>1004</v>
      </c>
      <c r="N263" s="415"/>
    </row>
    <row r="264" spans="13:14">
      <c r="M264" t="s">
        <v>1005</v>
      </c>
      <c r="N264" s="415"/>
    </row>
    <row r="265" spans="13:14">
      <c r="M265" t="s">
        <v>1006</v>
      </c>
      <c r="N265" s="415"/>
    </row>
    <row r="266" spans="13:14">
      <c r="M266" t="s">
        <v>1007</v>
      </c>
      <c r="N266" s="415"/>
    </row>
    <row r="267" spans="13:14">
      <c r="M267" t="s">
        <v>1008</v>
      </c>
      <c r="N267" s="415">
        <v>0.93140000000000001</v>
      </c>
    </row>
    <row r="268" spans="13:14">
      <c r="M268" t="s">
        <v>1009</v>
      </c>
      <c r="N268" s="415">
        <v>0.93700000000000006</v>
      </c>
    </row>
    <row r="269" spans="13:14">
      <c r="M269" t="s">
        <v>1010</v>
      </c>
      <c r="N269" s="415"/>
    </row>
    <row r="270" spans="13:14">
      <c r="M270" t="s">
        <v>1011</v>
      </c>
      <c r="N270" s="415"/>
    </row>
    <row r="271" spans="13:14">
      <c r="M271" t="s">
        <v>1012</v>
      </c>
      <c r="N271" s="415">
        <v>0.91579999999999995</v>
      </c>
    </row>
    <row r="272" spans="13:14">
      <c r="M272" t="s">
        <v>1013</v>
      </c>
      <c r="N272" s="415"/>
    </row>
    <row r="273" spans="13:14">
      <c r="M273" t="s">
        <v>1319</v>
      </c>
      <c r="N273" s="415"/>
    </row>
    <row r="274" spans="13:14">
      <c r="M274" t="s">
        <v>1014</v>
      </c>
      <c r="N274" s="415">
        <v>0.92889999999999995</v>
      </c>
    </row>
    <row r="275" spans="13:14">
      <c r="M275" t="s">
        <v>1015</v>
      </c>
      <c r="N275" s="415"/>
    </row>
    <row r="276" spans="13:14">
      <c r="M276" t="s">
        <v>1016</v>
      </c>
      <c r="N276" s="415"/>
    </row>
    <row r="277" spans="13:14">
      <c r="M277" t="s">
        <v>1017</v>
      </c>
      <c r="N277" s="415"/>
    </row>
    <row r="278" spans="13:14">
      <c r="M278" t="s">
        <v>1018</v>
      </c>
      <c r="N278" s="415">
        <v>0.91979999999999995</v>
      </c>
    </row>
    <row r="279" spans="13:14">
      <c r="M279" t="s">
        <v>1019</v>
      </c>
      <c r="N279" s="415"/>
    </row>
    <row r="280" spans="13:14">
      <c r="M280" t="s">
        <v>1020</v>
      </c>
      <c r="N280" s="415"/>
    </row>
    <row r="281" spans="13:14">
      <c r="M281" t="s">
        <v>1021</v>
      </c>
      <c r="N281" s="415"/>
    </row>
    <row r="282" spans="13:14">
      <c r="M282" t="s">
        <v>1022</v>
      </c>
      <c r="N282" s="415">
        <v>0.92110000000000003</v>
      </c>
    </row>
    <row r="283" spans="13:14">
      <c r="M283" t="s">
        <v>1023</v>
      </c>
      <c r="N283" s="415"/>
    </row>
    <row r="284" spans="13:14">
      <c r="M284" t="s">
        <v>1024</v>
      </c>
      <c r="N284" s="415">
        <v>0.92269999999999996</v>
      </c>
    </row>
    <row r="285" spans="13:14">
      <c r="M285" t="s">
        <v>1025</v>
      </c>
      <c r="N285" s="415">
        <v>0.90159999999999996</v>
      </c>
    </row>
    <row r="286" spans="13:14">
      <c r="M286" t="s">
        <v>1026</v>
      </c>
      <c r="N286" s="415"/>
    </row>
    <row r="287" spans="13:14">
      <c r="M287" t="s">
        <v>1027</v>
      </c>
      <c r="N287" s="415"/>
    </row>
    <row r="288" spans="13:14">
      <c r="M288" t="s">
        <v>1028</v>
      </c>
      <c r="N288" s="415"/>
    </row>
    <row r="289" spans="13:14">
      <c r="M289" t="s">
        <v>1029</v>
      </c>
      <c r="N289" s="415"/>
    </row>
    <row r="290" spans="13:14">
      <c r="M290" t="s">
        <v>1030</v>
      </c>
      <c r="N290" s="415">
        <v>0.92030000000000001</v>
      </c>
    </row>
    <row r="291" spans="13:14">
      <c r="M291" t="s">
        <v>1031</v>
      </c>
      <c r="N291" s="415">
        <v>0.92800000000000005</v>
      </c>
    </row>
    <row r="292" spans="13:14">
      <c r="M292" t="s">
        <v>1032</v>
      </c>
      <c r="N292" s="415">
        <v>0.93279999999999996</v>
      </c>
    </row>
    <row r="293" spans="13:14">
      <c r="M293" t="s">
        <v>1033</v>
      </c>
      <c r="N293" s="415">
        <v>0.93969999999999998</v>
      </c>
    </row>
    <row r="294" spans="13:14">
      <c r="M294" t="s">
        <v>1034</v>
      </c>
      <c r="N294" s="415">
        <v>0.94330000000000003</v>
      </c>
    </row>
    <row r="295" spans="13:14">
      <c r="M295" t="s">
        <v>1035</v>
      </c>
      <c r="N295" s="415">
        <v>0.9627</v>
      </c>
    </row>
    <row r="296" spans="13:14">
      <c r="M296" t="s">
        <v>1036</v>
      </c>
      <c r="N296" s="415">
        <v>0.92510000000000003</v>
      </c>
    </row>
    <row r="297" spans="13:14">
      <c r="M297" t="s">
        <v>1037</v>
      </c>
      <c r="N297" s="415">
        <v>0.90059999999999996</v>
      </c>
    </row>
    <row r="298" spans="13:14">
      <c r="M298" t="s">
        <v>1038</v>
      </c>
      <c r="N298" s="415"/>
    </row>
    <row r="299" spans="13:14">
      <c r="M299" t="s">
        <v>1039</v>
      </c>
      <c r="N299" s="415"/>
    </row>
    <row r="300" spans="13:14">
      <c r="M300" t="s">
        <v>1040</v>
      </c>
      <c r="N300" s="415"/>
    </row>
    <row r="301" spans="13:14">
      <c r="M301" t="s">
        <v>1041</v>
      </c>
      <c r="N301" s="415"/>
    </row>
    <row r="302" spans="13:14">
      <c r="M302" t="s">
        <v>1042</v>
      </c>
      <c r="N302" s="415">
        <v>0.92059999999999997</v>
      </c>
    </row>
    <row r="303" spans="13:14">
      <c r="M303" t="s">
        <v>1043</v>
      </c>
      <c r="N303" s="415">
        <v>0.9133</v>
      </c>
    </row>
    <row r="304" spans="13:14">
      <c r="M304" t="s">
        <v>1044</v>
      </c>
      <c r="N304" s="415"/>
    </row>
    <row r="305" spans="13:14">
      <c r="M305" t="s">
        <v>1045</v>
      </c>
      <c r="N305" s="415"/>
    </row>
    <row r="306" spans="13:14">
      <c r="M306" t="s">
        <v>1046</v>
      </c>
      <c r="N306" s="415">
        <v>0.90390000000000004</v>
      </c>
    </row>
    <row r="307" spans="13:14">
      <c r="M307" t="s">
        <v>1047</v>
      </c>
      <c r="N307" s="415"/>
    </row>
    <row r="308" spans="13:14">
      <c r="M308" t="s">
        <v>1048</v>
      </c>
      <c r="N308" s="415">
        <v>0.93220000000000003</v>
      </c>
    </row>
    <row r="309" spans="13:14">
      <c r="M309" t="s">
        <v>1049</v>
      </c>
      <c r="N309" s="415">
        <v>0.92110000000000003</v>
      </c>
    </row>
    <row r="310" spans="13:14">
      <c r="M310" t="s">
        <v>1050</v>
      </c>
      <c r="N310" s="415">
        <v>0.92179999999999995</v>
      </c>
    </row>
    <row r="311" spans="13:14">
      <c r="M311" t="s">
        <v>1051</v>
      </c>
      <c r="N311" s="415">
        <v>0.92149999999999999</v>
      </c>
    </row>
    <row r="312" spans="13:14">
      <c r="M312" t="s">
        <v>1052</v>
      </c>
      <c r="N312" s="415">
        <v>0.92100000000000004</v>
      </c>
    </row>
    <row r="313" spans="13:14">
      <c r="M313" t="s">
        <v>1053</v>
      </c>
      <c r="N313" s="415">
        <v>0.92149999999999999</v>
      </c>
    </row>
    <row r="314" spans="13:14">
      <c r="M314" t="s">
        <v>1054</v>
      </c>
      <c r="N314" s="415">
        <v>0.92259999999999998</v>
      </c>
    </row>
    <row r="315" spans="13:14">
      <c r="M315" t="s">
        <v>1055</v>
      </c>
      <c r="N315" s="415">
        <v>0.92779999999999996</v>
      </c>
    </row>
    <row r="316" spans="13:14">
      <c r="M316" t="s">
        <v>1056</v>
      </c>
      <c r="N316" s="415">
        <v>0.95079999999999998</v>
      </c>
    </row>
    <row r="317" spans="13:14">
      <c r="M317" t="s">
        <v>1057</v>
      </c>
      <c r="N317" s="415">
        <v>0.92959999999999998</v>
      </c>
    </row>
    <row r="318" spans="13:14">
      <c r="M318" t="s">
        <v>1058</v>
      </c>
      <c r="N318" s="415">
        <v>0.98509999999999998</v>
      </c>
    </row>
    <row r="319" spans="13:14">
      <c r="M319" t="s">
        <v>1059</v>
      </c>
      <c r="N319" s="415">
        <v>0.93869999999999998</v>
      </c>
    </row>
    <row r="320" spans="13:14">
      <c r="M320" t="s">
        <v>1060</v>
      </c>
      <c r="N320" s="415">
        <v>0.9345</v>
      </c>
    </row>
    <row r="321" spans="13:14">
      <c r="M321" t="s">
        <v>1061</v>
      </c>
      <c r="N321" s="415">
        <v>0.9345</v>
      </c>
    </row>
    <row r="322" spans="13:14">
      <c r="M322" t="s">
        <v>1062</v>
      </c>
      <c r="N322" s="415">
        <v>0.91859999999999997</v>
      </c>
    </row>
    <row r="323" spans="13:14">
      <c r="M323" t="s">
        <v>1063</v>
      </c>
      <c r="N323" s="415">
        <v>0.91959999999999997</v>
      </c>
    </row>
    <row r="324" spans="13:14">
      <c r="M324" t="s">
        <v>1064</v>
      </c>
      <c r="N324" s="415">
        <v>0.9194</v>
      </c>
    </row>
    <row r="325" spans="13:14">
      <c r="M325" t="s">
        <v>1065</v>
      </c>
      <c r="N325" s="415">
        <v>0.91900000000000004</v>
      </c>
    </row>
    <row r="326" spans="13:14">
      <c r="M326" t="s">
        <v>1066</v>
      </c>
      <c r="N326" s="415">
        <v>0.9204</v>
      </c>
    </row>
    <row r="327" spans="13:14">
      <c r="M327" t="s">
        <v>1067</v>
      </c>
      <c r="N327" s="415">
        <v>0.92949999999999999</v>
      </c>
    </row>
    <row r="328" spans="13:14">
      <c r="M328" t="s">
        <v>1068</v>
      </c>
      <c r="N328" s="415">
        <v>0.94450000000000001</v>
      </c>
    </row>
    <row r="329" spans="13:14">
      <c r="M329" t="s">
        <v>1069</v>
      </c>
      <c r="N329" s="415">
        <v>0.90659999999999996</v>
      </c>
    </row>
    <row r="330" spans="13:14">
      <c r="M330" t="s">
        <v>1070</v>
      </c>
      <c r="N330" s="415"/>
    </row>
    <row r="331" spans="13:14">
      <c r="M331" t="s">
        <v>1071</v>
      </c>
      <c r="N331" s="415"/>
    </row>
    <row r="332" spans="13:14">
      <c r="M332" t="s">
        <v>1072</v>
      </c>
      <c r="N332" s="415">
        <v>0.92320000000000002</v>
      </c>
    </row>
    <row r="333" spans="13:14">
      <c r="M333" t="s">
        <v>1073</v>
      </c>
      <c r="N333" s="415">
        <v>0.92359999999999998</v>
      </c>
    </row>
    <row r="334" spans="13:14">
      <c r="M334" t="s">
        <v>1074</v>
      </c>
      <c r="N334" s="415">
        <v>0.93369999999999997</v>
      </c>
    </row>
    <row r="335" spans="13:14">
      <c r="M335" t="s">
        <v>1075</v>
      </c>
      <c r="N335" s="415">
        <v>0.91649999999999998</v>
      </c>
    </row>
    <row r="336" spans="13:14">
      <c r="M336" t="s">
        <v>1320</v>
      </c>
      <c r="N336" s="415">
        <v>0.99970000000000003</v>
      </c>
    </row>
    <row r="337" spans="13:14">
      <c r="M337" t="s">
        <v>1076</v>
      </c>
      <c r="N337" s="415">
        <v>0.94940000000000002</v>
      </c>
    </row>
    <row r="338" spans="13:14">
      <c r="M338" t="s">
        <v>1077</v>
      </c>
      <c r="N338" s="415">
        <v>0.90480000000000005</v>
      </c>
    </row>
    <row r="339" spans="13:14">
      <c r="M339" t="s">
        <v>1078</v>
      </c>
      <c r="N339" s="415">
        <v>0.94489999999999996</v>
      </c>
    </row>
    <row r="340" spans="13:14">
      <c r="M340" t="s">
        <v>1079</v>
      </c>
      <c r="N340" s="415">
        <v>0.9506</v>
      </c>
    </row>
    <row r="341" spans="13:14">
      <c r="M341" t="s">
        <v>1080</v>
      </c>
      <c r="N341" s="415">
        <v>0.8982</v>
      </c>
    </row>
    <row r="342" spans="13:14">
      <c r="M342" t="s">
        <v>1081</v>
      </c>
      <c r="N342" s="415">
        <v>0.99970000000000003</v>
      </c>
    </row>
    <row r="343" spans="13:14">
      <c r="M343" t="s">
        <v>1082</v>
      </c>
      <c r="N343" s="415">
        <v>0.90210000000000001</v>
      </c>
    </row>
    <row r="344" spans="13:14">
      <c r="M344" t="s">
        <v>1083</v>
      </c>
      <c r="N344" s="415">
        <v>0.96970000000000001</v>
      </c>
    </row>
    <row r="345" spans="13:14">
      <c r="M345" t="s">
        <v>1084</v>
      </c>
      <c r="N345" s="415">
        <v>0.90800000000000003</v>
      </c>
    </row>
    <row r="346" spans="13:14">
      <c r="M346" t="s">
        <v>1085</v>
      </c>
      <c r="N346" s="415">
        <v>0.97760000000000002</v>
      </c>
    </row>
    <row r="347" spans="13:14">
      <c r="M347" t="s">
        <v>1086</v>
      </c>
      <c r="N347" s="415">
        <v>0.93069999999999997</v>
      </c>
    </row>
    <row r="348" spans="13:14">
      <c r="M348" t="s">
        <v>1087</v>
      </c>
      <c r="N348" s="415">
        <v>0.91920000000000002</v>
      </c>
    </row>
    <row r="349" spans="13:14">
      <c r="M349" t="s">
        <v>1088</v>
      </c>
      <c r="N349" s="415">
        <v>0.90200000000000002</v>
      </c>
    </row>
    <row r="350" spans="13:14">
      <c r="M350" t="s">
        <v>1089</v>
      </c>
      <c r="N350" s="415">
        <v>0.90749999999999997</v>
      </c>
    </row>
    <row r="351" spans="13:14">
      <c r="M351" t="s">
        <v>1090</v>
      </c>
      <c r="N351" s="415">
        <v>0.90580000000000005</v>
      </c>
    </row>
    <row r="352" spans="13:14">
      <c r="M352" t="s">
        <v>1091</v>
      </c>
      <c r="N352" s="415">
        <v>0.93759999999999999</v>
      </c>
    </row>
    <row r="353" spans="13:14">
      <c r="M353" t="s">
        <v>1092</v>
      </c>
      <c r="N353" s="415">
        <v>0.9294</v>
      </c>
    </row>
    <row r="354" spans="13:14">
      <c r="M354" t="s">
        <v>1093</v>
      </c>
      <c r="N354" s="415">
        <v>0.92759999999999998</v>
      </c>
    </row>
    <row r="355" spans="13:14">
      <c r="M355" t="s">
        <v>1094</v>
      </c>
      <c r="N355" s="415">
        <v>0.9375</v>
      </c>
    </row>
    <row r="356" spans="13:14">
      <c r="M356" t="s">
        <v>1095</v>
      </c>
      <c r="N356" s="415">
        <v>0.95950000000000002</v>
      </c>
    </row>
    <row r="357" spans="13:14">
      <c r="M357" t="s">
        <v>1096</v>
      </c>
      <c r="N357" s="415">
        <v>0.96189999999999998</v>
      </c>
    </row>
    <row r="358" spans="13:14">
      <c r="M358" t="s">
        <v>1097</v>
      </c>
      <c r="N358" s="415">
        <v>0.98119999999999996</v>
      </c>
    </row>
    <row r="359" spans="13:14">
      <c r="M359" t="s">
        <v>1098</v>
      </c>
      <c r="N359" s="415">
        <v>0.94259999999999999</v>
      </c>
    </row>
    <row r="360" spans="13:14">
      <c r="M360" t="s">
        <v>1099</v>
      </c>
      <c r="N360" s="415">
        <v>0.91990000000000005</v>
      </c>
    </row>
    <row r="361" spans="13:14">
      <c r="M361" t="s">
        <v>1100</v>
      </c>
      <c r="N361" s="415">
        <v>0.9224</v>
      </c>
    </row>
    <row r="362" spans="13:14">
      <c r="M362" t="s">
        <v>1101</v>
      </c>
      <c r="N362" s="415">
        <v>0.90759999999999996</v>
      </c>
    </row>
    <row r="363" spans="13:14">
      <c r="M363" t="s">
        <v>1102</v>
      </c>
      <c r="N363" s="415">
        <v>0.92759999999999998</v>
      </c>
    </row>
    <row r="364" spans="13:14">
      <c r="M364" t="s">
        <v>1103</v>
      </c>
      <c r="N364" s="415">
        <v>0.92789999999999995</v>
      </c>
    </row>
    <row r="365" spans="13:14">
      <c r="M365" t="s">
        <v>1104</v>
      </c>
      <c r="N365" s="415">
        <v>0.93969999999999998</v>
      </c>
    </row>
    <row r="366" spans="13:14">
      <c r="M366" t="s">
        <v>1105</v>
      </c>
      <c r="N366" s="415">
        <v>0.94689999999999996</v>
      </c>
    </row>
    <row r="367" spans="13:14">
      <c r="M367" t="s">
        <v>1106</v>
      </c>
      <c r="N367" s="415">
        <v>0.92510000000000003</v>
      </c>
    </row>
    <row r="368" spans="13:14">
      <c r="M368" t="s">
        <v>1107</v>
      </c>
      <c r="N368" s="415">
        <v>0.92869999999999997</v>
      </c>
    </row>
    <row r="369" spans="13:14">
      <c r="M369" t="s">
        <v>1108</v>
      </c>
      <c r="N369" s="415">
        <v>0.92210000000000003</v>
      </c>
    </row>
    <row r="370" spans="13:14">
      <c r="M370" t="s">
        <v>1109</v>
      </c>
      <c r="N370" s="415">
        <v>0.93840000000000001</v>
      </c>
    </row>
    <row r="371" spans="13:14">
      <c r="M371" t="s">
        <v>1110</v>
      </c>
      <c r="N371" s="415">
        <v>0.93979999999999997</v>
      </c>
    </row>
    <row r="372" spans="13:14">
      <c r="M372" t="s">
        <v>1111</v>
      </c>
      <c r="N372" s="415">
        <v>0.93989999999999996</v>
      </c>
    </row>
    <row r="373" spans="13:14">
      <c r="M373" t="s">
        <v>1112</v>
      </c>
      <c r="N373" s="415">
        <v>0.93059999999999998</v>
      </c>
    </row>
    <row r="374" spans="13:14">
      <c r="M374" t="s">
        <v>1113</v>
      </c>
      <c r="N374" s="415">
        <v>0.9304</v>
      </c>
    </row>
    <row r="375" spans="13:14">
      <c r="M375" t="s">
        <v>1114</v>
      </c>
      <c r="N375" s="415">
        <v>0.93020000000000003</v>
      </c>
    </row>
    <row r="376" spans="13:14">
      <c r="M376" t="s">
        <v>1115</v>
      </c>
      <c r="N376" s="415">
        <v>0.94140000000000001</v>
      </c>
    </row>
    <row r="377" spans="13:14">
      <c r="M377" t="s">
        <v>1116</v>
      </c>
      <c r="N377" s="415">
        <v>0.94010000000000005</v>
      </c>
    </row>
    <row r="378" spans="13:14">
      <c r="M378" t="s">
        <v>1117</v>
      </c>
      <c r="N378" s="415">
        <v>0.94610000000000005</v>
      </c>
    </row>
    <row r="379" spans="13:14">
      <c r="M379" t="s">
        <v>1118</v>
      </c>
      <c r="N379" s="415">
        <v>0.97130000000000005</v>
      </c>
    </row>
    <row r="380" spans="13:14">
      <c r="M380" t="s">
        <v>1119</v>
      </c>
      <c r="N380" s="415">
        <v>0.94899999999999995</v>
      </c>
    </row>
    <row r="381" spans="13:14">
      <c r="M381" t="s">
        <v>748</v>
      </c>
      <c r="N381" s="415">
        <v>0.95909999999999995</v>
      </c>
    </row>
    <row r="382" spans="13:14">
      <c r="M382" t="s">
        <v>749</v>
      </c>
      <c r="N382" s="415">
        <v>0.91490000000000005</v>
      </c>
    </row>
    <row r="383" spans="13:14">
      <c r="M383" t="s">
        <v>750</v>
      </c>
      <c r="N383" s="415">
        <v>0.89729999999999999</v>
      </c>
    </row>
    <row r="384" spans="13:14">
      <c r="M384" t="s">
        <v>751</v>
      </c>
      <c r="N384" s="415">
        <v>0.89729999999999999</v>
      </c>
    </row>
    <row r="385" spans="13:14">
      <c r="M385" t="s">
        <v>752</v>
      </c>
      <c r="N385" s="415">
        <v>0.8901</v>
      </c>
    </row>
    <row r="386" spans="13:14">
      <c r="M386" t="s">
        <v>753</v>
      </c>
      <c r="N386" s="415">
        <v>0.90720000000000001</v>
      </c>
    </row>
    <row r="387" spans="13:14">
      <c r="M387" t="s">
        <v>754</v>
      </c>
      <c r="N387" s="415">
        <v>0.90539999999999998</v>
      </c>
    </row>
    <row r="388" spans="13:14">
      <c r="M388" t="s">
        <v>755</v>
      </c>
      <c r="N388" s="415">
        <v>0.91349999999999998</v>
      </c>
    </row>
    <row r="389" spans="13:14">
      <c r="M389" t="s">
        <v>756</v>
      </c>
      <c r="N389" s="415">
        <v>0.89510000000000001</v>
      </c>
    </row>
    <row r="390" spans="13:14">
      <c r="M390" t="s">
        <v>757</v>
      </c>
      <c r="N390" s="415">
        <v>0.90680000000000005</v>
      </c>
    </row>
    <row r="391" spans="13:14">
      <c r="M391" t="s">
        <v>758</v>
      </c>
      <c r="N391" s="415">
        <v>0.9163</v>
      </c>
    </row>
    <row r="392" spans="13:14">
      <c r="M392" t="s">
        <v>759</v>
      </c>
      <c r="N392" s="415">
        <v>0.92820000000000003</v>
      </c>
    </row>
    <row r="393" spans="13:14">
      <c r="M393" t="s">
        <v>760</v>
      </c>
      <c r="N393" s="415"/>
    </row>
    <row r="394" spans="13:14">
      <c r="M394" t="s">
        <v>761</v>
      </c>
      <c r="N394" s="415"/>
    </row>
    <row r="395" spans="13:14">
      <c r="M395" t="s">
        <v>762</v>
      </c>
      <c r="N395" s="415">
        <v>0.92900000000000005</v>
      </c>
    </row>
    <row r="396" spans="13:14">
      <c r="M396" t="s">
        <v>763</v>
      </c>
      <c r="N396" s="415">
        <v>0.89600000000000002</v>
      </c>
    </row>
    <row r="397" spans="13:14">
      <c r="M397" t="s">
        <v>764</v>
      </c>
      <c r="N397" s="415"/>
    </row>
    <row r="398" spans="13:14">
      <c r="M398" t="s">
        <v>765</v>
      </c>
      <c r="N398" s="415">
        <v>0.88770000000000004</v>
      </c>
    </row>
    <row r="399" spans="13:14">
      <c r="M399" t="s">
        <v>1321</v>
      </c>
      <c r="N399" s="415">
        <v>0.92989999999999995</v>
      </c>
    </row>
    <row r="400" spans="13:14">
      <c r="M400" t="s">
        <v>766</v>
      </c>
      <c r="N400" s="415">
        <v>0.91890000000000005</v>
      </c>
    </row>
    <row r="401" spans="13:14">
      <c r="M401" t="s">
        <v>767</v>
      </c>
      <c r="N401" s="415">
        <v>0.90859999999999996</v>
      </c>
    </row>
    <row r="402" spans="13:14">
      <c r="M402" t="s">
        <v>768</v>
      </c>
      <c r="N402" s="415">
        <v>0.90800000000000003</v>
      </c>
    </row>
    <row r="403" spans="13:14">
      <c r="M403" t="s">
        <v>769</v>
      </c>
      <c r="N403" s="415">
        <v>0.92500000000000004</v>
      </c>
    </row>
    <row r="404" spans="13:14">
      <c r="M404" t="s">
        <v>770</v>
      </c>
      <c r="N404" s="415"/>
    </row>
    <row r="405" spans="13:14">
      <c r="M405" t="s">
        <v>771</v>
      </c>
      <c r="N405" s="415">
        <v>0.92989999999999995</v>
      </c>
    </row>
    <row r="406" spans="13:14">
      <c r="M406" t="s">
        <v>772</v>
      </c>
      <c r="N406" s="415">
        <v>0.90600000000000003</v>
      </c>
    </row>
    <row r="407" spans="13:14">
      <c r="M407" t="s">
        <v>773</v>
      </c>
      <c r="N407" s="415">
        <v>0.94499999999999995</v>
      </c>
    </row>
    <row r="408" spans="13:14">
      <c r="M408" t="s">
        <v>774</v>
      </c>
      <c r="N408" s="415"/>
    </row>
    <row r="409" spans="13:14">
      <c r="M409" t="s">
        <v>775</v>
      </c>
      <c r="N409" s="415">
        <v>0.97760000000000002</v>
      </c>
    </row>
    <row r="410" spans="13:14">
      <c r="M410" t="s">
        <v>776</v>
      </c>
      <c r="N410" s="415"/>
    </row>
    <row r="411" spans="13:14">
      <c r="M411" t="s">
        <v>777</v>
      </c>
      <c r="N411" s="415"/>
    </row>
    <row r="412" spans="13:14">
      <c r="M412" t="s">
        <v>778</v>
      </c>
      <c r="N412" s="415">
        <v>0.90629999999999999</v>
      </c>
    </row>
    <row r="413" spans="13:14">
      <c r="M413" t="s">
        <v>779</v>
      </c>
      <c r="N413" s="415">
        <v>0.90920000000000001</v>
      </c>
    </row>
    <row r="414" spans="13:14">
      <c r="M414" t="s">
        <v>780</v>
      </c>
      <c r="N414" s="415">
        <v>0.87250000000000005</v>
      </c>
    </row>
    <row r="415" spans="13:14">
      <c r="M415" t="s">
        <v>781</v>
      </c>
      <c r="N415" s="415">
        <v>0.91490000000000005</v>
      </c>
    </row>
    <row r="416" spans="13:14">
      <c r="M416" t="s">
        <v>782</v>
      </c>
      <c r="N416" s="415">
        <v>0.90869999999999995</v>
      </c>
    </row>
    <row r="417" spans="13:14">
      <c r="M417" t="s">
        <v>783</v>
      </c>
      <c r="N417" s="415">
        <v>0.89970000000000006</v>
      </c>
    </row>
    <row r="418" spans="13:14">
      <c r="M418" t="s">
        <v>784</v>
      </c>
      <c r="N418" s="415">
        <v>0.90010000000000001</v>
      </c>
    </row>
    <row r="419" spans="13:14">
      <c r="M419" t="s">
        <v>785</v>
      </c>
      <c r="N419" s="415">
        <v>0.93440000000000001</v>
      </c>
    </row>
    <row r="420" spans="13:14">
      <c r="M420" t="s">
        <v>786</v>
      </c>
      <c r="N420" s="415">
        <v>0.9335</v>
      </c>
    </row>
    <row r="421" spans="13:14">
      <c r="M421" t="s">
        <v>787</v>
      </c>
      <c r="N421" s="415"/>
    </row>
    <row r="422" spans="13:14">
      <c r="M422" t="s">
        <v>788</v>
      </c>
      <c r="N422" s="415">
        <v>0.92730000000000001</v>
      </c>
    </row>
    <row r="423" spans="13:14">
      <c r="M423" t="s">
        <v>789</v>
      </c>
      <c r="N423" s="415">
        <v>0.90249999999999997</v>
      </c>
    </row>
    <row r="424" spans="13:14">
      <c r="M424" t="s">
        <v>790</v>
      </c>
      <c r="N424" s="415">
        <v>0.91800000000000004</v>
      </c>
    </row>
    <row r="425" spans="13:14">
      <c r="M425" t="s">
        <v>791</v>
      </c>
      <c r="N425" s="415">
        <v>0.90239999999999998</v>
      </c>
    </row>
    <row r="426" spans="13:14">
      <c r="M426" t="s">
        <v>792</v>
      </c>
      <c r="N426" s="415">
        <v>0.91900000000000004</v>
      </c>
    </row>
    <row r="427" spans="13:14">
      <c r="M427" t="s">
        <v>793</v>
      </c>
      <c r="N427" s="415">
        <v>0.86939999999999995</v>
      </c>
    </row>
    <row r="428" spans="13:14">
      <c r="M428" t="s">
        <v>794</v>
      </c>
      <c r="N428" s="415">
        <v>0.91310000000000002</v>
      </c>
    </row>
    <row r="429" spans="13:14">
      <c r="M429" t="s">
        <v>795</v>
      </c>
      <c r="N429" s="415">
        <v>0.90410000000000001</v>
      </c>
    </row>
    <row r="430" spans="13:14">
      <c r="M430" t="s">
        <v>796</v>
      </c>
      <c r="N430" s="415">
        <v>0.90869999999999995</v>
      </c>
    </row>
    <row r="431" spans="13:14">
      <c r="M431" t="s">
        <v>797</v>
      </c>
      <c r="N431" s="415">
        <v>0.9012</v>
      </c>
    </row>
    <row r="432" spans="13:14">
      <c r="M432" t="s">
        <v>798</v>
      </c>
      <c r="N432" s="415">
        <v>0.89419999999999999</v>
      </c>
    </row>
    <row r="433" spans="13:14">
      <c r="M433" t="s">
        <v>799</v>
      </c>
      <c r="N433" s="415">
        <v>0.90339999999999998</v>
      </c>
    </row>
    <row r="434" spans="13:14">
      <c r="M434" t="s">
        <v>800</v>
      </c>
      <c r="N434" s="415">
        <v>0.91479999999999995</v>
      </c>
    </row>
    <row r="435" spans="13:14">
      <c r="M435" t="s">
        <v>801</v>
      </c>
      <c r="N435" s="415"/>
    </row>
    <row r="436" spans="13:14">
      <c r="M436" t="s">
        <v>802</v>
      </c>
      <c r="N436" s="415"/>
    </row>
    <row r="437" spans="13:14">
      <c r="M437" t="s">
        <v>803</v>
      </c>
      <c r="N437" s="415"/>
    </row>
    <row r="438" spans="13:14">
      <c r="M438" t="s">
        <v>804</v>
      </c>
      <c r="N438" s="415"/>
    </row>
    <row r="439" spans="13:14">
      <c r="M439" t="s">
        <v>805</v>
      </c>
      <c r="N439" s="415"/>
    </row>
    <row r="440" spans="13:14">
      <c r="M440" t="s">
        <v>806</v>
      </c>
      <c r="N440" s="415"/>
    </row>
    <row r="441" spans="13:14">
      <c r="M441" t="s">
        <v>807</v>
      </c>
      <c r="N441" s="415"/>
    </row>
    <row r="442" spans="13:14">
      <c r="M442" t="s">
        <v>808</v>
      </c>
      <c r="N442" s="415"/>
    </row>
    <row r="443" spans="13:14">
      <c r="M443" t="s">
        <v>809</v>
      </c>
      <c r="N443" s="415"/>
    </row>
    <row r="444" spans="13:14">
      <c r="M444" t="s">
        <v>810</v>
      </c>
      <c r="N444" s="415"/>
    </row>
    <row r="445" spans="13:14">
      <c r="M445" t="s">
        <v>811</v>
      </c>
      <c r="N445" s="415"/>
    </row>
    <row r="446" spans="13:14">
      <c r="M446" t="s">
        <v>812</v>
      </c>
      <c r="N446" s="415">
        <v>0.92659999999999998</v>
      </c>
    </row>
    <row r="447" spans="13:14">
      <c r="M447" t="s">
        <v>813</v>
      </c>
      <c r="N447" s="415"/>
    </row>
    <row r="448" spans="13:14">
      <c r="M448" t="s">
        <v>814</v>
      </c>
      <c r="N448" s="415"/>
    </row>
    <row r="449" spans="13:14">
      <c r="M449" t="s">
        <v>815</v>
      </c>
      <c r="N449" s="415"/>
    </row>
    <row r="450" spans="13:14">
      <c r="M450" t="s">
        <v>816</v>
      </c>
      <c r="N450" s="415"/>
    </row>
    <row r="451" spans="13:14">
      <c r="M451" t="s">
        <v>817</v>
      </c>
      <c r="N451" s="415"/>
    </row>
    <row r="452" spans="13:14">
      <c r="M452" t="s">
        <v>818</v>
      </c>
      <c r="N452" s="415"/>
    </row>
    <row r="453" spans="13:14">
      <c r="M453" t="s">
        <v>819</v>
      </c>
      <c r="N453" s="415"/>
    </row>
    <row r="454" spans="13:14">
      <c r="M454" t="s">
        <v>820</v>
      </c>
      <c r="N454" s="415"/>
    </row>
    <row r="455" spans="13:14">
      <c r="M455" t="s">
        <v>821</v>
      </c>
      <c r="N455" s="415"/>
    </row>
    <row r="456" spans="13:14">
      <c r="M456" t="s">
        <v>822</v>
      </c>
      <c r="N456" s="415">
        <v>0.95040000000000002</v>
      </c>
    </row>
    <row r="457" spans="13:14">
      <c r="M457" t="s">
        <v>823</v>
      </c>
      <c r="N457" s="415">
        <v>0.95909999999999995</v>
      </c>
    </row>
    <row r="458" spans="13:14">
      <c r="M458" t="s">
        <v>824</v>
      </c>
      <c r="N458" s="415"/>
    </row>
    <row r="459" spans="13:14">
      <c r="M459" t="s">
        <v>825</v>
      </c>
      <c r="N459" s="415"/>
    </row>
    <row r="460" spans="13:14">
      <c r="M460" t="s">
        <v>826</v>
      </c>
      <c r="N460" s="415">
        <v>0.93489999999999995</v>
      </c>
    </row>
    <row r="461" spans="13:14">
      <c r="M461" t="s">
        <v>827</v>
      </c>
      <c r="N461" s="415"/>
    </row>
    <row r="462" spans="13:14">
      <c r="M462" t="s">
        <v>1322</v>
      </c>
      <c r="N462" s="415"/>
    </row>
    <row r="463" spans="13:14">
      <c r="M463" t="s">
        <v>828</v>
      </c>
      <c r="N463" s="415">
        <v>0.94969999999999999</v>
      </c>
    </row>
    <row r="464" spans="13:14">
      <c r="M464" t="s">
        <v>829</v>
      </c>
      <c r="N464" s="415"/>
    </row>
    <row r="465" spans="13:14">
      <c r="M465" t="s">
        <v>830</v>
      </c>
      <c r="N465" s="415"/>
    </row>
    <row r="466" spans="13:14">
      <c r="M466" t="s">
        <v>831</v>
      </c>
      <c r="N466" s="415"/>
    </row>
    <row r="467" spans="13:14">
      <c r="M467" t="s">
        <v>832</v>
      </c>
      <c r="N467" s="415">
        <v>0.94230000000000003</v>
      </c>
    </row>
    <row r="468" spans="13:14">
      <c r="M468" t="s">
        <v>833</v>
      </c>
      <c r="N468" s="415"/>
    </row>
    <row r="469" spans="13:14">
      <c r="M469" t="s">
        <v>834</v>
      </c>
      <c r="N469" s="415"/>
    </row>
    <row r="470" spans="13:14">
      <c r="M470" t="s">
        <v>835</v>
      </c>
      <c r="N470" s="415"/>
    </row>
    <row r="471" spans="13:14">
      <c r="M471" t="s">
        <v>836</v>
      </c>
      <c r="N471" s="415">
        <v>0.93240000000000001</v>
      </c>
    </row>
    <row r="472" spans="13:14">
      <c r="M472" t="s">
        <v>837</v>
      </c>
      <c r="N472" s="415"/>
    </row>
    <row r="473" spans="13:14">
      <c r="M473" t="s">
        <v>838</v>
      </c>
      <c r="N473" s="415">
        <v>0.93459999999999999</v>
      </c>
    </row>
    <row r="474" spans="13:14">
      <c r="M474" t="s">
        <v>839</v>
      </c>
      <c r="N474" s="415">
        <v>0.92090000000000005</v>
      </c>
    </row>
    <row r="475" spans="13:14">
      <c r="M475" t="s">
        <v>840</v>
      </c>
      <c r="N475" s="415"/>
    </row>
    <row r="476" spans="13:14">
      <c r="M476" t="s">
        <v>841</v>
      </c>
      <c r="N476" s="415"/>
    </row>
    <row r="477" spans="13:14">
      <c r="M477" t="s">
        <v>842</v>
      </c>
      <c r="N477" s="415"/>
    </row>
    <row r="478" spans="13:14">
      <c r="M478" t="s">
        <v>843</v>
      </c>
      <c r="N478" s="415"/>
    </row>
    <row r="479" spans="13:14">
      <c r="M479" t="s">
        <v>844</v>
      </c>
      <c r="N479" s="415">
        <v>0.93740000000000001</v>
      </c>
    </row>
    <row r="480" spans="13:14">
      <c r="M480" t="s">
        <v>845</v>
      </c>
      <c r="N480" s="415">
        <v>0.92910000000000004</v>
      </c>
    </row>
    <row r="481" spans="13:14">
      <c r="M481" t="s">
        <v>846</v>
      </c>
      <c r="N481" s="415">
        <v>0.91749999999999998</v>
      </c>
    </row>
    <row r="482" spans="13:14">
      <c r="M482" t="s">
        <v>847</v>
      </c>
      <c r="N482" s="415">
        <v>0.96419999999999995</v>
      </c>
    </row>
    <row r="483" spans="13:14">
      <c r="M483" t="s">
        <v>848</v>
      </c>
      <c r="N483" s="415">
        <v>0.96140000000000003</v>
      </c>
    </row>
    <row r="484" spans="13:14">
      <c r="M484" t="s">
        <v>849</v>
      </c>
      <c r="N484" s="415">
        <v>0.96020000000000005</v>
      </c>
    </row>
    <row r="485" spans="13:14">
      <c r="M485" t="s">
        <v>850</v>
      </c>
      <c r="N485" s="415">
        <v>0.94350000000000001</v>
      </c>
    </row>
    <row r="486" spans="13:14">
      <c r="M486" t="s">
        <v>851</v>
      </c>
      <c r="N486" s="415">
        <v>0.92159999999999997</v>
      </c>
    </row>
    <row r="487" spans="13:14">
      <c r="M487" t="s">
        <v>852</v>
      </c>
      <c r="N487" s="415"/>
    </row>
    <row r="488" spans="13:14">
      <c r="M488" t="s">
        <v>853</v>
      </c>
      <c r="N488" s="415"/>
    </row>
    <row r="489" spans="13:14">
      <c r="M489" t="s">
        <v>854</v>
      </c>
      <c r="N489" s="415"/>
    </row>
    <row r="490" spans="13:14">
      <c r="M490" t="s">
        <v>855</v>
      </c>
      <c r="N490" s="415"/>
    </row>
    <row r="491" spans="13:14">
      <c r="M491" t="s">
        <v>856</v>
      </c>
      <c r="N491" s="415">
        <v>0.95169999999999999</v>
      </c>
    </row>
    <row r="492" spans="13:14">
      <c r="M492" t="s">
        <v>857</v>
      </c>
      <c r="N492" s="415">
        <v>0.93210000000000004</v>
      </c>
    </row>
    <row r="493" spans="13:14">
      <c r="M493" t="s">
        <v>858</v>
      </c>
      <c r="N493" s="415"/>
    </row>
    <row r="494" spans="13:14">
      <c r="M494" t="s">
        <v>859</v>
      </c>
      <c r="N494" s="415"/>
    </row>
    <row r="495" spans="13:14">
      <c r="M495" t="s">
        <v>860</v>
      </c>
      <c r="N495" s="415">
        <v>0.92149999999999999</v>
      </c>
    </row>
    <row r="496" spans="13:14">
      <c r="M496" t="s">
        <v>861</v>
      </c>
      <c r="N496" s="415"/>
    </row>
    <row r="497" spans="13:14">
      <c r="M497" t="s">
        <v>862</v>
      </c>
      <c r="N497" s="415">
        <v>0.94110000000000005</v>
      </c>
    </row>
    <row r="498" spans="13:14">
      <c r="M498" t="s">
        <v>863</v>
      </c>
      <c r="N498" s="415">
        <v>0.93130000000000002</v>
      </c>
    </row>
    <row r="499" spans="13:14">
      <c r="M499" t="s">
        <v>864</v>
      </c>
      <c r="N499" s="415">
        <v>0.93200000000000005</v>
      </c>
    </row>
    <row r="500" spans="13:14">
      <c r="M500" t="s">
        <v>865</v>
      </c>
      <c r="N500" s="415">
        <v>0.93179999999999996</v>
      </c>
    </row>
    <row r="501" spans="13:14">
      <c r="M501" t="s">
        <v>866</v>
      </c>
      <c r="N501" s="415">
        <v>0.93159999999999998</v>
      </c>
    </row>
    <row r="502" spans="13:14">
      <c r="M502" t="s">
        <v>867</v>
      </c>
      <c r="N502" s="415">
        <v>0.94289999999999996</v>
      </c>
    </row>
    <row r="503" spans="13:14">
      <c r="M503" t="s">
        <v>868</v>
      </c>
      <c r="N503" s="415">
        <v>0.94140000000000001</v>
      </c>
    </row>
    <row r="504" spans="13:14">
      <c r="M504" t="s">
        <v>869</v>
      </c>
      <c r="N504" s="415">
        <v>0.94750000000000001</v>
      </c>
    </row>
    <row r="505" spans="13:14">
      <c r="M505" t="s">
        <v>870</v>
      </c>
      <c r="N505" s="415">
        <v>0.9728</v>
      </c>
    </row>
    <row r="506" spans="13:14">
      <c r="M506" t="s">
        <v>871</v>
      </c>
      <c r="N506" s="415">
        <v>0.9405</v>
      </c>
    </row>
    <row r="507" spans="13:14">
      <c r="M507" t="s">
        <v>872</v>
      </c>
      <c r="N507" s="415">
        <v>0.99</v>
      </c>
    </row>
    <row r="508" spans="13:14">
      <c r="M508" t="s">
        <v>873</v>
      </c>
      <c r="N508" s="415">
        <v>0.95830000000000004</v>
      </c>
    </row>
    <row r="509" spans="13:14">
      <c r="M509" t="s">
        <v>874</v>
      </c>
      <c r="N509" s="415">
        <v>0.92610000000000003</v>
      </c>
    </row>
    <row r="510" spans="13:14">
      <c r="M510" t="s">
        <v>875</v>
      </c>
      <c r="N510" s="415">
        <v>0.92610000000000003</v>
      </c>
    </row>
    <row r="511" spans="13:14">
      <c r="M511" t="s">
        <v>876</v>
      </c>
      <c r="N511" s="415">
        <v>0.93789999999999996</v>
      </c>
    </row>
    <row r="512" spans="13:14">
      <c r="M512" t="s">
        <v>877</v>
      </c>
      <c r="N512" s="415">
        <v>0.93110000000000004</v>
      </c>
    </row>
    <row r="513" spans="13:14">
      <c r="M513" t="s">
        <v>878</v>
      </c>
      <c r="N513" s="415">
        <v>0.93720000000000003</v>
      </c>
    </row>
    <row r="514" spans="13:14">
      <c r="M514" t="s">
        <v>879</v>
      </c>
      <c r="N514" s="415">
        <v>0.93100000000000005</v>
      </c>
    </row>
    <row r="515" spans="13:14">
      <c r="M515" t="s">
        <v>880</v>
      </c>
      <c r="N515" s="415">
        <v>0.94269999999999998</v>
      </c>
    </row>
    <row r="516" spans="13:14">
      <c r="M516" t="s">
        <v>881</v>
      </c>
      <c r="N516" s="415">
        <v>0.94089999999999996</v>
      </c>
    </row>
    <row r="517" spans="13:14">
      <c r="M517" t="s">
        <v>882</v>
      </c>
      <c r="N517" s="415">
        <v>0.96619999999999995</v>
      </c>
    </row>
    <row r="518" spans="13:14">
      <c r="M518" t="s">
        <v>883</v>
      </c>
      <c r="N518" s="415">
        <v>0.95430000000000004</v>
      </c>
    </row>
    <row r="519" spans="13:14">
      <c r="M519" t="s">
        <v>884</v>
      </c>
      <c r="N519" s="415">
        <v>0.95040000000000002</v>
      </c>
    </row>
    <row r="520" spans="13:14">
      <c r="M520" t="s">
        <v>885</v>
      </c>
      <c r="N520" s="415">
        <v>0.95589999999999997</v>
      </c>
    </row>
    <row r="521" spans="13:14">
      <c r="M521" t="s">
        <v>886</v>
      </c>
      <c r="N521" s="415">
        <v>0.94320000000000004</v>
      </c>
    </row>
    <row r="522" spans="13:14">
      <c r="M522" t="s">
        <v>887</v>
      </c>
      <c r="N522" s="415">
        <v>0.92400000000000004</v>
      </c>
    </row>
    <row r="523" spans="13:14">
      <c r="M523" t="s">
        <v>888</v>
      </c>
      <c r="N523" s="415">
        <v>0.94489999999999996</v>
      </c>
    </row>
    <row r="524" spans="13:14">
      <c r="M524" t="s">
        <v>889</v>
      </c>
      <c r="N524" s="415">
        <v>0.93459999999999999</v>
      </c>
    </row>
    <row r="525" spans="13:14">
      <c r="M525" t="s">
        <v>1323</v>
      </c>
      <c r="N525" s="415">
        <v>0.99</v>
      </c>
    </row>
    <row r="526" spans="13:14">
      <c r="M526" t="s">
        <v>890</v>
      </c>
      <c r="N526" s="415">
        <v>0.97030000000000005</v>
      </c>
    </row>
    <row r="527" spans="13:14">
      <c r="M527" t="s">
        <v>891</v>
      </c>
      <c r="N527" s="415">
        <v>0.95540000000000003</v>
      </c>
    </row>
    <row r="528" spans="13:14">
      <c r="M528" t="s">
        <v>892</v>
      </c>
      <c r="N528" s="415">
        <v>0.95320000000000005</v>
      </c>
    </row>
    <row r="529" spans="13:14">
      <c r="M529" t="s">
        <v>893</v>
      </c>
      <c r="N529" s="415">
        <v>0.97409999999999997</v>
      </c>
    </row>
    <row r="530" spans="13:14">
      <c r="M530" t="s">
        <v>894</v>
      </c>
      <c r="N530" s="415">
        <v>0.95230000000000004</v>
      </c>
    </row>
    <row r="531" spans="13:14">
      <c r="M531" t="s">
        <v>895</v>
      </c>
      <c r="N531" s="415">
        <v>0.99</v>
      </c>
    </row>
    <row r="532" spans="13:14">
      <c r="M532" t="s">
        <v>896</v>
      </c>
      <c r="N532" s="415">
        <v>0.9526</v>
      </c>
    </row>
    <row r="533" spans="13:14">
      <c r="M533" t="s">
        <v>897</v>
      </c>
      <c r="N533" s="415">
        <v>0.9899</v>
      </c>
    </row>
    <row r="534" spans="13:14">
      <c r="M534" t="s">
        <v>898</v>
      </c>
      <c r="N534" s="415">
        <v>0.94040000000000001</v>
      </c>
    </row>
    <row r="535" spans="13:14">
      <c r="M535" t="s">
        <v>899</v>
      </c>
      <c r="N535" s="415">
        <v>0.98760000000000003</v>
      </c>
    </row>
    <row r="536" spans="13:14">
      <c r="M536" t="s">
        <v>900</v>
      </c>
      <c r="N536" s="415">
        <v>0.95250000000000001</v>
      </c>
    </row>
    <row r="537" spans="13:14">
      <c r="M537" t="s">
        <v>901</v>
      </c>
      <c r="N537" s="415">
        <v>0.9385</v>
      </c>
    </row>
    <row r="538" spans="13:14">
      <c r="M538" t="s">
        <v>902</v>
      </c>
      <c r="N538" s="415">
        <v>0.92859999999999998</v>
      </c>
    </row>
    <row r="539" spans="13:14">
      <c r="M539" t="s">
        <v>903</v>
      </c>
      <c r="N539" s="415">
        <v>0.92630000000000001</v>
      </c>
    </row>
    <row r="540" spans="13:14">
      <c r="M540" t="s">
        <v>904</v>
      </c>
      <c r="N540" s="415">
        <v>0.91869999999999996</v>
      </c>
    </row>
    <row r="541" spans="13:14">
      <c r="M541" t="s">
        <v>905</v>
      </c>
      <c r="N541" s="415">
        <v>0.94540000000000002</v>
      </c>
    </row>
    <row r="542" spans="13:14">
      <c r="M542" t="s">
        <v>906</v>
      </c>
      <c r="N542" s="415">
        <v>0.95660000000000001</v>
      </c>
    </row>
    <row r="543" spans="13:14">
      <c r="M543" t="s">
        <v>907</v>
      </c>
      <c r="N543" s="415">
        <v>0.94869999999999999</v>
      </c>
    </row>
    <row r="544" spans="13:14">
      <c r="M544" t="s">
        <v>908</v>
      </c>
      <c r="N544" s="415">
        <v>0.92749999999999999</v>
      </c>
    </row>
    <row r="545" spans="13:14">
      <c r="M545" t="s">
        <v>909</v>
      </c>
      <c r="N545" s="415">
        <v>0.98399999999999999</v>
      </c>
    </row>
    <row r="546" spans="13:14">
      <c r="M546" t="s">
        <v>910</v>
      </c>
      <c r="N546" s="415">
        <v>0.98</v>
      </c>
    </row>
    <row r="547" spans="13:14">
      <c r="M547" t="s">
        <v>911</v>
      </c>
      <c r="N547" s="415">
        <v>0.96879999999999999</v>
      </c>
    </row>
    <row r="548" spans="13:14">
      <c r="M548" t="s">
        <v>912</v>
      </c>
      <c r="N548" s="415">
        <v>0.96089999999999998</v>
      </c>
    </row>
    <row r="549" spans="13:14">
      <c r="M549" t="s">
        <v>913</v>
      </c>
      <c r="N549" s="415">
        <v>0.94089999999999996</v>
      </c>
    </row>
    <row r="550" spans="13:14">
      <c r="M550" t="s">
        <v>914</v>
      </c>
      <c r="N550" s="415">
        <v>0.94550000000000001</v>
      </c>
    </row>
    <row r="551" spans="13:14">
      <c r="M551" t="s">
        <v>915</v>
      </c>
      <c r="N551" s="415">
        <v>0.93840000000000001</v>
      </c>
    </row>
    <row r="552" spans="13:14">
      <c r="M552" t="s">
        <v>916</v>
      </c>
      <c r="N552" s="415">
        <v>0.94640000000000002</v>
      </c>
    </row>
    <row r="553" spans="13:14">
      <c r="M553" t="s">
        <v>917</v>
      </c>
      <c r="N553" s="415">
        <v>0.91739999999999999</v>
      </c>
    </row>
    <row r="554" spans="13:14">
      <c r="M554" t="s">
        <v>918</v>
      </c>
      <c r="N554" s="415">
        <v>0.96079999999999999</v>
      </c>
    </row>
    <row r="555" spans="13:14">
      <c r="M555" t="s">
        <v>919</v>
      </c>
      <c r="N555" s="415">
        <v>0.95079999999999998</v>
      </c>
    </row>
    <row r="556" spans="13:14">
      <c r="M556" t="s">
        <v>920</v>
      </c>
      <c r="N556" s="415">
        <v>0.95509999999999995</v>
      </c>
    </row>
    <row r="557" spans="13:14">
      <c r="M557" t="s">
        <v>921</v>
      </c>
      <c r="N557" s="415">
        <v>0.94850000000000001</v>
      </c>
    </row>
    <row r="558" spans="13:14">
      <c r="M558" t="s">
        <v>922</v>
      </c>
      <c r="N558" s="415">
        <v>0.93969999999999998</v>
      </c>
    </row>
    <row r="559" spans="13:14">
      <c r="M559" t="s">
        <v>923</v>
      </c>
      <c r="N559" s="415">
        <v>0.94940000000000002</v>
      </c>
    </row>
    <row r="560" spans="13:14">
      <c r="M560" t="s">
        <v>924</v>
      </c>
      <c r="N560" s="415">
        <v>0.9486</v>
      </c>
    </row>
    <row r="561" spans="13:14">
      <c r="M561" t="s">
        <v>925</v>
      </c>
      <c r="N561" s="415">
        <v>0.95009999999999994</v>
      </c>
    </row>
    <row r="562" spans="13:14">
      <c r="M562" t="s">
        <v>926</v>
      </c>
      <c r="N562" s="415">
        <v>0.95079999999999998</v>
      </c>
    </row>
    <row r="563" spans="13:14">
      <c r="M563" t="s">
        <v>927</v>
      </c>
      <c r="N563" s="415">
        <v>0.9506</v>
      </c>
    </row>
    <row r="564" spans="13:14">
      <c r="M564" t="s">
        <v>928</v>
      </c>
      <c r="N564" s="415">
        <v>0.95089999999999997</v>
      </c>
    </row>
    <row r="565" spans="13:14">
      <c r="M565" t="s">
        <v>929</v>
      </c>
      <c r="N565" s="415">
        <v>0.96279999999999999</v>
      </c>
    </row>
    <row r="566" spans="13:14">
      <c r="M566" t="s">
        <v>930</v>
      </c>
      <c r="N566" s="415">
        <v>0.95899999999999996</v>
      </c>
    </row>
    <row r="567" spans="13:14">
      <c r="M567" t="s">
        <v>931</v>
      </c>
      <c r="N567" s="415">
        <v>0.95579999999999998</v>
      </c>
    </row>
    <row r="568" spans="13:14">
      <c r="M568" t="s">
        <v>932</v>
      </c>
      <c r="N568" s="415">
        <v>0.99339999999999995</v>
      </c>
    </row>
    <row r="569" spans="13:14">
      <c r="M569" t="s">
        <v>933</v>
      </c>
      <c r="N569" s="415">
        <v>0.95989999999999998</v>
      </c>
    </row>
    <row r="570" spans="13:14">
      <c r="M570" t="s">
        <v>1324</v>
      </c>
      <c r="N570" s="415">
        <v>0.91569999999999996</v>
      </c>
    </row>
    <row r="571" spans="13:14">
      <c r="M571" t="s">
        <v>1325</v>
      </c>
      <c r="N571" s="415"/>
    </row>
    <row r="572" spans="13:14">
      <c r="M572" t="s">
        <v>1326</v>
      </c>
      <c r="N572" s="415">
        <v>0.98870000000000002</v>
      </c>
    </row>
    <row r="573" spans="13:14">
      <c r="M573" t="s">
        <v>1327</v>
      </c>
      <c r="N573" s="415">
        <v>0.96040000000000003</v>
      </c>
    </row>
    <row r="574" spans="13:14">
      <c r="M574" t="s">
        <v>1328</v>
      </c>
      <c r="N574" s="415"/>
    </row>
    <row r="575" spans="13:14">
      <c r="M575" t="s">
        <v>1329</v>
      </c>
      <c r="N575" s="415">
        <v>0.99970000000000003</v>
      </c>
    </row>
    <row r="576" spans="13:14">
      <c r="M576" t="s">
        <v>1330</v>
      </c>
      <c r="N576" s="415">
        <v>0.92989999999999995</v>
      </c>
    </row>
    <row r="577" spans="13:14">
      <c r="M577" t="s">
        <v>1331</v>
      </c>
      <c r="N577" s="415"/>
    </row>
    <row r="578" spans="13:14">
      <c r="M578" t="s">
        <v>1332</v>
      </c>
      <c r="N578" s="415">
        <v>0.99</v>
      </c>
    </row>
  </sheetData>
  <sheetProtection algorithmName="SHA-512" hashValue="HJWDQ26v/OAlnbUyK+PSXfkwi2AwtnYWCfSQn39kW14tObp0cSiha9qPyr5U0twOzlI2PxvFd4sq8HncYQhnAw==" saltValue="K/FHZ8R17PJckg8EdImMpw==" spinCount="100000" sheet="1" objects="1" scenarios="1"/>
  <autoFilter ref="M3:N578"/>
  <mergeCells count="10">
    <mergeCell ref="P1:P2"/>
    <mergeCell ref="Q1:Q2"/>
    <mergeCell ref="R1:T1"/>
    <mergeCell ref="U1:W1"/>
    <mergeCell ref="X1:Z1"/>
    <mergeCell ref="A1:A2"/>
    <mergeCell ref="B1:B2"/>
    <mergeCell ref="C1:E1"/>
    <mergeCell ref="F1:H1"/>
    <mergeCell ref="I1:K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pageSetUpPr fitToPage="1"/>
  </sheetPr>
  <dimension ref="A1:AJ34"/>
  <sheetViews>
    <sheetView topLeftCell="A7" zoomScaleNormal="100" zoomScaleSheetLayoutView="85" workbookViewId="0">
      <selection activeCell="J31" sqref="J31"/>
    </sheetView>
  </sheetViews>
  <sheetFormatPr defaultColWidth="8.85546875" defaultRowHeight="15"/>
  <cols>
    <col min="1" max="1" width="6.42578125" customWidth="1"/>
    <col min="2" max="2" width="30.7109375" customWidth="1"/>
    <col min="3" max="4" width="10" customWidth="1"/>
    <col min="5" max="5" width="11.140625" customWidth="1"/>
    <col min="6" max="6" width="15.28515625" hidden="1" customWidth="1"/>
    <col min="7" max="7" width="12.42578125" hidden="1" customWidth="1"/>
    <col min="8" max="8" width="26.85546875" style="144" hidden="1" customWidth="1"/>
    <col min="9" max="9" width="18.85546875" style="144" customWidth="1"/>
    <col min="10" max="10" width="13.85546875" style="221" customWidth="1"/>
    <col min="11" max="11" width="24.85546875" style="221" customWidth="1"/>
    <col min="12" max="12" width="13.85546875" style="221" customWidth="1"/>
    <col min="13" max="14" width="15.28515625" style="425" bestFit="1" customWidth="1"/>
    <col min="15" max="15" width="16.140625" style="425" customWidth="1"/>
    <col min="16" max="26" width="15.28515625" style="425" bestFit="1" customWidth="1"/>
    <col min="27" max="27" width="16.42578125" style="425" customWidth="1"/>
    <col min="28" max="28" width="17.42578125" style="425" customWidth="1"/>
    <col min="29" max="36" width="9.140625" style="430"/>
  </cols>
  <sheetData>
    <row r="1" spans="1:28">
      <c r="A1" s="730" t="s">
        <v>435</v>
      </c>
      <c r="B1" s="730"/>
      <c r="C1" s="730"/>
      <c r="D1" s="730"/>
      <c r="E1" s="267"/>
      <c r="F1" s="730" t="s">
        <v>436</v>
      </c>
      <c r="G1" s="730"/>
      <c r="H1" s="730"/>
      <c r="I1" s="424"/>
      <c r="J1" s="729"/>
      <c r="K1" s="729"/>
      <c r="L1" s="729"/>
      <c r="M1" s="729"/>
      <c r="N1" s="729"/>
      <c r="O1" s="729"/>
      <c r="P1" s="729"/>
    </row>
    <row r="2" spans="1:28">
      <c r="A2" s="731">
        <f>'Template tram'!B4</f>
        <v>0</v>
      </c>
      <c r="B2" s="731"/>
      <c r="C2" s="731"/>
      <c r="D2" s="731"/>
      <c r="E2" s="268"/>
      <c r="F2" s="730" t="s">
        <v>437</v>
      </c>
      <c r="G2" s="730"/>
      <c r="H2" s="730"/>
      <c r="I2" s="424"/>
      <c r="J2" s="729"/>
      <c r="K2" s="729"/>
      <c r="L2" s="729"/>
      <c r="M2" s="729"/>
      <c r="N2" s="729"/>
      <c r="O2" s="729"/>
      <c r="P2" s="729"/>
    </row>
    <row r="3" spans="1:28">
      <c r="A3" s="269"/>
      <c r="B3" s="269"/>
      <c r="C3" s="269"/>
      <c r="D3" s="269"/>
      <c r="E3" s="269"/>
      <c r="F3" s="269"/>
      <c r="G3" s="269"/>
      <c r="H3" s="270"/>
      <c r="I3" s="270"/>
    </row>
    <row r="4" spans="1:28">
      <c r="A4" s="269"/>
      <c r="B4" s="269"/>
      <c r="C4" s="269"/>
      <c r="D4" s="269"/>
      <c r="E4" s="269"/>
      <c r="F4" s="269"/>
      <c r="G4" s="269"/>
      <c r="H4" s="270"/>
      <c r="I4" s="270"/>
    </row>
    <row r="5" spans="1:28" ht="18.75">
      <c r="A5" s="722" t="s">
        <v>1395</v>
      </c>
      <c r="B5" s="722"/>
      <c r="C5" s="722"/>
      <c r="D5" s="722"/>
      <c r="E5" s="722"/>
      <c r="F5" s="722"/>
      <c r="G5" s="722"/>
      <c r="H5" s="722"/>
      <c r="I5" s="722"/>
      <c r="J5" s="722"/>
      <c r="K5" s="722"/>
    </row>
    <row r="6" spans="1:28" ht="18.75">
      <c r="A6" s="723" t="s">
        <v>1396</v>
      </c>
      <c r="B6" s="723"/>
      <c r="C6" s="723"/>
      <c r="D6" s="723"/>
      <c r="E6" s="723"/>
      <c r="F6" s="723"/>
      <c r="G6" s="723"/>
      <c r="H6" s="723"/>
      <c r="I6" s="723"/>
      <c r="J6" s="723"/>
      <c r="K6" s="723"/>
    </row>
    <row r="7" spans="1:28" ht="16.5">
      <c r="A7" s="724" t="str">
        <f>PROPER(HLOOKUP('Template tram'!C13,Capex_VCC!D3:BO219,217,0))&amp;", ngày …. tháng …. năm 2021"</f>
        <v>Bình Thuận, ngày …. tháng …. năm 2021</v>
      </c>
      <c r="B7" s="724"/>
      <c r="C7" s="724"/>
      <c r="D7" s="724"/>
      <c r="E7" s="724"/>
      <c r="F7" s="724"/>
      <c r="G7" s="724"/>
      <c r="H7" s="724"/>
      <c r="I7" s="724"/>
      <c r="J7" s="724"/>
      <c r="K7" s="724"/>
    </row>
    <row r="8" spans="1:28" ht="18.75">
      <c r="A8" s="271"/>
      <c r="B8" s="269"/>
      <c r="C8" s="269"/>
      <c r="D8" s="269"/>
      <c r="E8" s="269"/>
      <c r="F8" s="269"/>
      <c r="G8" s="269"/>
      <c r="H8" s="270"/>
      <c r="I8" s="270"/>
    </row>
    <row r="9" spans="1:28" ht="18.75">
      <c r="A9" s="725" t="str">
        <f>"Kính gửi:  Chi nhánh Viettel "&amp; PROPER(HLOOKUP('Template tram'!C13,Capex_VCC!D3:BO219,217,0))</f>
        <v>Kính gửi:  Chi nhánh Viettel Bình Thuận</v>
      </c>
      <c r="B9" s="725"/>
      <c r="C9" s="725"/>
      <c r="D9" s="725"/>
      <c r="E9" s="725"/>
      <c r="F9" s="725"/>
      <c r="G9" s="725"/>
      <c r="H9" s="725"/>
      <c r="I9" s="725"/>
      <c r="J9" s="725"/>
      <c r="K9" s="725"/>
    </row>
    <row r="11" spans="1:28">
      <c r="A11" s="728" t="s">
        <v>371</v>
      </c>
      <c r="B11" s="726" t="s">
        <v>499</v>
      </c>
      <c r="C11" s="726" t="s">
        <v>500</v>
      </c>
      <c r="D11" s="726" t="s">
        <v>501</v>
      </c>
      <c r="E11" s="726" t="s">
        <v>382</v>
      </c>
      <c r="F11" s="726" t="s">
        <v>374</v>
      </c>
      <c r="G11" s="726" t="s">
        <v>502</v>
      </c>
      <c r="H11" s="727" t="s">
        <v>355</v>
      </c>
      <c r="I11" s="726" t="s">
        <v>1642</v>
      </c>
      <c r="J11" s="726" t="s">
        <v>1643</v>
      </c>
      <c r="K11" s="727" t="s">
        <v>355</v>
      </c>
      <c r="L11" s="530"/>
    </row>
    <row r="12" spans="1:28">
      <c r="A12" s="728"/>
      <c r="B12" s="726"/>
      <c r="C12" s="726"/>
      <c r="D12" s="726"/>
      <c r="E12" s="726"/>
      <c r="F12" s="726"/>
      <c r="G12" s="726"/>
      <c r="H12" s="727"/>
      <c r="I12" s="726"/>
      <c r="J12" s="726"/>
      <c r="K12" s="727"/>
      <c r="L12" s="530"/>
      <c r="M12" s="426">
        <f>+N13/7</f>
        <v>21821621.212596435</v>
      </c>
      <c r="N12" s="425">
        <v>1</v>
      </c>
      <c r="O12" s="425">
        <v>2</v>
      </c>
      <c r="P12" s="425">
        <v>3</v>
      </c>
      <c r="Q12" s="425">
        <v>4</v>
      </c>
      <c r="R12" s="425">
        <v>5</v>
      </c>
      <c r="S12" s="425">
        <v>6</v>
      </c>
      <c r="T12" s="425">
        <v>7</v>
      </c>
      <c r="U12" s="425">
        <v>8</v>
      </c>
      <c r="V12" s="425">
        <v>9</v>
      </c>
      <c r="W12" s="425">
        <v>10</v>
      </c>
      <c r="X12" s="425">
        <f>IF($E$14=15,11,0)</f>
        <v>0</v>
      </c>
      <c r="Y12" s="425">
        <f>IF($E$14=15,12,0)</f>
        <v>0</v>
      </c>
      <c r="Z12" s="425">
        <f>IF($E$14=15,13,0)</f>
        <v>0</v>
      </c>
      <c r="AA12" s="425">
        <f>IF($E$14=15,14,0)</f>
        <v>0</v>
      </c>
      <c r="AB12" s="425">
        <f>IF($E$14=15,15,0)</f>
        <v>0</v>
      </c>
    </row>
    <row r="13" spans="1:28">
      <c r="A13" s="636" t="s">
        <v>0</v>
      </c>
      <c r="B13" s="637" t="s">
        <v>503</v>
      </c>
      <c r="C13" s="638" t="s">
        <v>504</v>
      </c>
      <c r="D13" s="639" t="s">
        <v>386</v>
      </c>
      <c r="E13" s="639"/>
      <c r="F13" s="640">
        <f>(F14+F15)</f>
        <v>198939247.39575744</v>
      </c>
      <c r="G13" s="640">
        <f>G14+G15</f>
        <v>1657827.0616313119</v>
      </c>
      <c r="H13" s="641"/>
      <c r="I13" s="640">
        <f>(I14+I15)</f>
        <v>218216212.12596434</v>
      </c>
      <c r="J13" s="640">
        <f>J14+J15</f>
        <v>1818468.4343830363</v>
      </c>
      <c r="K13" s="641"/>
      <c r="L13" s="538">
        <f>+F13/I13</f>
        <v>0.91166117062338448</v>
      </c>
      <c r="N13" s="427">
        <f>I13*0.7</f>
        <v>152751348.48817503</v>
      </c>
      <c r="O13" s="426">
        <f t="shared" ref="O13:U13" si="0">N13-$M$12</f>
        <v>130929727.2755786</v>
      </c>
      <c r="P13" s="426">
        <f t="shared" si="0"/>
        <v>109108106.06298217</v>
      </c>
      <c r="Q13" s="426">
        <f t="shared" si="0"/>
        <v>87286484.85038574</v>
      </c>
      <c r="R13" s="426">
        <f t="shared" si="0"/>
        <v>65464863.637789309</v>
      </c>
      <c r="S13" s="426">
        <f t="shared" si="0"/>
        <v>43643242.425192878</v>
      </c>
      <c r="T13" s="426">
        <f t="shared" si="0"/>
        <v>21821621.212596443</v>
      </c>
      <c r="U13" s="426">
        <f t="shared" si="0"/>
        <v>0</v>
      </c>
      <c r="V13" s="426"/>
      <c r="W13" s="426"/>
      <c r="X13" s="426"/>
      <c r="Y13" s="426"/>
      <c r="Z13" s="426"/>
      <c r="AA13" s="426"/>
      <c r="AB13" s="426"/>
    </row>
    <row r="14" spans="1:28">
      <c r="A14" s="636" t="s">
        <v>505</v>
      </c>
      <c r="B14" s="637" t="s">
        <v>506</v>
      </c>
      <c r="C14" s="638" t="s">
        <v>262</v>
      </c>
      <c r="D14" s="639"/>
      <c r="E14" s="639">
        <f>'Template tram'!E24</f>
        <v>10</v>
      </c>
      <c r="F14" s="640">
        <f>+'Template tram'!L43</f>
        <v>198939247.39575744</v>
      </c>
      <c r="G14" s="642">
        <f>F14/(E14*12)</f>
        <v>1657827.0616313119</v>
      </c>
      <c r="H14" s="641"/>
      <c r="I14" s="640">
        <f>+SUM('Đầu vào'!L29:L33)</f>
        <v>218216212.12596434</v>
      </c>
      <c r="J14" s="642">
        <f>+I14/E14/12</f>
        <v>1818468.4343830363</v>
      </c>
      <c r="K14" s="641"/>
      <c r="L14" s="531"/>
      <c r="M14" s="426">
        <f>SUM(N14:AB14)</f>
        <v>61100539.39527002</v>
      </c>
      <c r="N14" s="426">
        <f>N13*0.1</f>
        <v>15275134.848817505</v>
      </c>
      <c r="O14" s="426">
        <f t="shared" ref="O14:U14" si="1">O13*0.1</f>
        <v>13092972.72755786</v>
      </c>
      <c r="P14" s="426">
        <f t="shared" si="1"/>
        <v>10910810.606298218</v>
      </c>
      <c r="Q14" s="426">
        <f t="shared" si="1"/>
        <v>8728648.4850385748</v>
      </c>
      <c r="R14" s="426">
        <f t="shared" si="1"/>
        <v>6546486.3637789311</v>
      </c>
      <c r="S14" s="426">
        <f t="shared" si="1"/>
        <v>4364324.2425192883</v>
      </c>
      <c r="T14" s="426">
        <f t="shared" si="1"/>
        <v>2182162.1212596442</v>
      </c>
      <c r="U14" s="426">
        <f t="shared" si="1"/>
        <v>0</v>
      </c>
      <c r="V14" s="426"/>
      <c r="W14" s="426"/>
      <c r="X14" s="426"/>
      <c r="Y14" s="426"/>
      <c r="Z14" s="426"/>
      <c r="AA14" s="426"/>
      <c r="AB14" s="426"/>
    </row>
    <row r="15" spans="1:28">
      <c r="A15" s="636" t="s">
        <v>507</v>
      </c>
      <c r="B15" s="637" t="s">
        <v>508</v>
      </c>
      <c r="C15" s="638" t="s">
        <v>1439</v>
      </c>
      <c r="D15" s="638"/>
      <c r="E15" s="639"/>
      <c r="F15" s="640"/>
      <c r="G15" s="643"/>
      <c r="H15" s="641"/>
      <c r="I15" s="640"/>
      <c r="J15" s="643"/>
      <c r="K15" s="641"/>
      <c r="L15" s="532"/>
      <c r="M15" s="426">
        <f>M14/7</f>
        <v>8728648.4850385748</v>
      </c>
    </row>
    <row r="16" spans="1:28">
      <c r="A16" s="636" t="s">
        <v>25</v>
      </c>
      <c r="B16" s="637" t="s">
        <v>509</v>
      </c>
      <c r="C16" s="638" t="s">
        <v>510</v>
      </c>
      <c r="D16" s="639" t="s">
        <v>386</v>
      </c>
      <c r="E16" s="639"/>
      <c r="F16" s="644">
        <f>F17+F18</f>
        <v>497348.11848939362</v>
      </c>
      <c r="G16" s="644">
        <f>G17+G18</f>
        <v>41445.676540782799</v>
      </c>
      <c r="H16" s="641"/>
      <c r="I16" s="644">
        <f>I17+I18</f>
        <v>545540.53031491081</v>
      </c>
      <c r="J16" s="644">
        <f>J17+J18</f>
        <v>45461.710859575898</v>
      </c>
      <c r="K16" s="641"/>
      <c r="L16" s="337"/>
    </row>
    <row r="17" spans="1:36" ht="31.5" customHeight="1">
      <c r="A17" s="645">
        <v>1</v>
      </c>
      <c r="B17" s="646" t="s">
        <v>511</v>
      </c>
      <c r="C17" s="647">
        <v>2.5000000000000001E-3</v>
      </c>
      <c r="D17" s="639" t="s">
        <v>512</v>
      </c>
      <c r="E17" s="639"/>
      <c r="F17" s="535">
        <f>(F14*0.25)/100</f>
        <v>497348.11848939362</v>
      </c>
      <c r="G17" s="648">
        <f>F17/12</f>
        <v>41445.676540782799</v>
      </c>
      <c r="H17" s="641" t="s">
        <v>513</v>
      </c>
      <c r="I17" s="535">
        <f>(I14*0.25)/100</f>
        <v>545540.53031491081</v>
      </c>
      <c r="J17" s="648">
        <f>I17/12</f>
        <v>45461.710859575898</v>
      </c>
      <c r="K17" s="641" t="s">
        <v>513</v>
      </c>
      <c r="L17" s="533"/>
    </row>
    <row r="18" spans="1:36" ht="31.5" customHeight="1">
      <c r="A18" s="645">
        <v>2</v>
      </c>
      <c r="B18" s="646" t="s">
        <v>514</v>
      </c>
      <c r="C18" s="647">
        <v>2.5000000000000001E-3</v>
      </c>
      <c r="D18" s="639" t="s">
        <v>512</v>
      </c>
      <c r="E18" s="639"/>
      <c r="F18" s="535">
        <f>(F15*0.25)/100</f>
        <v>0</v>
      </c>
      <c r="G18" s="648">
        <f>F18/12</f>
        <v>0</v>
      </c>
      <c r="H18" s="641" t="s">
        <v>513</v>
      </c>
      <c r="I18" s="535">
        <f>+F18</f>
        <v>0</v>
      </c>
      <c r="J18" s="648">
        <f>I18/12</f>
        <v>0</v>
      </c>
      <c r="K18" s="641" t="s">
        <v>513</v>
      </c>
      <c r="L18" s="533"/>
    </row>
    <row r="19" spans="1:36">
      <c r="A19" s="636" t="s">
        <v>26</v>
      </c>
      <c r="B19" s="637" t="s">
        <v>515</v>
      </c>
      <c r="C19" s="638" t="s">
        <v>516</v>
      </c>
      <c r="D19" s="645"/>
      <c r="E19" s="639"/>
      <c r="F19" s="644">
        <f>F20+F21</f>
        <v>12000000</v>
      </c>
      <c r="G19" s="644">
        <f>G20+G21</f>
        <v>1601635.44</v>
      </c>
      <c r="H19" s="641"/>
      <c r="I19" s="644">
        <f>I20+I21</f>
        <v>12000000</v>
      </c>
      <c r="J19" s="644">
        <f>J20+J21</f>
        <v>1189120.7171758357</v>
      </c>
      <c r="K19" s="641"/>
      <c r="L19" s="337"/>
    </row>
    <row r="20" spans="1:36">
      <c r="A20" s="645">
        <v>1</v>
      </c>
      <c r="B20" s="649" t="s">
        <v>517</v>
      </c>
      <c r="C20" s="645"/>
      <c r="D20" s="639" t="s">
        <v>512</v>
      </c>
      <c r="E20" s="639"/>
      <c r="F20" s="535">
        <f>+'Template tram'!I84*12</f>
        <v>12000000</v>
      </c>
      <c r="G20" s="535">
        <f>+F20/12</f>
        <v>1000000</v>
      </c>
      <c r="H20" s="641"/>
      <c r="I20" s="535">
        <f>+F20</f>
        <v>12000000</v>
      </c>
      <c r="J20" s="535">
        <f>+I20/12</f>
        <v>1000000</v>
      </c>
      <c r="K20" s="641"/>
      <c r="L20" s="534"/>
    </row>
    <row r="21" spans="1:36" ht="68.25" customHeight="1">
      <c r="A21" s="645">
        <v>2</v>
      </c>
      <c r="B21" s="649" t="s">
        <v>1248</v>
      </c>
      <c r="C21" s="645"/>
      <c r="D21" s="639" t="s">
        <v>518</v>
      </c>
      <c r="E21" s="639"/>
      <c r="F21" s="535"/>
      <c r="G21" s="535">
        <v>601635.43999999994</v>
      </c>
      <c r="H21" s="641" t="s">
        <v>1448</v>
      </c>
      <c r="I21" s="535"/>
      <c r="J21" s="535">
        <f>+IF(VLOOKUP('Đầu vào'!$D$30,'Capex VTNet 100521'!B3:G50,6,0)=1,601635,I14*1.04%/12)</f>
        <v>189120.71717583574</v>
      </c>
      <c r="K21" s="540" t="s">
        <v>1688</v>
      </c>
      <c r="L21" s="534"/>
      <c r="M21" s="534"/>
    </row>
    <row r="22" spans="1:36">
      <c r="A22" s="636" t="s">
        <v>110</v>
      </c>
      <c r="B22" s="637" t="s">
        <v>1552</v>
      </c>
      <c r="C22" s="638" t="s">
        <v>519</v>
      </c>
      <c r="D22" s="639"/>
      <c r="E22" s="639"/>
      <c r="F22" s="644">
        <f>(F13)*0.1</f>
        <v>19893924.739575744</v>
      </c>
      <c r="G22" s="644">
        <f>+F22/(E14*12)</f>
        <v>165782.7061631312</v>
      </c>
      <c r="H22" s="641"/>
      <c r="I22" s="644"/>
      <c r="J22" s="644">
        <f>+J23+J24+J25</f>
        <v>0</v>
      </c>
      <c r="K22" s="641"/>
      <c r="L22" s="534"/>
      <c r="M22" s="534"/>
    </row>
    <row r="23" spans="1:36" s="549" customFormat="1">
      <c r="A23" s="543">
        <v>1</v>
      </c>
      <c r="B23" s="542" t="s">
        <v>1689</v>
      </c>
      <c r="C23" s="663">
        <v>2.7629999999999998E-2</v>
      </c>
      <c r="D23" s="544"/>
      <c r="E23" s="662">
        <v>0</v>
      </c>
      <c r="F23" s="547"/>
      <c r="G23" s="547"/>
      <c r="H23" s="650"/>
      <c r="I23" s="547">
        <f>E23*$I$13</f>
        <v>0</v>
      </c>
      <c r="J23" s="547">
        <f>I23/(12*$E$14)</f>
        <v>0</v>
      </c>
      <c r="K23" s="650" t="s">
        <v>1747</v>
      </c>
      <c r="L23" s="548"/>
      <c r="M23" s="545"/>
      <c r="N23" s="545"/>
      <c r="O23" s="545"/>
      <c r="P23" s="545"/>
      <c r="Q23" s="545"/>
      <c r="R23" s="545"/>
      <c r="S23" s="545"/>
      <c r="T23" s="545"/>
      <c r="U23" s="545"/>
      <c r="V23" s="545"/>
      <c r="W23" s="545"/>
      <c r="X23" s="545"/>
      <c r="Y23" s="545"/>
      <c r="Z23" s="545"/>
      <c r="AA23" s="545"/>
      <c r="AB23" s="545"/>
      <c r="AC23" s="546"/>
      <c r="AD23" s="546"/>
      <c r="AE23" s="546"/>
      <c r="AF23" s="546"/>
      <c r="AG23" s="546"/>
      <c r="AH23" s="546"/>
      <c r="AI23" s="546"/>
      <c r="AJ23" s="546"/>
    </row>
    <row r="24" spans="1:36" s="549" customFormat="1">
      <c r="A24" s="541">
        <v>2</v>
      </c>
      <c r="B24" s="542" t="s">
        <v>495</v>
      </c>
      <c r="C24" s="664">
        <v>4.2000000000000003E-2</v>
      </c>
      <c r="D24" s="544"/>
      <c r="E24" s="662">
        <v>0</v>
      </c>
      <c r="F24" s="547"/>
      <c r="G24" s="547"/>
      <c r="H24" s="650"/>
      <c r="I24" s="547">
        <f>E24*$I$13</f>
        <v>0</v>
      </c>
      <c r="J24" s="547">
        <f>I24/(12*$E$14)</f>
        <v>0</v>
      </c>
      <c r="K24" s="650" t="s">
        <v>1747</v>
      </c>
      <c r="L24" s="548"/>
      <c r="M24" s="545"/>
      <c r="N24" s="545"/>
      <c r="O24" s="545"/>
      <c r="P24" s="545"/>
      <c r="Q24" s="545"/>
      <c r="R24" s="545"/>
      <c r="S24" s="545"/>
      <c r="T24" s="545"/>
      <c r="U24" s="545"/>
      <c r="V24" s="545"/>
      <c r="W24" s="545"/>
      <c r="X24" s="545"/>
      <c r="Y24" s="545"/>
      <c r="Z24" s="545"/>
      <c r="AA24" s="545"/>
      <c r="AB24" s="545"/>
      <c r="AC24" s="546"/>
      <c r="AD24" s="546"/>
      <c r="AE24" s="546"/>
      <c r="AF24" s="546"/>
      <c r="AG24" s="546"/>
      <c r="AH24" s="546"/>
      <c r="AI24" s="546"/>
      <c r="AJ24" s="546"/>
    </row>
    <row r="25" spans="1:36" s="549" customFormat="1" ht="25.5">
      <c r="A25" s="541">
        <v>3</v>
      </c>
      <c r="B25" s="542" t="s">
        <v>1690</v>
      </c>
      <c r="C25" s="664">
        <v>2.5000000000000001E-2</v>
      </c>
      <c r="D25" s="544"/>
      <c r="E25" s="664">
        <v>0</v>
      </c>
      <c r="F25" s="547"/>
      <c r="G25" s="547"/>
      <c r="H25" s="650"/>
      <c r="I25" s="547">
        <f>E25*$I$13</f>
        <v>0</v>
      </c>
      <c r="J25" s="547">
        <f>I25/(12*$E$14)</f>
        <v>0</v>
      </c>
      <c r="K25" s="665" t="s">
        <v>1748</v>
      </c>
      <c r="L25" s="548"/>
      <c r="M25" s="545"/>
      <c r="N25" s="545"/>
      <c r="O25" s="545"/>
      <c r="P25" s="545"/>
      <c r="Q25" s="545"/>
      <c r="R25" s="545"/>
      <c r="S25" s="545"/>
      <c r="T25" s="545"/>
      <c r="U25" s="545"/>
      <c r="V25" s="545"/>
      <c r="W25" s="545"/>
      <c r="X25" s="545"/>
      <c r="Y25" s="545"/>
      <c r="Z25" s="545"/>
      <c r="AA25" s="545"/>
      <c r="AB25" s="545"/>
      <c r="AC25" s="546"/>
      <c r="AD25" s="546"/>
      <c r="AE25" s="546"/>
      <c r="AF25" s="546"/>
      <c r="AG25" s="546"/>
      <c r="AH25" s="546"/>
      <c r="AI25" s="546"/>
      <c r="AJ25" s="546"/>
    </row>
    <row r="26" spans="1:36" s="216" customFormat="1">
      <c r="A26" s="636" t="s">
        <v>112</v>
      </c>
      <c r="B26" s="637" t="s">
        <v>520</v>
      </c>
      <c r="C26" s="636" t="s">
        <v>1436</v>
      </c>
      <c r="D26" s="638" t="s">
        <v>386</v>
      </c>
      <c r="E26" s="651">
        <v>0.05</v>
      </c>
      <c r="F26" s="652"/>
      <c r="G26" s="644">
        <f>(G16+G19+G22+G15+G14)*0.05</f>
        <v>173334.54421676131</v>
      </c>
      <c r="H26" s="653"/>
      <c r="I26" s="652"/>
      <c r="J26" s="644">
        <f>(J16+J19+J22+J15+J14)*0.05</f>
        <v>152652.5431209224</v>
      </c>
      <c r="K26" s="653"/>
      <c r="L26" s="337"/>
      <c r="M26" s="428"/>
      <c r="N26" s="428"/>
      <c r="O26" s="428"/>
      <c r="P26" s="428"/>
      <c r="Q26" s="428"/>
      <c r="R26" s="428"/>
      <c r="S26" s="428"/>
      <c r="T26" s="428"/>
      <c r="U26" s="428"/>
      <c r="V26" s="428"/>
      <c r="W26" s="428"/>
      <c r="X26" s="428"/>
      <c r="Y26" s="428"/>
      <c r="Z26" s="428"/>
      <c r="AA26" s="428"/>
      <c r="AB26" s="428"/>
      <c r="AC26" s="431"/>
      <c r="AD26" s="431"/>
      <c r="AE26" s="431"/>
      <c r="AF26" s="431"/>
      <c r="AG26" s="431"/>
      <c r="AH26" s="431"/>
      <c r="AI26" s="431"/>
      <c r="AJ26" s="431"/>
    </row>
    <row r="27" spans="1:36" s="216" customFormat="1">
      <c r="A27" s="636" t="s">
        <v>465</v>
      </c>
      <c r="B27" s="637" t="s">
        <v>521</v>
      </c>
      <c r="C27" s="636" t="s">
        <v>1437</v>
      </c>
      <c r="D27" s="636" t="s">
        <v>522</v>
      </c>
      <c r="E27" s="638"/>
      <c r="F27" s="654">
        <f>M15</f>
        <v>8728648.4850385748</v>
      </c>
      <c r="G27" s="654">
        <f>F27/12</f>
        <v>727387.3737532146</v>
      </c>
      <c r="H27" s="655"/>
      <c r="I27" s="654">
        <f>+M15</f>
        <v>8728648.4850385748</v>
      </c>
      <c r="J27" s="654">
        <f>I27/12</f>
        <v>727387.3737532146</v>
      </c>
      <c r="K27" s="655"/>
      <c r="L27" s="536"/>
      <c r="M27" s="428"/>
      <c r="N27" s="428"/>
      <c r="O27" s="428"/>
      <c r="P27" s="428"/>
      <c r="Q27" s="428"/>
      <c r="R27" s="428"/>
      <c r="S27" s="428"/>
      <c r="T27" s="428"/>
      <c r="U27" s="428"/>
      <c r="V27" s="428"/>
      <c r="W27" s="428"/>
      <c r="X27" s="428"/>
      <c r="Y27" s="428"/>
      <c r="Z27" s="428"/>
      <c r="AA27" s="428"/>
      <c r="AB27" s="428"/>
      <c r="AC27" s="431"/>
      <c r="AD27" s="431"/>
      <c r="AE27" s="431"/>
      <c r="AF27" s="431"/>
      <c r="AG27" s="431"/>
      <c r="AH27" s="431"/>
      <c r="AI27" s="431"/>
      <c r="AJ27" s="431"/>
    </row>
    <row r="28" spans="1:36" s="216" customFormat="1">
      <c r="A28" s="636" t="s">
        <v>468</v>
      </c>
      <c r="B28" s="637" t="s">
        <v>401</v>
      </c>
      <c r="C28" s="636" t="s">
        <v>1438</v>
      </c>
      <c r="D28" s="656"/>
      <c r="E28" s="651">
        <v>0.1</v>
      </c>
      <c r="F28" s="638"/>
      <c r="G28" s="644">
        <f>(G27+G22+G26+G19+G16+G13)*0.1</f>
        <v>436741.28023052012</v>
      </c>
      <c r="H28" s="653"/>
      <c r="I28" s="638"/>
      <c r="J28" s="644">
        <f>(J27+J22+J26+J19+J16+J13)*0.1</f>
        <v>393309.07792925858</v>
      </c>
      <c r="K28" s="653"/>
      <c r="L28" s="337"/>
      <c r="M28" s="428"/>
      <c r="N28" s="428"/>
      <c r="O28" s="428"/>
      <c r="P28" s="428"/>
      <c r="Q28" s="428"/>
      <c r="R28" s="428"/>
      <c r="S28" s="428"/>
      <c r="T28" s="428"/>
      <c r="U28" s="428"/>
      <c r="V28" s="428"/>
      <c r="W28" s="428"/>
      <c r="X28" s="428"/>
      <c r="Y28" s="428"/>
      <c r="Z28" s="428"/>
      <c r="AA28" s="428"/>
      <c r="AB28" s="428"/>
      <c r="AC28" s="431"/>
      <c r="AD28" s="431"/>
      <c r="AE28" s="431"/>
      <c r="AF28" s="431"/>
      <c r="AG28" s="431"/>
      <c r="AH28" s="431"/>
      <c r="AI28" s="431"/>
      <c r="AJ28" s="431"/>
    </row>
    <row r="29" spans="1:36">
      <c r="A29" s="636" t="s">
        <v>473</v>
      </c>
      <c r="B29" s="649" t="s">
        <v>1549</v>
      </c>
      <c r="C29" s="645" t="s">
        <v>523</v>
      </c>
      <c r="D29" s="639" t="s">
        <v>386</v>
      </c>
      <c r="E29" s="657"/>
      <c r="F29" s="639"/>
      <c r="G29" s="644" t="e">
        <f>+G31-#REF!</f>
        <v>#REF!</v>
      </c>
      <c r="H29" s="641" t="s">
        <v>1456</v>
      </c>
      <c r="I29" s="639"/>
      <c r="J29" s="644">
        <f>+J13+J16+J19+J22+J26+J27+J28</f>
        <v>4326399.8572218437</v>
      </c>
      <c r="K29" s="641" t="s">
        <v>1456</v>
      </c>
      <c r="L29" s="337"/>
      <c r="M29" s="426"/>
    </row>
    <row r="30" spans="1:36">
      <c r="A30" s="636" t="s">
        <v>473</v>
      </c>
      <c r="B30" s="649" t="s">
        <v>1550</v>
      </c>
      <c r="C30" s="645" t="s">
        <v>523</v>
      </c>
      <c r="D30" s="639" t="s">
        <v>386</v>
      </c>
      <c r="E30" s="657"/>
      <c r="F30" s="639"/>
      <c r="G30" s="644">
        <f>+IF('Template tram'!$E$22="Có nguồn",2837914,0)</f>
        <v>0</v>
      </c>
      <c r="H30" s="641" t="s">
        <v>1456</v>
      </c>
      <c r="I30" s="639"/>
      <c r="J30" s="644">
        <f>+IF(AND('Template tram'!$E$22="Có nguồn",'Template tram'!C13="HCM")=TRUE,3811216,IF('Template tram'!$E$22="Có nguồn",2837914,0))</f>
        <v>0</v>
      </c>
      <c r="K30" s="641" t="s">
        <v>1456</v>
      </c>
      <c r="L30" s="337"/>
      <c r="M30" s="426"/>
    </row>
    <row r="31" spans="1:36" s="339" customFormat="1" ht="18.75" customHeight="1">
      <c r="A31" s="658" t="s">
        <v>473</v>
      </c>
      <c r="B31" s="659" t="s">
        <v>1551</v>
      </c>
      <c r="C31" s="658" t="s">
        <v>523</v>
      </c>
      <c r="D31" s="658" t="s">
        <v>386</v>
      </c>
      <c r="E31" s="659"/>
      <c r="F31" s="658"/>
      <c r="G31" s="660" t="e">
        <f>(G28+G27+G22+G26+G19+G16+G15+G14)*'Template tram'!H88+#REF!</f>
        <v>#REF!</v>
      </c>
      <c r="H31" s="659" t="s">
        <v>1456</v>
      </c>
      <c r="I31" s="658"/>
      <c r="J31" s="660">
        <f>+J29+J30</f>
        <v>4326399.8572218437</v>
      </c>
      <c r="K31" s="659" t="s">
        <v>1456</v>
      </c>
      <c r="L31" s="537"/>
      <c r="M31" s="429"/>
      <c r="N31" s="428"/>
      <c r="O31" s="428"/>
      <c r="P31" s="428"/>
      <c r="Q31" s="428"/>
      <c r="R31" s="428"/>
      <c r="S31" s="428"/>
      <c r="T31" s="428"/>
      <c r="U31" s="428"/>
      <c r="V31" s="428"/>
      <c r="W31" s="428"/>
      <c r="X31" s="428"/>
      <c r="Y31" s="428"/>
      <c r="Z31" s="428"/>
      <c r="AA31" s="428"/>
      <c r="AB31" s="428"/>
      <c r="AC31" s="431"/>
      <c r="AD31" s="431"/>
      <c r="AE31" s="431"/>
      <c r="AF31" s="431"/>
      <c r="AG31" s="431"/>
      <c r="AH31" s="431"/>
      <c r="AI31" s="431"/>
      <c r="AJ31" s="431"/>
    </row>
    <row r="33" spans="1:13">
      <c r="A33" s="332"/>
      <c r="B33" s="333"/>
      <c r="C33" s="334"/>
      <c r="D33" s="335"/>
      <c r="E33" s="336"/>
      <c r="F33" s="335"/>
      <c r="G33" s="337"/>
      <c r="H33" s="338"/>
      <c r="I33" s="338"/>
      <c r="J33" s="220"/>
      <c r="K33" s="220"/>
      <c r="L33" s="220"/>
      <c r="M33" s="426"/>
    </row>
    <row r="34" spans="1:13">
      <c r="F34" s="712">
        <f>A2</f>
        <v>0</v>
      </c>
      <c r="G34" s="712"/>
      <c r="H34" s="712"/>
      <c r="I34" s="423"/>
    </row>
  </sheetData>
  <mergeCells count="22">
    <mergeCell ref="J1:P1"/>
    <mergeCell ref="J2:P2"/>
    <mergeCell ref="A1:D1"/>
    <mergeCell ref="A2:D2"/>
    <mergeCell ref="F1:H1"/>
    <mergeCell ref="F2:H2"/>
    <mergeCell ref="A5:K5"/>
    <mergeCell ref="A6:K6"/>
    <mergeCell ref="A7:K7"/>
    <mergeCell ref="A9:K9"/>
    <mergeCell ref="F34:H34"/>
    <mergeCell ref="G11:G12"/>
    <mergeCell ref="H11:H12"/>
    <mergeCell ref="A11:A12"/>
    <mergeCell ref="B11:B12"/>
    <mergeCell ref="C11:C12"/>
    <mergeCell ref="K11:K12"/>
    <mergeCell ref="D11:D12"/>
    <mergeCell ref="E11:E12"/>
    <mergeCell ref="I11:I12"/>
    <mergeCell ref="J11:J12"/>
    <mergeCell ref="F11:F12"/>
  </mergeCells>
  <pageMargins left="0.45" right="0.39" top="0.42" bottom="0.75" header="0.3" footer="0.3"/>
  <pageSetup fitToHeight="0" orientation="portrait" verticalDpi="300" r:id="rId1"/>
  <ignoredErrors>
    <ignoredError sqref="I1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3:E14"/>
  <sheetViews>
    <sheetView workbookViewId="0">
      <selection activeCell="D23" sqref="D23"/>
    </sheetView>
  </sheetViews>
  <sheetFormatPr defaultColWidth="8.85546875" defaultRowHeight="15"/>
  <cols>
    <col min="2" max="2" width="48.28515625" style="85" customWidth="1"/>
    <col min="4" max="4" width="25.7109375" customWidth="1"/>
  </cols>
  <sheetData>
    <row r="3" spans="1:5" ht="28.5">
      <c r="A3" s="77" t="s">
        <v>371</v>
      </c>
      <c r="B3" s="84" t="s">
        <v>372</v>
      </c>
      <c r="C3" s="78" t="s">
        <v>373</v>
      </c>
      <c r="D3" s="78" t="s">
        <v>374</v>
      </c>
    </row>
    <row r="4" spans="1:5">
      <c r="A4" s="79"/>
      <c r="B4" s="80" t="s">
        <v>388</v>
      </c>
      <c r="C4" s="81" t="s">
        <v>376</v>
      </c>
      <c r="D4" s="82">
        <v>0</v>
      </c>
    </row>
    <row r="5" spans="1:5">
      <c r="A5" s="79">
        <v>1</v>
      </c>
      <c r="B5" s="80" t="s">
        <v>389</v>
      </c>
      <c r="C5" s="81" t="s">
        <v>376</v>
      </c>
      <c r="D5" s="82">
        <v>0</v>
      </c>
    </row>
    <row r="6" spans="1:5">
      <c r="A6" s="79">
        <v>2</v>
      </c>
      <c r="B6" s="80" t="s">
        <v>390</v>
      </c>
      <c r="C6" s="81" t="s">
        <v>376</v>
      </c>
      <c r="D6" s="82">
        <v>270472468</v>
      </c>
    </row>
    <row r="7" spans="1:5">
      <c r="A7" s="79" t="s">
        <v>427</v>
      </c>
      <c r="B7" s="80" t="s">
        <v>391</v>
      </c>
      <c r="C7" s="81" t="s">
        <v>376</v>
      </c>
      <c r="D7" s="82">
        <v>56647958</v>
      </c>
      <c r="E7" t="s">
        <v>1440</v>
      </c>
    </row>
    <row r="8" spans="1:5">
      <c r="A8" s="79" t="s">
        <v>131</v>
      </c>
      <c r="B8" s="80" t="s">
        <v>392</v>
      </c>
      <c r="C8" s="81" t="s">
        <v>376</v>
      </c>
      <c r="D8" s="82">
        <v>11591718</v>
      </c>
      <c r="E8" t="s">
        <v>1440</v>
      </c>
    </row>
    <row r="9" spans="1:5">
      <c r="A9" s="79" t="s">
        <v>132</v>
      </c>
      <c r="B9" s="80" t="s">
        <v>393</v>
      </c>
      <c r="C9" s="81" t="s">
        <v>376</v>
      </c>
      <c r="D9" s="82">
        <v>38958000</v>
      </c>
      <c r="E9" t="s">
        <v>1441</v>
      </c>
    </row>
    <row r="10" spans="1:5">
      <c r="A10" s="79" t="s">
        <v>133</v>
      </c>
      <c r="B10" s="80" t="s">
        <v>394</v>
      </c>
      <c r="C10" s="81" t="s">
        <v>376</v>
      </c>
      <c r="D10" s="82">
        <v>150870000</v>
      </c>
      <c r="E10" t="s">
        <v>1442</v>
      </c>
    </row>
    <row r="11" spans="1:5">
      <c r="A11" s="79" t="s">
        <v>134</v>
      </c>
      <c r="B11" s="80" t="s">
        <v>395</v>
      </c>
      <c r="C11" s="81" t="s">
        <v>376</v>
      </c>
      <c r="D11" s="82">
        <v>15000000</v>
      </c>
    </row>
    <row r="12" spans="1:5">
      <c r="A12" s="79" t="s">
        <v>135</v>
      </c>
      <c r="B12" s="80" t="s">
        <v>396</v>
      </c>
      <c r="C12" s="81" t="s">
        <v>376</v>
      </c>
      <c r="D12" s="81">
        <v>3822292</v>
      </c>
      <c r="E12" t="s">
        <v>1440</v>
      </c>
    </row>
    <row r="13" spans="1:5">
      <c r="A13" s="79" t="s">
        <v>136</v>
      </c>
      <c r="B13" s="80" t="s">
        <v>398</v>
      </c>
      <c r="C13" s="81" t="s">
        <v>376</v>
      </c>
      <c r="D13" s="81">
        <v>582500</v>
      </c>
    </row>
    <row r="14" spans="1:5" s="76" customFormat="1">
      <c r="A14" s="83" t="s">
        <v>397</v>
      </c>
      <c r="B14" s="86" t="s">
        <v>399</v>
      </c>
      <c r="C14" s="87" t="s">
        <v>376</v>
      </c>
      <c r="D14" s="87">
        <v>8000000</v>
      </c>
    </row>
  </sheetData>
  <sheetProtection algorithmName="SHA-512" hashValue="Y7riaKQiLT3SN6MHuYjmvc2K5aUPuWz1IBdmHmQmw4syemZS/er5bccE7SeoPW5PgwHinzp0fA2D5t7c7nouuw==" saltValue="gWy5kNKy7Q0qLbiiZT4YBw==" spinCount="100000"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R225"/>
  <sheetViews>
    <sheetView workbookViewId="0">
      <selection activeCell="D17" sqref="D17:F17"/>
    </sheetView>
  </sheetViews>
  <sheetFormatPr defaultColWidth="8.85546875" defaultRowHeight="15"/>
  <cols>
    <col min="1" max="1" width="4.7109375" bestFit="1" customWidth="1"/>
    <col min="3" max="3" width="72.85546875" customWidth="1"/>
    <col min="4" max="4" width="8.7109375" bestFit="1" customWidth="1"/>
    <col min="5" max="5" width="11.7109375" bestFit="1" customWidth="1"/>
    <col min="6" max="6" width="23" customWidth="1"/>
    <col min="7" max="7" width="11.7109375" bestFit="1" customWidth="1"/>
    <col min="8" max="8" width="23" customWidth="1"/>
    <col min="9" max="9" width="17.28515625" customWidth="1"/>
    <col min="10" max="10" width="26.85546875" customWidth="1"/>
    <col min="17" max="17" width="75" bestFit="1" customWidth="1"/>
    <col min="18" max="18" width="10.140625" bestFit="1" customWidth="1"/>
  </cols>
  <sheetData>
    <row r="1" spans="1:18" ht="17.25">
      <c r="A1" s="811" t="s">
        <v>527</v>
      </c>
      <c r="B1" s="811"/>
      <c r="C1" s="811"/>
      <c r="D1" s="811"/>
      <c r="E1" s="811"/>
      <c r="F1" s="811"/>
      <c r="G1" s="811"/>
      <c r="H1" s="811"/>
      <c r="I1" s="811"/>
      <c r="J1" s="811"/>
    </row>
    <row r="2" spans="1:18" ht="17.25">
      <c r="A2" s="812" t="s">
        <v>528</v>
      </c>
      <c r="B2" s="812"/>
      <c r="C2" s="812"/>
      <c r="D2" s="812"/>
      <c r="E2" s="812"/>
      <c r="F2" s="812"/>
      <c r="G2" s="812"/>
      <c r="H2" s="812"/>
      <c r="I2" s="812"/>
      <c r="J2" s="812"/>
    </row>
    <row r="3" spans="1:18" ht="17.25">
      <c r="A3" s="179"/>
      <c r="B3" s="179"/>
      <c r="C3" s="179"/>
      <c r="D3" s="179"/>
      <c r="E3" s="179"/>
      <c r="F3" s="179"/>
      <c r="G3" s="179"/>
      <c r="H3" s="813" t="s">
        <v>529</v>
      </c>
      <c r="I3" s="813"/>
      <c r="J3" s="813"/>
      <c r="Q3" t="s">
        <v>604</v>
      </c>
    </row>
    <row r="4" spans="1:18" ht="50.25" customHeight="1">
      <c r="A4" s="814" t="s">
        <v>238</v>
      </c>
      <c r="B4" s="180"/>
      <c r="C4" s="814" t="s">
        <v>530</v>
      </c>
      <c r="D4" s="814" t="s">
        <v>531</v>
      </c>
      <c r="E4" s="815" t="s">
        <v>532</v>
      </c>
      <c r="F4" s="815"/>
      <c r="G4" s="814" t="s">
        <v>533</v>
      </c>
      <c r="H4" s="814"/>
      <c r="I4" s="814" t="s">
        <v>534</v>
      </c>
      <c r="J4" s="814"/>
      <c r="M4" t="s">
        <v>550</v>
      </c>
      <c r="N4" s="188" t="s">
        <v>538</v>
      </c>
      <c r="O4" s="187" t="s">
        <v>535</v>
      </c>
      <c r="P4" t="s">
        <v>532</v>
      </c>
      <c r="Q4" t="str">
        <f>CONCATENATE(M4,N4,O4,P4)</f>
        <v>Nhóm 1QuậnTrên máiĐơn giá thuê vị trí đặt trạm BTS</v>
      </c>
      <c r="R4" s="146">
        <v>7000000</v>
      </c>
    </row>
    <row r="5" spans="1:18" ht="30">
      <c r="A5" s="814"/>
      <c r="B5" s="180"/>
      <c r="C5" s="814"/>
      <c r="D5" s="814"/>
      <c r="E5" s="187" t="s">
        <v>535</v>
      </c>
      <c r="F5" s="147" t="s">
        <v>536</v>
      </c>
      <c r="G5" s="147" t="s">
        <v>535</v>
      </c>
      <c r="H5" s="147" t="s">
        <v>536</v>
      </c>
      <c r="I5" s="147" t="s">
        <v>535</v>
      </c>
      <c r="J5" s="147" t="s">
        <v>536</v>
      </c>
      <c r="M5" t="s">
        <v>550</v>
      </c>
      <c r="N5" s="176" t="s">
        <v>539</v>
      </c>
      <c r="O5" s="187" t="s">
        <v>535</v>
      </c>
      <c r="P5" t="s">
        <v>532</v>
      </c>
      <c r="Q5" t="str">
        <f t="shared" ref="Q5:Q68" si="0">CONCATENATE(M5,N5,O5,P5)</f>
        <v>Nhóm 1Thị trấn - HuyệnTrên máiĐơn giá thuê vị trí đặt trạm BTS</v>
      </c>
      <c r="R5" s="146">
        <v>6500000</v>
      </c>
    </row>
    <row r="6" spans="1:18" ht="30">
      <c r="A6" s="816"/>
      <c r="B6" s="177"/>
      <c r="C6" s="818" t="s">
        <v>537</v>
      </c>
      <c r="D6" s="188" t="s">
        <v>538</v>
      </c>
      <c r="E6" s="146">
        <v>7000000</v>
      </c>
      <c r="F6" s="146">
        <v>6000000</v>
      </c>
      <c r="G6" s="146">
        <v>2500000</v>
      </c>
      <c r="H6" s="146">
        <v>2000000</v>
      </c>
      <c r="I6" s="146">
        <v>1000000</v>
      </c>
      <c r="J6" s="146">
        <v>1000000</v>
      </c>
      <c r="M6" t="s">
        <v>550</v>
      </c>
      <c r="N6" s="176" t="s">
        <v>540</v>
      </c>
      <c r="O6" s="187" t="s">
        <v>535</v>
      </c>
      <c r="P6" t="s">
        <v>532</v>
      </c>
      <c r="Q6" t="str">
        <f t="shared" si="0"/>
        <v>Nhóm 1Xã - HuyệnTrên máiĐơn giá thuê vị trí đặt trạm BTS</v>
      </c>
      <c r="R6" s="146">
        <v>5500000</v>
      </c>
    </row>
    <row r="7" spans="1:18" ht="30">
      <c r="A7" s="816"/>
      <c r="B7" s="177"/>
      <c r="C7" s="818"/>
      <c r="D7" s="176" t="s">
        <v>539</v>
      </c>
      <c r="E7" s="146">
        <v>6500000</v>
      </c>
      <c r="F7" s="146">
        <v>4500000</v>
      </c>
      <c r="G7" s="146">
        <v>2500000</v>
      </c>
      <c r="H7" s="146">
        <v>1700000</v>
      </c>
      <c r="I7" s="146">
        <v>1000000</v>
      </c>
      <c r="J7" s="146">
        <v>1000000</v>
      </c>
      <c r="M7" t="s">
        <v>551</v>
      </c>
      <c r="N7" s="176" t="s">
        <v>541</v>
      </c>
      <c r="O7" s="187" t="s">
        <v>535</v>
      </c>
      <c r="P7" t="s">
        <v>532</v>
      </c>
      <c r="Q7" t="str">
        <f t="shared" si="0"/>
        <v>Nhóm 2Thành phốTrên máiĐơn giá thuê vị trí đặt trạm BTS</v>
      </c>
      <c r="R7" s="146">
        <v>4000000</v>
      </c>
    </row>
    <row r="8" spans="1:18" ht="30">
      <c r="A8" s="817"/>
      <c r="B8" s="178"/>
      <c r="C8" s="818"/>
      <c r="D8" s="176" t="s">
        <v>540</v>
      </c>
      <c r="E8" s="146">
        <v>5500000</v>
      </c>
      <c r="F8" s="146">
        <v>4500000</v>
      </c>
      <c r="G8" s="146">
        <v>2100000</v>
      </c>
      <c r="H8" s="146">
        <v>1700000</v>
      </c>
      <c r="I8" s="146">
        <v>900000</v>
      </c>
      <c r="J8" s="146">
        <v>700000</v>
      </c>
      <c r="M8" t="s">
        <v>551</v>
      </c>
      <c r="N8" s="176" t="s">
        <v>542</v>
      </c>
      <c r="O8" s="187" t="s">
        <v>535</v>
      </c>
      <c r="P8" t="s">
        <v>532</v>
      </c>
      <c r="Q8" t="str">
        <f t="shared" si="0"/>
        <v>Nhóm 2Thị xãTrên máiĐơn giá thuê vị trí đặt trạm BTS</v>
      </c>
      <c r="R8" s="146">
        <v>3500000</v>
      </c>
    </row>
    <row r="9" spans="1:18" ht="30">
      <c r="A9" s="816"/>
      <c r="B9" s="148"/>
      <c r="C9" s="819"/>
      <c r="D9" s="176" t="s">
        <v>541</v>
      </c>
      <c r="E9" s="146">
        <v>4000000</v>
      </c>
      <c r="F9" s="146">
        <v>3000000</v>
      </c>
      <c r="G9" s="146">
        <v>1500000</v>
      </c>
      <c r="H9" s="146">
        <v>1100000</v>
      </c>
      <c r="I9" s="146">
        <v>700000</v>
      </c>
      <c r="J9" s="146">
        <v>500000</v>
      </c>
      <c r="M9" t="s">
        <v>551</v>
      </c>
      <c r="N9" s="176" t="s">
        <v>539</v>
      </c>
      <c r="O9" s="187" t="s">
        <v>535</v>
      </c>
      <c r="P9" t="s">
        <v>532</v>
      </c>
      <c r="Q9" t="str">
        <f t="shared" si="0"/>
        <v>Nhóm 2Thị trấn - HuyệnTrên máiĐơn giá thuê vị trí đặt trạm BTS</v>
      </c>
      <c r="R9" s="146">
        <v>3500000</v>
      </c>
    </row>
    <row r="10" spans="1:18" ht="30">
      <c r="A10" s="816"/>
      <c r="B10" s="148"/>
      <c r="C10" s="819"/>
      <c r="D10" s="176" t="s">
        <v>542</v>
      </c>
      <c r="E10" s="146">
        <v>3500000</v>
      </c>
      <c r="F10" s="146">
        <v>2500000</v>
      </c>
      <c r="G10" s="146">
        <v>1300000</v>
      </c>
      <c r="H10" s="146">
        <v>1000000</v>
      </c>
      <c r="I10" s="146">
        <v>600000</v>
      </c>
      <c r="J10" s="146">
        <v>500000</v>
      </c>
      <c r="M10" t="s">
        <v>551</v>
      </c>
      <c r="N10" s="176" t="s">
        <v>540</v>
      </c>
      <c r="O10" s="187" t="s">
        <v>535</v>
      </c>
      <c r="P10" t="s">
        <v>532</v>
      </c>
      <c r="Q10" t="str">
        <f t="shared" si="0"/>
        <v>Nhóm 2Xã - HuyệnTrên máiĐơn giá thuê vị trí đặt trạm BTS</v>
      </c>
      <c r="R10" s="146">
        <v>3000000</v>
      </c>
    </row>
    <row r="11" spans="1:18" ht="30">
      <c r="A11" s="816"/>
      <c r="B11" s="148"/>
      <c r="C11" s="819"/>
      <c r="D11" s="176" t="s">
        <v>539</v>
      </c>
      <c r="E11" s="146">
        <v>3500000</v>
      </c>
      <c r="F11" s="146">
        <v>2500000</v>
      </c>
      <c r="G11" s="146">
        <v>1300000</v>
      </c>
      <c r="H11" s="146">
        <v>1000000</v>
      </c>
      <c r="I11" s="146">
        <v>600000</v>
      </c>
      <c r="J11" s="146">
        <v>500000</v>
      </c>
      <c r="M11" t="s">
        <v>605</v>
      </c>
      <c r="N11" s="176" t="s">
        <v>541</v>
      </c>
      <c r="O11" s="187" t="s">
        <v>535</v>
      </c>
      <c r="P11" t="s">
        <v>532</v>
      </c>
      <c r="Q11" t="str">
        <f t="shared" si="0"/>
        <v>Nhóm3Thành phốTrên máiĐơn giá thuê vị trí đặt trạm BTS</v>
      </c>
      <c r="R11" s="146">
        <v>4000000</v>
      </c>
    </row>
    <row r="12" spans="1:18" ht="30">
      <c r="A12" s="817"/>
      <c r="B12" s="149"/>
      <c r="C12" s="820"/>
      <c r="D12" s="176" t="s">
        <v>540</v>
      </c>
      <c r="E12" s="146">
        <v>3000000</v>
      </c>
      <c r="F12" s="146">
        <v>2000000</v>
      </c>
      <c r="G12" s="146">
        <v>1100000</v>
      </c>
      <c r="H12" s="146">
        <v>800000</v>
      </c>
      <c r="I12" s="146">
        <v>500000</v>
      </c>
      <c r="J12" s="146">
        <v>500000</v>
      </c>
      <c r="M12" t="s">
        <v>605</v>
      </c>
      <c r="N12" s="176" t="s">
        <v>542</v>
      </c>
      <c r="O12" s="187" t="s">
        <v>535</v>
      </c>
      <c r="P12" t="s">
        <v>532</v>
      </c>
      <c r="Q12" t="str">
        <f t="shared" si="0"/>
        <v>Nhóm3Thị xãTrên máiĐơn giá thuê vị trí đặt trạm BTS</v>
      </c>
      <c r="R12" s="146">
        <v>4000000</v>
      </c>
    </row>
    <row r="13" spans="1:18" ht="30">
      <c r="A13" s="816"/>
      <c r="B13" s="177"/>
      <c r="C13" s="818" t="s">
        <v>543</v>
      </c>
      <c r="D13" s="176" t="s">
        <v>541</v>
      </c>
      <c r="E13" s="146">
        <v>4000000</v>
      </c>
      <c r="F13" s="146">
        <v>3500000</v>
      </c>
      <c r="G13" s="146">
        <v>1500000</v>
      </c>
      <c r="H13" s="146">
        <v>1300000</v>
      </c>
      <c r="I13" s="146">
        <v>700000</v>
      </c>
      <c r="J13" s="146">
        <v>600000</v>
      </c>
      <c r="M13" t="s">
        <v>605</v>
      </c>
      <c r="N13" s="176" t="s">
        <v>539</v>
      </c>
      <c r="O13" s="187" t="s">
        <v>535</v>
      </c>
      <c r="P13" t="s">
        <v>532</v>
      </c>
      <c r="Q13" t="str">
        <f t="shared" si="0"/>
        <v>Nhóm3Thị trấn - HuyệnTrên máiĐơn giá thuê vị trí đặt trạm BTS</v>
      </c>
      <c r="R13" s="146">
        <v>3000000</v>
      </c>
    </row>
    <row r="14" spans="1:18" ht="30">
      <c r="A14" s="816"/>
      <c r="B14" s="177"/>
      <c r="C14" s="818"/>
      <c r="D14" s="176" t="s">
        <v>542</v>
      </c>
      <c r="E14" s="146">
        <v>4000000</v>
      </c>
      <c r="F14" s="146">
        <v>3000000</v>
      </c>
      <c r="G14" s="146">
        <v>1500000</v>
      </c>
      <c r="H14" s="146">
        <v>1100000</v>
      </c>
      <c r="I14" s="146">
        <v>700000</v>
      </c>
      <c r="J14" s="146">
        <v>500000</v>
      </c>
      <c r="M14" t="s">
        <v>605</v>
      </c>
      <c r="N14" s="176" t="s">
        <v>540</v>
      </c>
      <c r="O14" s="187" t="s">
        <v>535</v>
      </c>
      <c r="P14" t="s">
        <v>532</v>
      </c>
      <c r="Q14" t="str">
        <f t="shared" si="0"/>
        <v>Nhóm3Xã - HuyệnTrên máiĐơn giá thuê vị trí đặt trạm BTS</v>
      </c>
      <c r="R14" s="146">
        <v>3000000</v>
      </c>
    </row>
    <row r="15" spans="1:18" ht="30">
      <c r="A15" s="816"/>
      <c r="B15" s="177"/>
      <c r="C15" s="818"/>
      <c r="D15" s="176" t="s">
        <v>539</v>
      </c>
      <c r="E15" s="146">
        <v>3000000</v>
      </c>
      <c r="F15" s="146">
        <v>3000000</v>
      </c>
      <c r="G15" s="146">
        <v>1100000</v>
      </c>
      <c r="H15" s="146">
        <v>1100000</v>
      </c>
      <c r="I15" s="146">
        <v>500000</v>
      </c>
      <c r="J15" s="146">
        <v>500000</v>
      </c>
      <c r="M15" t="s">
        <v>553</v>
      </c>
      <c r="N15" s="176" t="s">
        <v>541</v>
      </c>
      <c r="O15" s="187" t="s">
        <v>535</v>
      </c>
      <c r="P15" t="s">
        <v>532</v>
      </c>
      <c r="Q15" t="str">
        <f t="shared" si="0"/>
        <v>Nhóm 4Thành phốTrên máiĐơn giá thuê vị trí đặt trạm BTS</v>
      </c>
      <c r="R15" s="146">
        <v>4500000</v>
      </c>
    </row>
    <row r="16" spans="1:18" ht="30">
      <c r="A16" s="817"/>
      <c r="B16" s="178"/>
      <c r="C16" s="818"/>
      <c r="D16" s="176" t="s">
        <v>540</v>
      </c>
      <c r="E16" s="146">
        <v>3000000</v>
      </c>
      <c r="F16" s="146">
        <v>3000000</v>
      </c>
      <c r="G16" s="146">
        <v>1100000</v>
      </c>
      <c r="H16" s="146">
        <v>1100000</v>
      </c>
      <c r="I16" s="146">
        <v>500000</v>
      </c>
      <c r="J16" s="146">
        <v>500000</v>
      </c>
      <c r="M16" t="s">
        <v>553</v>
      </c>
      <c r="N16" s="176" t="s">
        <v>542</v>
      </c>
      <c r="O16" s="187" t="s">
        <v>535</v>
      </c>
      <c r="P16" t="s">
        <v>532</v>
      </c>
      <c r="Q16" t="str">
        <f t="shared" si="0"/>
        <v>Nhóm 4Thị xãTrên máiĐơn giá thuê vị trí đặt trạm BTS</v>
      </c>
      <c r="R16" s="146">
        <v>4000000</v>
      </c>
    </row>
    <row r="17" spans="1:18" ht="30">
      <c r="A17" s="816"/>
      <c r="B17" s="177"/>
      <c r="C17" s="818" t="s">
        <v>544</v>
      </c>
      <c r="D17" s="176" t="s">
        <v>541</v>
      </c>
      <c r="E17" s="146">
        <v>4500000</v>
      </c>
      <c r="F17" s="146">
        <v>4000000</v>
      </c>
      <c r="G17" s="146">
        <v>1700000</v>
      </c>
      <c r="H17" s="146">
        <v>1500000</v>
      </c>
      <c r="I17" s="146">
        <v>700000</v>
      </c>
      <c r="J17" s="146">
        <v>700000</v>
      </c>
      <c r="M17" t="s">
        <v>553</v>
      </c>
      <c r="N17" s="176" t="s">
        <v>539</v>
      </c>
      <c r="O17" s="187" t="s">
        <v>535</v>
      </c>
      <c r="P17" t="s">
        <v>532</v>
      </c>
      <c r="Q17" t="str">
        <f t="shared" si="0"/>
        <v>Nhóm 4Thị trấn - HuyệnTrên máiĐơn giá thuê vị trí đặt trạm BTS</v>
      </c>
      <c r="R17" s="146">
        <v>3500000</v>
      </c>
    </row>
    <row r="18" spans="1:18" ht="30">
      <c r="A18" s="816"/>
      <c r="B18" s="177"/>
      <c r="C18" s="818"/>
      <c r="D18" s="176" t="s">
        <v>542</v>
      </c>
      <c r="E18" s="146">
        <v>4000000</v>
      </c>
      <c r="F18" s="146">
        <v>3500000</v>
      </c>
      <c r="G18" s="146">
        <v>1500000</v>
      </c>
      <c r="H18" s="146">
        <v>1300000</v>
      </c>
      <c r="I18" s="146">
        <v>700000</v>
      </c>
      <c r="J18" s="146">
        <v>600000</v>
      </c>
      <c r="M18" t="s">
        <v>553</v>
      </c>
      <c r="N18" s="176" t="s">
        <v>540</v>
      </c>
      <c r="O18" s="187" t="s">
        <v>535</v>
      </c>
      <c r="P18" t="s">
        <v>532</v>
      </c>
      <c r="Q18" t="str">
        <f t="shared" si="0"/>
        <v>Nhóm 4Xã - HuyệnTrên máiĐơn giá thuê vị trí đặt trạm BTS</v>
      </c>
      <c r="R18" s="146">
        <v>3500000</v>
      </c>
    </row>
    <row r="19" spans="1:18" ht="30">
      <c r="A19" s="816"/>
      <c r="B19" s="177"/>
      <c r="C19" s="818"/>
      <c r="D19" s="176" t="s">
        <v>539</v>
      </c>
      <c r="E19" s="146">
        <v>3500000</v>
      </c>
      <c r="F19" s="146">
        <v>3500000</v>
      </c>
      <c r="G19" s="146">
        <v>1300000</v>
      </c>
      <c r="H19" s="146">
        <v>1300000</v>
      </c>
      <c r="I19" s="146">
        <v>600000</v>
      </c>
      <c r="J19" s="146">
        <v>600000</v>
      </c>
      <c r="M19" t="s">
        <v>554</v>
      </c>
      <c r="N19" s="176" t="s">
        <v>541</v>
      </c>
      <c r="O19" s="187" t="s">
        <v>535</v>
      </c>
      <c r="P19" t="s">
        <v>532</v>
      </c>
      <c r="Q19" t="str">
        <f t="shared" si="0"/>
        <v>Nhóm 5Thành phốTrên máiĐơn giá thuê vị trí đặt trạm BTS</v>
      </c>
      <c r="R19" s="146">
        <v>4500000</v>
      </c>
    </row>
    <row r="20" spans="1:18" ht="30">
      <c r="A20" s="817"/>
      <c r="B20" s="178"/>
      <c r="C20" s="818"/>
      <c r="D20" s="176" t="s">
        <v>540</v>
      </c>
      <c r="E20" s="146">
        <v>3500000</v>
      </c>
      <c r="F20" s="146">
        <v>3000000</v>
      </c>
      <c r="G20" s="146">
        <v>1300000</v>
      </c>
      <c r="H20" s="146">
        <v>1100000</v>
      </c>
      <c r="I20" s="146">
        <v>600000</v>
      </c>
      <c r="J20" s="146">
        <v>500000</v>
      </c>
      <c r="M20" t="s">
        <v>554</v>
      </c>
      <c r="N20" s="176" t="s">
        <v>542</v>
      </c>
      <c r="O20" s="187" t="s">
        <v>535</v>
      </c>
      <c r="P20" t="s">
        <v>532</v>
      </c>
      <c r="Q20" t="str">
        <f t="shared" si="0"/>
        <v>Nhóm 5Thị xãTrên máiĐơn giá thuê vị trí đặt trạm BTS</v>
      </c>
      <c r="R20" s="146">
        <v>4000000</v>
      </c>
    </row>
    <row r="21" spans="1:18" ht="30">
      <c r="A21" s="816"/>
      <c r="B21" s="177"/>
      <c r="C21" s="818" t="s">
        <v>545</v>
      </c>
      <c r="D21" s="176" t="s">
        <v>541</v>
      </c>
      <c r="E21" s="146">
        <v>4500000</v>
      </c>
      <c r="F21" s="146">
        <v>4000000</v>
      </c>
      <c r="G21" s="146">
        <v>1700000</v>
      </c>
      <c r="H21" s="146">
        <v>1500000</v>
      </c>
      <c r="I21" s="146">
        <v>700000</v>
      </c>
      <c r="J21" s="146">
        <v>700000</v>
      </c>
      <c r="M21" t="s">
        <v>554</v>
      </c>
      <c r="N21" s="176" t="s">
        <v>539</v>
      </c>
      <c r="O21" s="187" t="s">
        <v>535</v>
      </c>
      <c r="P21" t="s">
        <v>532</v>
      </c>
      <c r="Q21" t="str">
        <f t="shared" si="0"/>
        <v>Nhóm 5Thị trấn - HuyệnTrên máiĐơn giá thuê vị trí đặt trạm BTS</v>
      </c>
      <c r="R21" s="146">
        <v>3500000</v>
      </c>
    </row>
    <row r="22" spans="1:18" ht="30">
      <c r="A22" s="816"/>
      <c r="B22" s="177"/>
      <c r="C22" s="818"/>
      <c r="D22" s="176" t="s">
        <v>542</v>
      </c>
      <c r="E22" s="146">
        <v>4000000</v>
      </c>
      <c r="F22" s="146">
        <v>2500000</v>
      </c>
      <c r="G22" s="146">
        <v>1500000</v>
      </c>
      <c r="H22" s="146">
        <v>1000000</v>
      </c>
      <c r="I22" s="146">
        <v>700000</v>
      </c>
      <c r="J22" s="146">
        <v>500000</v>
      </c>
      <c r="M22" t="s">
        <v>554</v>
      </c>
      <c r="N22" s="176" t="s">
        <v>540</v>
      </c>
      <c r="O22" s="187" t="s">
        <v>535</v>
      </c>
      <c r="P22" t="s">
        <v>532</v>
      </c>
      <c r="Q22" t="str">
        <f t="shared" si="0"/>
        <v>Nhóm 5Xã - HuyệnTrên máiĐơn giá thuê vị trí đặt trạm BTS</v>
      </c>
      <c r="R22" s="146">
        <v>3000000</v>
      </c>
    </row>
    <row r="23" spans="1:18" ht="30">
      <c r="A23" s="816"/>
      <c r="B23" s="177"/>
      <c r="C23" s="818"/>
      <c r="D23" s="176" t="s">
        <v>539</v>
      </c>
      <c r="E23" s="146">
        <v>3500000</v>
      </c>
      <c r="F23" s="146">
        <v>2500000</v>
      </c>
      <c r="G23" s="146">
        <v>1300000</v>
      </c>
      <c r="H23" s="146">
        <v>1000000</v>
      </c>
      <c r="I23" s="146">
        <v>600000</v>
      </c>
      <c r="J23" s="146">
        <v>500000</v>
      </c>
      <c r="M23" t="s">
        <v>555</v>
      </c>
      <c r="N23" s="176" t="s">
        <v>541</v>
      </c>
      <c r="O23" s="187" t="s">
        <v>535</v>
      </c>
      <c r="P23" t="s">
        <v>532</v>
      </c>
      <c r="Q23" t="str">
        <f t="shared" si="0"/>
        <v>Nhóm 6Thành phốTrên máiĐơn giá thuê vị trí đặt trạm BTS</v>
      </c>
      <c r="R23" s="146">
        <v>4000000</v>
      </c>
    </row>
    <row r="24" spans="1:18" ht="30">
      <c r="A24" s="817"/>
      <c r="B24" s="178"/>
      <c r="C24" s="818"/>
      <c r="D24" s="176" t="s">
        <v>540</v>
      </c>
      <c r="E24" s="146">
        <v>3000000</v>
      </c>
      <c r="F24" s="146">
        <v>2000000</v>
      </c>
      <c r="G24" s="146">
        <v>1100000</v>
      </c>
      <c r="H24" s="146">
        <v>800000</v>
      </c>
      <c r="I24" s="146">
        <v>500000</v>
      </c>
      <c r="J24" s="146">
        <v>500000</v>
      </c>
      <c r="M24" t="s">
        <v>555</v>
      </c>
      <c r="N24" s="176" t="s">
        <v>542</v>
      </c>
      <c r="O24" s="187" t="s">
        <v>535</v>
      </c>
      <c r="P24" t="s">
        <v>532</v>
      </c>
      <c r="Q24" t="str">
        <f t="shared" si="0"/>
        <v>Nhóm 6Thị xãTrên máiĐơn giá thuê vị trí đặt trạm BTS</v>
      </c>
      <c r="R24" s="146">
        <v>3500000</v>
      </c>
    </row>
    <row r="25" spans="1:18" ht="30">
      <c r="A25" s="816"/>
      <c r="B25" s="177"/>
      <c r="C25" s="818" t="s">
        <v>546</v>
      </c>
      <c r="D25" s="176" t="s">
        <v>541</v>
      </c>
      <c r="E25" s="146">
        <v>4000000</v>
      </c>
      <c r="F25" s="146">
        <v>3000000</v>
      </c>
      <c r="G25" s="146">
        <v>1500000</v>
      </c>
      <c r="H25" s="146">
        <v>1100000</v>
      </c>
      <c r="I25" s="146">
        <v>700000</v>
      </c>
      <c r="J25" s="146">
        <v>500000</v>
      </c>
      <c r="M25" t="s">
        <v>555</v>
      </c>
      <c r="N25" s="176" t="s">
        <v>539</v>
      </c>
      <c r="O25" s="187" t="s">
        <v>535</v>
      </c>
      <c r="P25" t="s">
        <v>532</v>
      </c>
      <c r="Q25" t="str">
        <f t="shared" si="0"/>
        <v>Nhóm 6Thị trấn - HuyệnTrên máiĐơn giá thuê vị trí đặt trạm BTS</v>
      </c>
      <c r="R25" s="146">
        <v>3000000</v>
      </c>
    </row>
    <row r="26" spans="1:18" ht="30">
      <c r="A26" s="816"/>
      <c r="B26" s="177"/>
      <c r="C26" s="818"/>
      <c r="D26" s="176" t="s">
        <v>542</v>
      </c>
      <c r="E26" s="146">
        <v>3500000</v>
      </c>
      <c r="F26" s="146">
        <v>3000000</v>
      </c>
      <c r="G26" s="146">
        <v>1300000</v>
      </c>
      <c r="H26" s="146">
        <v>1100000</v>
      </c>
      <c r="I26" s="146">
        <v>600000</v>
      </c>
      <c r="J26" s="146">
        <v>500000</v>
      </c>
      <c r="M26" t="s">
        <v>555</v>
      </c>
      <c r="N26" s="176" t="s">
        <v>540</v>
      </c>
      <c r="O26" s="187" t="s">
        <v>535</v>
      </c>
      <c r="P26" t="s">
        <v>532</v>
      </c>
      <c r="Q26" t="str">
        <f t="shared" si="0"/>
        <v>Nhóm 6Xã - HuyệnTrên máiĐơn giá thuê vị trí đặt trạm BTS</v>
      </c>
      <c r="R26" s="146">
        <v>2000000</v>
      </c>
    </row>
    <row r="27" spans="1:18" ht="30">
      <c r="A27" s="816"/>
      <c r="B27" s="177"/>
      <c r="C27" s="818"/>
      <c r="D27" s="176" t="s">
        <v>539</v>
      </c>
      <c r="E27" s="146">
        <v>3000000</v>
      </c>
      <c r="F27" s="146">
        <v>2500000</v>
      </c>
      <c r="G27" s="146">
        <v>1100000</v>
      </c>
      <c r="H27" s="146">
        <v>1000000</v>
      </c>
      <c r="I27" s="146">
        <v>500000</v>
      </c>
      <c r="J27" s="146">
        <v>400000</v>
      </c>
      <c r="M27" t="s">
        <v>556</v>
      </c>
      <c r="N27" s="176" t="s">
        <v>541</v>
      </c>
      <c r="O27" s="187" t="s">
        <v>535</v>
      </c>
      <c r="P27" t="s">
        <v>532</v>
      </c>
      <c r="Q27" t="str">
        <f t="shared" si="0"/>
        <v>Nhóm 7Thành phốTrên máiĐơn giá thuê vị trí đặt trạm BTS</v>
      </c>
      <c r="R27" s="146">
        <v>4500000</v>
      </c>
    </row>
    <row r="28" spans="1:18" ht="30">
      <c r="A28" s="817"/>
      <c r="B28" s="178"/>
      <c r="C28" s="818"/>
      <c r="D28" s="176" t="s">
        <v>540</v>
      </c>
      <c r="E28" s="146">
        <v>2000000</v>
      </c>
      <c r="F28" s="146">
        <v>2000000</v>
      </c>
      <c r="G28" s="146">
        <v>800000</v>
      </c>
      <c r="H28" s="146">
        <v>800000</v>
      </c>
      <c r="I28" s="146">
        <v>300000</v>
      </c>
      <c r="J28" s="146">
        <v>300000</v>
      </c>
      <c r="M28" t="s">
        <v>556</v>
      </c>
      <c r="N28" s="176" t="s">
        <v>542</v>
      </c>
      <c r="O28" s="187" t="s">
        <v>535</v>
      </c>
      <c r="P28" t="s">
        <v>532</v>
      </c>
      <c r="Q28" t="str">
        <f t="shared" si="0"/>
        <v>Nhóm 7Thị xãTrên máiĐơn giá thuê vị trí đặt trạm BTS</v>
      </c>
      <c r="R28" s="146">
        <v>4000000</v>
      </c>
    </row>
    <row r="29" spans="1:18" ht="30">
      <c r="A29" s="816"/>
      <c r="B29" s="177"/>
      <c r="C29" s="818" t="s">
        <v>547</v>
      </c>
      <c r="D29" s="176" t="s">
        <v>541</v>
      </c>
      <c r="E29" s="146">
        <v>4500000</v>
      </c>
      <c r="F29" s="146">
        <v>3500000</v>
      </c>
      <c r="G29" s="146">
        <v>1700000</v>
      </c>
      <c r="H29" s="146">
        <v>1500000</v>
      </c>
      <c r="I29" s="146">
        <v>700000</v>
      </c>
      <c r="J29" s="146">
        <v>600000</v>
      </c>
      <c r="M29" t="s">
        <v>556</v>
      </c>
      <c r="N29" s="176" t="s">
        <v>539</v>
      </c>
      <c r="O29" s="187" t="s">
        <v>535</v>
      </c>
      <c r="P29" t="s">
        <v>532</v>
      </c>
      <c r="Q29" t="str">
        <f t="shared" si="0"/>
        <v>Nhóm 7Thị trấn - HuyệnTrên máiĐơn giá thuê vị trí đặt trạm BTS</v>
      </c>
      <c r="R29" s="146">
        <v>3000000</v>
      </c>
    </row>
    <row r="30" spans="1:18" ht="30">
      <c r="A30" s="816"/>
      <c r="B30" s="177"/>
      <c r="C30" s="818"/>
      <c r="D30" s="176" t="s">
        <v>542</v>
      </c>
      <c r="E30" s="146">
        <v>4000000</v>
      </c>
      <c r="F30" s="146">
        <v>3000000</v>
      </c>
      <c r="G30" s="146">
        <v>1500000</v>
      </c>
      <c r="H30" s="146">
        <v>1100000</v>
      </c>
      <c r="I30" s="146">
        <v>700000</v>
      </c>
      <c r="J30" s="146">
        <v>500000</v>
      </c>
      <c r="M30" t="s">
        <v>556</v>
      </c>
      <c r="N30" s="176" t="s">
        <v>540</v>
      </c>
      <c r="O30" s="187" t="s">
        <v>535</v>
      </c>
      <c r="P30" t="s">
        <v>532</v>
      </c>
      <c r="Q30" t="str">
        <f t="shared" si="0"/>
        <v>Nhóm 7Xã - HuyệnTrên máiĐơn giá thuê vị trí đặt trạm BTS</v>
      </c>
      <c r="R30" s="146">
        <v>2500000</v>
      </c>
    </row>
    <row r="31" spans="1:18" ht="30">
      <c r="A31" s="816"/>
      <c r="B31" s="177"/>
      <c r="C31" s="818"/>
      <c r="D31" s="176" t="s">
        <v>539</v>
      </c>
      <c r="E31" s="146">
        <v>3000000</v>
      </c>
      <c r="F31" s="146">
        <v>2500000</v>
      </c>
      <c r="G31" s="146">
        <v>1100000</v>
      </c>
      <c r="H31" s="146">
        <v>1000000</v>
      </c>
      <c r="I31" s="146">
        <v>500000</v>
      </c>
      <c r="J31" s="146">
        <v>500000</v>
      </c>
      <c r="M31" t="s">
        <v>557</v>
      </c>
      <c r="N31" s="176" t="s">
        <v>538</v>
      </c>
      <c r="O31" s="187" t="s">
        <v>535</v>
      </c>
      <c r="P31" t="s">
        <v>532</v>
      </c>
      <c r="Q31" t="str">
        <f t="shared" si="0"/>
        <v>Nhóm 8QuậnTrên máiĐơn giá thuê vị trí đặt trạm BTS</v>
      </c>
      <c r="R31" s="146">
        <v>5000000</v>
      </c>
    </row>
    <row r="32" spans="1:18" ht="30">
      <c r="A32" s="817"/>
      <c r="B32" s="178"/>
      <c r="C32" s="818"/>
      <c r="D32" s="176" t="s">
        <v>540</v>
      </c>
      <c r="E32" s="146">
        <v>2500000</v>
      </c>
      <c r="F32" s="146">
        <v>2500000</v>
      </c>
      <c r="G32" s="146">
        <v>1000000</v>
      </c>
      <c r="H32" s="146">
        <v>1000000</v>
      </c>
      <c r="I32" s="146">
        <v>500000</v>
      </c>
      <c r="J32" s="146">
        <v>500000</v>
      </c>
      <c r="M32" t="s">
        <v>557</v>
      </c>
      <c r="N32" s="176" t="s">
        <v>541</v>
      </c>
      <c r="O32" s="187" t="s">
        <v>535</v>
      </c>
      <c r="P32" t="s">
        <v>532</v>
      </c>
      <c r="Q32" t="str">
        <f t="shared" si="0"/>
        <v>Nhóm 8Thành phốTrên máiĐơn giá thuê vị trí đặt trạm BTS</v>
      </c>
      <c r="R32" s="146">
        <v>4000000</v>
      </c>
    </row>
    <row r="33" spans="1:18">
      <c r="A33" s="816"/>
      <c r="B33" s="177"/>
      <c r="C33" s="818" t="s">
        <v>548</v>
      </c>
      <c r="D33" s="176" t="s">
        <v>538</v>
      </c>
      <c r="E33" s="146">
        <v>5000000</v>
      </c>
      <c r="F33" s="146">
        <v>3000000</v>
      </c>
      <c r="G33" s="146">
        <v>1900000</v>
      </c>
      <c r="H33" s="146">
        <v>1100000</v>
      </c>
      <c r="I33" s="146">
        <v>800000</v>
      </c>
      <c r="J33" s="146">
        <v>500000</v>
      </c>
      <c r="M33" t="s">
        <v>557</v>
      </c>
      <c r="N33" s="176" t="s">
        <v>542</v>
      </c>
      <c r="O33" s="187" t="s">
        <v>535</v>
      </c>
      <c r="P33" t="s">
        <v>532</v>
      </c>
      <c r="Q33" t="str">
        <f t="shared" si="0"/>
        <v>Nhóm 8Thị xãTrên máiĐơn giá thuê vị trí đặt trạm BTS</v>
      </c>
      <c r="R33" s="146">
        <v>3500000</v>
      </c>
    </row>
    <row r="34" spans="1:18" ht="30">
      <c r="A34" s="816"/>
      <c r="B34" s="177"/>
      <c r="C34" s="818"/>
      <c r="D34" s="176" t="s">
        <v>541</v>
      </c>
      <c r="E34" s="146">
        <v>4000000</v>
      </c>
      <c r="F34" s="146">
        <v>3000000</v>
      </c>
      <c r="G34" s="146">
        <v>1500000</v>
      </c>
      <c r="H34" s="146">
        <v>1100000</v>
      </c>
      <c r="I34" s="146">
        <v>700000</v>
      </c>
      <c r="J34" s="146">
        <v>500000</v>
      </c>
      <c r="M34" t="s">
        <v>557</v>
      </c>
      <c r="N34" s="176" t="s">
        <v>539</v>
      </c>
      <c r="O34" s="187" t="s">
        <v>535</v>
      </c>
      <c r="P34" t="s">
        <v>532</v>
      </c>
      <c r="Q34" t="str">
        <f t="shared" si="0"/>
        <v>Nhóm 8Thị trấn - HuyệnTrên máiĐơn giá thuê vị trí đặt trạm BTS</v>
      </c>
      <c r="R34" s="146">
        <v>3000000</v>
      </c>
    </row>
    <row r="35" spans="1:18" ht="30">
      <c r="A35" s="816"/>
      <c r="B35" s="177"/>
      <c r="C35" s="818"/>
      <c r="D35" s="176" t="s">
        <v>542</v>
      </c>
      <c r="E35" s="146">
        <v>3500000</v>
      </c>
      <c r="F35" s="146">
        <v>2000000</v>
      </c>
      <c r="G35" s="146">
        <v>1300000</v>
      </c>
      <c r="H35" s="146">
        <v>800000</v>
      </c>
      <c r="I35" s="146">
        <v>600000</v>
      </c>
      <c r="J35" s="146">
        <v>300000</v>
      </c>
      <c r="M35" t="s">
        <v>557</v>
      </c>
      <c r="N35" s="176" t="s">
        <v>540</v>
      </c>
      <c r="O35" s="187" t="s">
        <v>535</v>
      </c>
      <c r="P35" t="s">
        <v>532</v>
      </c>
      <c r="Q35" t="str">
        <f t="shared" si="0"/>
        <v>Nhóm 8Xã - HuyệnTrên máiĐơn giá thuê vị trí đặt trạm BTS</v>
      </c>
      <c r="R35" s="146">
        <v>2500000</v>
      </c>
    </row>
    <row r="36" spans="1:18" ht="30">
      <c r="A36" s="816"/>
      <c r="B36" s="177"/>
      <c r="C36" s="818"/>
      <c r="D36" s="176" t="s">
        <v>539</v>
      </c>
      <c r="E36" s="146">
        <v>3000000</v>
      </c>
      <c r="F36" s="146">
        <v>2000000</v>
      </c>
      <c r="G36" s="146">
        <v>1100000</v>
      </c>
      <c r="H36" s="146">
        <v>800000</v>
      </c>
      <c r="I36" s="146">
        <v>500000</v>
      </c>
      <c r="J36" s="146">
        <v>300000</v>
      </c>
      <c r="M36" t="s">
        <v>558</v>
      </c>
      <c r="N36" s="176" t="s">
        <v>538</v>
      </c>
      <c r="O36" s="187" t="s">
        <v>535</v>
      </c>
      <c r="P36" t="s">
        <v>532</v>
      </c>
      <c r="Q36" t="str">
        <f t="shared" si="0"/>
        <v>Nhóm 9QuậnTrên máiĐơn giá thuê vị trí đặt trạm BTS</v>
      </c>
      <c r="R36" s="146">
        <v>5000000</v>
      </c>
    </row>
    <row r="37" spans="1:18" ht="30">
      <c r="A37" s="817"/>
      <c r="B37" s="178"/>
      <c r="C37" s="818"/>
      <c r="D37" s="176" t="s">
        <v>540</v>
      </c>
      <c r="E37" s="146">
        <v>2500000</v>
      </c>
      <c r="F37" s="146">
        <v>2000000</v>
      </c>
      <c r="G37" s="146">
        <v>1000000</v>
      </c>
      <c r="H37" s="146">
        <v>800000</v>
      </c>
      <c r="I37" s="146">
        <v>400000</v>
      </c>
      <c r="J37" s="146">
        <v>300000</v>
      </c>
      <c r="M37" t="s">
        <v>558</v>
      </c>
      <c r="N37" s="176" t="s">
        <v>541</v>
      </c>
      <c r="O37" s="187" t="s">
        <v>535</v>
      </c>
      <c r="P37" t="s">
        <v>532</v>
      </c>
      <c r="Q37" t="str">
        <f t="shared" si="0"/>
        <v>Nhóm 9Thành phốTrên máiĐơn giá thuê vị trí đặt trạm BTS</v>
      </c>
      <c r="R37" s="146">
        <v>5000000</v>
      </c>
    </row>
    <row r="38" spans="1:18">
      <c r="A38" s="816"/>
      <c r="B38" s="177"/>
      <c r="C38" s="818" t="s">
        <v>549</v>
      </c>
      <c r="D38" s="176" t="s">
        <v>538</v>
      </c>
      <c r="E38" s="146">
        <v>5000000</v>
      </c>
      <c r="F38" s="146">
        <v>5000000</v>
      </c>
      <c r="G38" s="146">
        <v>1900000</v>
      </c>
      <c r="H38" s="146">
        <v>1900000</v>
      </c>
      <c r="I38" s="146">
        <v>800000</v>
      </c>
      <c r="J38" s="146">
        <v>800000</v>
      </c>
      <c r="M38" t="s">
        <v>558</v>
      </c>
      <c r="N38" s="176" t="s">
        <v>542</v>
      </c>
      <c r="O38" s="187" t="s">
        <v>535</v>
      </c>
      <c r="P38" t="s">
        <v>532</v>
      </c>
      <c r="Q38" t="str">
        <f t="shared" si="0"/>
        <v>Nhóm 9Thị xãTrên máiĐơn giá thuê vị trí đặt trạm BTS</v>
      </c>
      <c r="R38" s="146">
        <v>4500000</v>
      </c>
    </row>
    <row r="39" spans="1:18" ht="30">
      <c r="A39" s="816"/>
      <c r="B39" s="177"/>
      <c r="C39" s="818"/>
      <c r="D39" s="176" t="s">
        <v>541</v>
      </c>
      <c r="E39" s="146">
        <v>5000000</v>
      </c>
      <c r="F39" s="146">
        <v>4000000</v>
      </c>
      <c r="G39" s="146">
        <v>1900000</v>
      </c>
      <c r="H39" s="146">
        <v>1500000</v>
      </c>
      <c r="I39" s="146">
        <v>800000</v>
      </c>
      <c r="J39" s="146">
        <v>700000</v>
      </c>
      <c r="M39" t="s">
        <v>558</v>
      </c>
      <c r="N39" s="176" t="s">
        <v>539</v>
      </c>
      <c r="O39" s="187" t="s">
        <v>535</v>
      </c>
      <c r="P39" t="s">
        <v>532</v>
      </c>
      <c r="Q39" t="str">
        <f t="shared" si="0"/>
        <v>Nhóm 9Thị trấn - HuyệnTrên máiĐơn giá thuê vị trí đặt trạm BTS</v>
      </c>
      <c r="R39" s="146">
        <v>4000000</v>
      </c>
    </row>
    <row r="40" spans="1:18" ht="30">
      <c r="A40" s="816"/>
      <c r="B40" s="177"/>
      <c r="C40" s="818"/>
      <c r="D40" s="176" t="s">
        <v>542</v>
      </c>
      <c r="E40" s="146">
        <v>4500000</v>
      </c>
      <c r="F40" s="146">
        <v>4000000</v>
      </c>
      <c r="G40" s="146">
        <v>1700000</v>
      </c>
      <c r="H40" s="146">
        <v>1500000</v>
      </c>
      <c r="I40" s="146">
        <v>700000</v>
      </c>
      <c r="J40" s="146">
        <v>700000</v>
      </c>
      <c r="M40" t="s">
        <v>558</v>
      </c>
      <c r="N40" s="176" t="s">
        <v>540</v>
      </c>
      <c r="O40" s="187" t="s">
        <v>535</v>
      </c>
      <c r="P40" t="s">
        <v>532</v>
      </c>
      <c r="Q40" t="str">
        <f t="shared" si="0"/>
        <v>Nhóm 9Xã - HuyệnTrên máiĐơn giá thuê vị trí đặt trạm BTS</v>
      </c>
      <c r="R40" s="146">
        <v>4000000</v>
      </c>
    </row>
    <row r="41" spans="1:18" ht="30">
      <c r="A41" s="816"/>
      <c r="B41" s="177"/>
      <c r="C41" s="818"/>
      <c r="D41" s="176" t="s">
        <v>539</v>
      </c>
      <c r="E41" s="146">
        <v>4000000</v>
      </c>
      <c r="F41" s="146">
        <v>3500000</v>
      </c>
      <c r="G41" s="146">
        <v>1500000</v>
      </c>
      <c r="H41" s="146">
        <v>1300000</v>
      </c>
      <c r="I41" s="146">
        <v>700000</v>
      </c>
      <c r="J41" s="146">
        <v>600000</v>
      </c>
      <c r="L41" s="189">
        <v>1</v>
      </c>
      <c r="M41" t="s">
        <v>550</v>
      </c>
      <c r="N41" s="188" t="s">
        <v>538</v>
      </c>
      <c r="O41" s="147" t="s">
        <v>536</v>
      </c>
      <c r="P41" t="s">
        <v>532</v>
      </c>
      <c r="Q41" t="str">
        <f t="shared" si="0"/>
        <v>Nhóm 1QuậnDưới đấtĐơn giá thuê vị trí đặt trạm BTS</v>
      </c>
      <c r="R41" s="146">
        <v>6000000</v>
      </c>
    </row>
    <row r="42" spans="1:18" ht="30">
      <c r="A42" s="817"/>
      <c r="B42" s="178"/>
      <c r="C42" s="818"/>
      <c r="D42" s="176" t="s">
        <v>540</v>
      </c>
      <c r="E42" s="146">
        <v>4000000</v>
      </c>
      <c r="F42" s="146">
        <v>3000000</v>
      </c>
      <c r="G42" s="146">
        <v>1500000</v>
      </c>
      <c r="H42" s="146">
        <v>1100000</v>
      </c>
      <c r="I42" s="146">
        <v>700000</v>
      </c>
      <c r="J42" s="146">
        <v>500000</v>
      </c>
      <c r="M42" t="s">
        <v>550</v>
      </c>
      <c r="N42" s="176" t="s">
        <v>539</v>
      </c>
      <c r="O42" s="147" t="s">
        <v>536</v>
      </c>
      <c r="P42" t="s">
        <v>532</v>
      </c>
      <c r="Q42" t="str">
        <f t="shared" si="0"/>
        <v>Nhóm 1Thị trấn - HuyệnDưới đấtĐơn giá thuê vị trí đặt trạm BTS</v>
      </c>
      <c r="R42" s="146">
        <v>4500000</v>
      </c>
    </row>
    <row r="43" spans="1:18" ht="30">
      <c r="M43" t="s">
        <v>550</v>
      </c>
      <c r="N43" s="176" t="s">
        <v>540</v>
      </c>
      <c r="O43" s="147" t="s">
        <v>536</v>
      </c>
      <c r="P43" t="s">
        <v>532</v>
      </c>
      <c r="Q43" t="str">
        <f t="shared" si="0"/>
        <v>Nhóm 1Xã - HuyệnDưới đấtĐơn giá thuê vị trí đặt trạm BTS</v>
      </c>
      <c r="R43" s="146">
        <v>4500000</v>
      </c>
    </row>
    <row r="44" spans="1:18" ht="30">
      <c r="M44" t="s">
        <v>551</v>
      </c>
      <c r="N44" s="176" t="s">
        <v>541</v>
      </c>
      <c r="O44" s="147" t="s">
        <v>536</v>
      </c>
      <c r="P44" t="s">
        <v>532</v>
      </c>
      <c r="Q44" t="str">
        <f t="shared" si="0"/>
        <v>Nhóm 2Thành phốDưới đấtĐơn giá thuê vị trí đặt trạm BTS</v>
      </c>
      <c r="R44" s="146">
        <v>3000000</v>
      </c>
    </row>
    <row r="45" spans="1:18">
      <c r="M45" t="s">
        <v>551</v>
      </c>
      <c r="N45" s="176" t="s">
        <v>542</v>
      </c>
      <c r="O45" s="147" t="s">
        <v>536</v>
      </c>
      <c r="P45" t="s">
        <v>532</v>
      </c>
      <c r="Q45" t="str">
        <f t="shared" si="0"/>
        <v>Nhóm 2Thị xãDưới đấtĐơn giá thuê vị trí đặt trạm BTS</v>
      </c>
      <c r="R45" s="146">
        <v>2500000</v>
      </c>
    </row>
    <row r="46" spans="1:18" ht="30">
      <c r="M46" t="s">
        <v>551</v>
      </c>
      <c r="N46" s="176" t="s">
        <v>539</v>
      </c>
      <c r="O46" s="147" t="s">
        <v>536</v>
      </c>
      <c r="P46" t="s">
        <v>532</v>
      </c>
      <c r="Q46" t="str">
        <f t="shared" si="0"/>
        <v>Nhóm 2Thị trấn - HuyệnDưới đấtĐơn giá thuê vị trí đặt trạm BTS</v>
      </c>
      <c r="R46" s="146">
        <v>2500000</v>
      </c>
    </row>
    <row r="47" spans="1:18" ht="30">
      <c r="M47" t="s">
        <v>551</v>
      </c>
      <c r="N47" s="176" t="s">
        <v>540</v>
      </c>
      <c r="O47" s="147" t="s">
        <v>536</v>
      </c>
      <c r="P47" t="s">
        <v>532</v>
      </c>
      <c r="Q47" t="str">
        <f t="shared" si="0"/>
        <v>Nhóm 2Xã - HuyệnDưới đấtĐơn giá thuê vị trí đặt trạm BTS</v>
      </c>
      <c r="R47" s="146">
        <v>2000000</v>
      </c>
    </row>
    <row r="48" spans="1:18" ht="30">
      <c r="M48" t="s">
        <v>605</v>
      </c>
      <c r="N48" s="176" t="s">
        <v>541</v>
      </c>
      <c r="O48" s="147" t="s">
        <v>536</v>
      </c>
      <c r="P48" t="s">
        <v>532</v>
      </c>
      <c r="Q48" t="str">
        <f t="shared" si="0"/>
        <v>Nhóm3Thành phốDưới đấtĐơn giá thuê vị trí đặt trạm BTS</v>
      </c>
      <c r="R48" s="146">
        <v>3500000</v>
      </c>
    </row>
    <row r="49" spans="13:18">
      <c r="M49" t="s">
        <v>605</v>
      </c>
      <c r="N49" s="176" t="s">
        <v>542</v>
      </c>
      <c r="O49" s="147" t="s">
        <v>536</v>
      </c>
      <c r="P49" t="s">
        <v>532</v>
      </c>
      <c r="Q49" t="str">
        <f t="shared" si="0"/>
        <v>Nhóm3Thị xãDưới đấtĐơn giá thuê vị trí đặt trạm BTS</v>
      </c>
      <c r="R49" s="146">
        <v>3000000</v>
      </c>
    </row>
    <row r="50" spans="13:18" ht="30">
      <c r="M50" t="s">
        <v>605</v>
      </c>
      <c r="N50" s="176" t="s">
        <v>539</v>
      </c>
      <c r="O50" s="147" t="s">
        <v>536</v>
      </c>
      <c r="P50" t="s">
        <v>532</v>
      </c>
      <c r="Q50" t="str">
        <f t="shared" si="0"/>
        <v>Nhóm3Thị trấn - HuyệnDưới đấtĐơn giá thuê vị trí đặt trạm BTS</v>
      </c>
      <c r="R50" s="146">
        <v>3000000</v>
      </c>
    </row>
    <row r="51" spans="13:18" ht="30">
      <c r="M51" t="s">
        <v>605</v>
      </c>
      <c r="N51" s="176" t="s">
        <v>540</v>
      </c>
      <c r="O51" s="147" t="s">
        <v>536</v>
      </c>
      <c r="P51" t="s">
        <v>532</v>
      </c>
      <c r="Q51" t="str">
        <f t="shared" si="0"/>
        <v>Nhóm3Xã - HuyệnDưới đấtĐơn giá thuê vị trí đặt trạm BTS</v>
      </c>
      <c r="R51" s="146">
        <v>3000000</v>
      </c>
    </row>
    <row r="52" spans="13:18" ht="30">
      <c r="M52" t="s">
        <v>553</v>
      </c>
      <c r="N52" s="176" t="s">
        <v>541</v>
      </c>
      <c r="O52" s="147" t="s">
        <v>536</v>
      </c>
      <c r="P52" t="s">
        <v>532</v>
      </c>
      <c r="Q52" t="str">
        <f t="shared" si="0"/>
        <v>Nhóm 4Thành phốDưới đấtĐơn giá thuê vị trí đặt trạm BTS</v>
      </c>
      <c r="R52" s="146">
        <v>4000000</v>
      </c>
    </row>
    <row r="53" spans="13:18">
      <c r="M53" t="s">
        <v>553</v>
      </c>
      <c r="N53" s="176" t="s">
        <v>542</v>
      </c>
      <c r="O53" s="147" t="s">
        <v>536</v>
      </c>
      <c r="P53" t="s">
        <v>532</v>
      </c>
      <c r="Q53" t="str">
        <f t="shared" si="0"/>
        <v>Nhóm 4Thị xãDưới đấtĐơn giá thuê vị trí đặt trạm BTS</v>
      </c>
      <c r="R53" s="146">
        <v>3500000</v>
      </c>
    </row>
    <row r="54" spans="13:18" ht="30">
      <c r="M54" t="s">
        <v>553</v>
      </c>
      <c r="N54" s="176" t="s">
        <v>539</v>
      </c>
      <c r="O54" s="147" t="s">
        <v>536</v>
      </c>
      <c r="P54" t="s">
        <v>532</v>
      </c>
      <c r="Q54" t="str">
        <f t="shared" si="0"/>
        <v>Nhóm 4Thị trấn - HuyệnDưới đấtĐơn giá thuê vị trí đặt trạm BTS</v>
      </c>
      <c r="R54" s="146">
        <v>3500000</v>
      </c>
    </row>
    <row r="55" spans="13:18" ht="30">
      <c r="M55" t="s">
        <v>553</v>
      </c>
      <c r="N55" s="176" t="s">
        <v>540</v>
      </c>
      <c r="O55" s="147" t="s">
        <v>536</v>
      </c>
      <c r="P55" t="s">
        <v>532</v>
      </c>
      <c r="Q55" t="str">
        <f t="shared" si="0"/>
        <v>Nhóm 4Xã - HuyệnDưới đấtĐơn giá thuê vị trí đặt trạm BTS</v>
      </c>
      <c r="R55" s="146">
        <v>3000000</v>
      </c>
    </row>
    <row r="56" spans="13:18" ht="30">
      <c r="M56" t="s">
        <v>554</v>
      </c>
      <c r="N56" s="176" t="s">
        <v>541</v>
      </c>
      <c r="O56" s="147" t="s">
        <v>536</v>
      </c>
      <c r="P56" t="s">
        <v>532</v>
      </c>
      <c r="Q56" t="str">
        <f t="shared" si="0"/>
        <v>Nhóm 5Thành phốDưới đấtĐơn giá thuê vị trí đặt trạm BTS</v>
      </c>
      <c r="R56" s="146">
        <v>4000000</v>
      </c>
    </row>
    <row r="57" spans="13:18">
      <c r="M57" t="s">
        <v>554</v>
      </c>
      <c r="N57" s="176" t="s">
        <v>542</v>
      </c>
      <c r="O57" s="147" t="s">
        <v>536</v>
      </c>
      <c r="P57" t="s">
        <v>532</v>
      </c>
      <c r="Q57" t="str">
        <f t="shared" si="0"/>
        <v>Nhóm 5Thị xãDưới đấtĐơn giá thuê vị trí đặt trạm BTS</v>
      </c>
      <c r="R57" s="146">
        <v>2500000</v>
      </c>
    </row>
    <row r="58" spans="13:18" ht="30">
      <c r="M58" t="s">
        <v>554</v>
      </c>
      <c r="N58" s="176" t="s">
        <v>539</v>
      </c>
      <c r="O58" s="147" t="s">
        <v>536</v>
      </c>
      <c r="P58" t="s">
        <v>532</v>
      </c>
      <c r="Q58" t="str">
        <f t="shared" si="0"/>
        <v>Nhóm 5Thị trấn - HuyệnDưới đấtĐơn giá thuê vị trí đặt trạm BTS</v>
      </c>
      <c r="R58" s="146">
        <v>2500000</v>
      </c>
    </row>
    <row r="59" spans="13:18" ht="30">
      <c r="M59" t="s">
        <v>554</v>
      </c>
      <c r="N59" s="176" t="s">
        <v>540</v>
      </c>
      <c r="O59" s="147" t="s">
        <v>536</v>
      </c>
      <c r="P59" t="s">
        <v>532</v>
      </c>
      <c r="Q59" t="str">
        <f t="shared" si="0"/>
        <v>Nhóm 5Xã - HuyệnDưới đấtĐơn giá thuê vị trí đặt trạm BTS</v>
      </c>
      <c r="R59" s="146">
        <v>2000000</v>
      </c>
    </row>
    <row r="60" spans="13:18" ht="30">
      <c r="M60" t="s">
        <v>555</v>
      </c>
      <c r="N60" s="176" t="s">
        <v>541</v>
      </c>
      <c r="O60" s="147" t="s">
        <v>536</v>
      </c>
      <c r="P60" t="s">
        <v>532</v>
      </c>
      <c r="Q60" t="str">
        <f t="shared" si="0"/>
        <v>Nhóm 6Thành phốDưới đấtĐơn giá thuê vị trí đặt trạm BTS</v>
      </c>
      <c r="R60" s="146">
        <v>3000000</v>
      </c>
    </row>
    <row r="61" spans="13:18">
      <c r="M61" t="s">
        <v>555</v>
      </c>
      <c r="N61" s="176" t="s">
        <v>542</v>
      </c>
      <c r="O61" s="147" t="s">
        <v>536</v>
      </c>
      <c r="P61" t="s">
        <v>532</v>
      </c>
      <c r="Q61" t="str">
        <f t="shared" si="0"/>
        <v>Nhóm 6Thị xãDưới đấtĐơn giá thuê vị trí đặt trạm BTS</v>
      </c>
      <c r="R61" s="146">
        <v>3000000</v>
      </c>
    </row>
    <row r="62" spans="13:18" ht="30">
      <c r="M62" t="s">
        <v>555</v>
      </c>
      <c r="N62" s="176" t="s">
        <v>539</v>
      </c>
      <c r="O62" s="147" t="s">
        <v>536</v>
      </c>
      <c r="P62" t="s">
        <v>532</v>
      </c>
      <c r="Q62" t="str">
        <f t="shared" si="0"/>
        <v>Nhóm 6Thị trấn - HuyệnDưới đấtĐơn giá thuê vị trí đặt trạm BTS</v>
      </c>
      <c r="R62" s="146">
        <v>2500000</v>
      </c>
    </row>
    <row r="63" spans="13:18" ht="30">
      <c r="M63" t="s">
        <v>555</v>
      </c>
      <c r="N63" s="176" t="s">
        <v>540</v>
      </c>
      <c r="O63" s="147" t="s">
        <v>536</v>
      </c>
      <c r="P63" t="s">
        <v>532</v>
      </c>
      <c r="Q63" t="str">
        <f t="shared" si="0"/>
        <v>Nhóm 6Xã - HuyệnDưới đấtĐơn giá thuê vị trí đặt trạm BTS</v>
      </c>
      <c r="R63" s="146">
        <v>2000000</v>
      </c>
    </row>
    <row r="64" spans="13:18" ht="30">
      <c r="M64" t="s">
        <v>556</v>
      </c>
      <c r="N64" s="176" t="s">
        <v>541</v>
      </c>
      <c r="O64" s="147" t="s">
        <v>536</v>
      </c>
      <c r="P64" t="s">
        <v>532</v>
      </c>
      <c r="Q64" t="str">
        <f t="shared" si="0"/>
        <v>Nhóm 7Thành phốDưới đấtĐơn giá thuê vị trí đặt trạm BTS</v>
      </c>
      <c r="R64" s="146">
        <v>3500000</v>
      </c>
    </row>
    <row r="65" spans="12:18">
      <c r="M65" t="s">
        <v>556</v>
      </c>
      <c r="N65" s="176" t="s">
        <v>542</v>
      </c>
      <c r="O65" s="147" t="s">
        <v>536</v>
      </c>
      <c r="P65" t="s">
        <v>532</v>
      </c>
      <c r="Q65" t="str">
        <f t="shared" si="0"/>
        <v>Nhóm 7Thị xãDưới đấtĐơn giá thuê vị trí đặt trạm BTS</v>
      </c>
      <c r="R65" s="146">
        <v>3000000</v>
      </c>
    </row>
    <row r="66" spans="12:18" ht="30">
      <c r="M66" t="s">
        <v>556</v>
      </c>
      <c r="N66" s="176" t="s">
        <v>539</v>
      </c>
      <c r="O66" s="147" t="s">
        <v>536</v>
      </c>
      <c r="P66" t="s">
        <v>532</v>
      </c>
      <c r="Q66" t="str">
        <f t="shared" si="0"/>
        <v>Nhóm 7Thị trấn - HuyệnDưới đấtĐơn giá thuê vị trí đặt trạm BTS</v>
      </c>
      <c r="R66" s="146">
        <v>2500000</v>
      </c>
    </row>
    <row r="67" spans="12:18" ht="30">
      <c r="M67" t="s">
        <v>556</v>
      </c>
      <c r="N67" s="176" t="s">
        <v>540</v>
      </c>
      <c r="O67" s="147" t="s">
        <v>536</v>
      </c>
      <c r="P67" t="s">
        <v>532</v>
      </c>
      <c r="Q67" t="str">
        <f t="shared" si="0"/>
        <v>Nhóm 7Xã - HuyệnDưới đấtĐơn giá thuê vị trí đặt trạm BTS</v>
      </c>
      <c r="R67" s="146">
        <v>2500000</v>
      </c>
    </row>
    <row r="68" spans="12:18">
      <c r="M68" t="s">
        <v>557</v>
      </c>
      <c r="N68" s="176" t="s">
        <v>538</v>
      </c>
      <c r="O68" s="147" t="s">
        <v>536</v>
      </c>
      <c r="P68" t="s">
        <v>532</v>
      </c>
      <c r="Q68" t="str">
        <f t="shared" si="0"/>
        <v>Nhóm 8QuậnDưới đấtĐơn giá thuê vị trí đặt trạm BTS</v>
      </c>
      <c r="R68" s="146">
        <v>3000000</v>
      </c>
    </row>
    <row r="69" spans="12:18" ht="30">
      <c r="M69" t="s">
        <v>557</v>
      </c>
      <c r="N69" s="176" t="s">
        <v>541</v>
      </c>
      <c r="O69" s="147" t="s">
        <v>536</v>
      </c>
      <c r="P69" t="s">
        <v>532</v>
      </c>
      <c r="Q69" t="str">
        <f t="shared" ref="Q69:Q132" si="1">CONCATENATE(M69,N69,O69,P69)</f>
        <v>Nhóm 8Thành phốDưới đấtĐơn giá thuê vị trí đặt trạm BTS</v>
      </c>
      <c r="R69" s="146">
        <v>3000000</v>
      </c>
    </row>
    <row r="70" spans="12:18">
      <c r="M70" t="s">
        <v>557</v>
      </c>
      <c r="N70" s="176" t="s">
        <v>542</v>
      </c>
      <c r="O70" s="147" t="s">
        <v>536</v>
      </c>
      <c r="P70" t="s">
        <v>532</v>
      </c>
      <c r="Q70" t="str">
        <f t="shared" si="1"/>
        <v>Nhóm 8Thị xãDưới đấtĐơn giá thuê vị trí đặt trạm BTS</v>
      </c>
      <c r="R70" s="146">
        <v>2000000</v>
      </c>
    </row>
    <row r="71" spans="12:18" ht="30">
      <c r="M71" t="s">
        <v>557</v>
      </c>
      <c r="N71" s="176" t="s">
        <v>539</v>
      </c>
      <c r="O71" s="147" t="s">
        <v>536</v>
      </c>
      <c r="P71" t="s">
        <v>532</v>
      </c>
      <c r="Q71" t="str">
        <f t="shared" si="1"/>
        <v>Nhóm 8Thị trấn - HuyệnDưới đấtĐơn giá thuê vị trí đặt trạm BTS</v>
      </c>
      <c r="R71" s="146">
        <v>2000000</v>
      </c>
    </row>
    <row r="72" spans="12:18" ht="30">
      <c r="M72" t="s">
        <v>557</v>
      </c>
      <c r="N72" s="176" t="s">
        <v>540</v>
      </c>
      <c r="O72" s="147" t="s">
        <v>536</v>
      </c>
      <c r="P72" t="s">
        <v>532</v>
      </c>
      <c r="Q72" t="str">
        <f t="shared" si="1"/>
        <v>Nhóm 8Xã - HuyệnDưới đấtĐơn giá thuê vị trí đặt trạm BTS</v>
      </c>
      <c r="R72" s="146">
        <v>2000000</v>
      </c>
    </row>
    <row r="73" spans="12:18">
      <c r="M73" t="s">
        <v>558</v>
      </c>
      <c r="N73" s="176" t="s">
        <v>538</v>
      </c>
      <c r="O73" s="147" t="s">
        <v>536</v>
      </c>
      <c r="P73" t="s">
        <v>532</v>
      </c>
      <c r="Q73" t="str">
        <f t="shared" si="1"/>
        <v>Nhóm 9QuậnDưới đấtĐơn giá thuê vị trí đặt trạm BTS</v>
      </c>
      <c r="R73" s="146">
        <v>5000000</v>
      </c>
    </row>
    <row r="74" spans="12:18" ht="30">
      <c r="M74" t="s">
        <v>558</v>
      </c>
      <c r="N74" s="176" t="s">
        <v>541</v>
      </c>
      <c r="O74" s="147" t="s">
        <v>536</v>
      </c>
      <c r="P74" t="s">
        <v>532</v>
      </c>
      <c r="Q74" t="str">
        <f t="shared" si="1"/>
        <v>Nhóm 9Thành phốDưới đấtĐơn giá thuê vị trí đặt trạm BTS</v>
      </c>
      <c r="R74" s="146">
        <v>4000000</v>
      </c>
    </row>
    <row r="75" spans="12:18">
      <c r="M75" t="s">
        <v>558</v>
      </c>
      <c r="N75" s="176" t="s">
        <v>542</v>
      </c>
      <c r="O75" s="147" t="s">
        <v>536</v>
      </c>
      <c r="P75" t="s">
        <v>532</v>
      </c>
      <c r="Q75" t="str">
        <f t="shared" si="1"/>
        <v>Nhóm 9Thị xãDưới đấtĐơn giá thuê vị trí đặt trạm BTS</v>
      </c>
      <c r="R75" s="146">
        <v>4000000</v>
      </c>
    </row>
    <row r="76" spans="12:18" ht="30">
      <c r="M76" t="s">
        <v>558</v>
      </c>
      <c r="N76" s="176" t="s">
        <v>539</v>
      </c>
      <c r="O76" s="147" t="s">
        <v>536</v>
      </c>
      <c r="P76" t="s">
        <v>532</v>
      </c>
      <c r="Q76" t="str">
        <f t="shared" si="1"/>
        <v>Nhóm 9Thị trấn - HuyệnDưới đấtĐơn giá thuê vị trí đặt trạm BTS</v>
      </c>
      <c r="R76" s="146">
        <v>3500000</v>
      </c>
    </row>
    <row r="77" spans="12:18" ht="30">
      <c r="M77" t="s">
        <v>558</v>
      </c>
      <c r="N77" s="176" t="s">
        <v>540</v>
      </c>
      <c r="O77" s="147" t="s">
        <v>536</v>
      </c>
      <c r="P77" t="s">
        <v>532</v>
      </c>
      <c r="Q77" t="str">
        <f t="shared" si="1"/>
        <v>Nhóm 9Xã - HuyệnDưới đấtĐơn giá thuê vị trí đặt trạm BTS</v>
      </c>
      <c r="R77" s="146">
        <v>3000000</v>
      </c>
    </row>
    <row r="78" spans="12:18">
      <c r="L78">
        <v>2</v>
      </c>
      <c r="M78" t="s">
        <v>550</v>
      </c>
      <c r="N78" s="188" t="s">
        <v>538</v>
      </c>
      <c r="O78" s="187" t="s">
        <v>535</v>
      </c>
      <c r="P78" t="s">
        <v>533</v>
      </c>
      <c r="Q78" t="str">
        <f t="shared" si="1"/>
        <v>Nhóm 1QuậnTrên máiĐơn giá thuê vị trí đặt trạm RRU</v>
      </c>
      <c r="R78" s="146">
        <v>2500000</v>
      </c>
    </row>
    <row r="79" spans="12:18" ht="30">
      <c r="M79" t="s">
        <v>550</v>
      </c>
      <c r="N79" s="176" t="s">
        <v>539</v>
      </c>
      <c r="O79" s="187" t="s">
        <v>535</v>
      </c>
      <c r="P79" t="s">
        <v>533</v>
      </c>
      <c r="Q79" t="str">
        <f t="shared" si="1"/>
        <v>Nhóm 1Thị trấn - HuyệnTrên máiĐơn giá thuê vị trí đặt trạm RRU</v>
      </c>
      <c r="R79" s="146">
        <v>2500000</v>
      </c>
    </row>
    <row r="80" spans="12:18" ht="30">
      <c r="M80" t="s">
        <v>550</v>
      </c>
      <c r="N80" s="176" t="s">
        <v>540</v>
      </c>
      <c r="O80" s="187" t="s">
        <v>535</v>
      </c>
      <c r="P80" t="s">
        <v>533</v>
      </c>
      <c r="Q80" t="str">
        <f t="shared" si="1"/>
        <v>Nhóm 1Xã - HuyệnTrên máiĐơn giá thuê vị trí đặt trạm RRU</v>
      </c>
      <c r="R80" s="146">
        <v>2100000</v>
      </c>
    </row>
    <row r="81" spans="13:18" ht="30">
      <c r="M81" t="s">
        <v>551</v>
      </c>
      <c r="N81" s="176" t="s">
        <v>541</v>
      </c>
      <c r="O81" s="187" t="s">
        <v>535</v>
      </c>
      <c r="P81" t="s">
        <v>533</v>
      </c>
      <c r="Q81" t="str">
        <f t="shared" si="1"/>
        <v>Nhóm 2Thành phốTrên máiĐơn giá thuê vị trí đặt trạm RRU</v>
      </c>
      <c r="R81" s="146">
        <v>1500000</v>
      </c>
    </row>
    <row r="82" spans="13:18">
      <c r="M82" t="s">
        <v>551</v>
      </c>
      <c r="N82" s="176" t="s">
        <v>542</v>
      </c>
      <c r="O82" s="187" t="s">
        <v>535</v>
      </c>
      <c r="P82" t="s">
        <v>533</v>
      </c>
      <c r="Q82" t="str">
        <f t="shared" si="1"/>
        <v>Nhóm 2Thị xãTrên máiĐơn giá thuê vị trí đặt trạm RRU</v>
      </c>
      <c r="R82" s="146">
        <v>1300000</v>
      </c>
    </row>
    <row r="83" spans="13:18" ht="30">
      <c r="M83" t="s">
        <v>551</v>
      </c>
      <c r="N83" s="176" t="s">
        <v>539</v>
      </c>
      <c r="O83" s="187" t="s">
        <v>535</v>
      </c>
      <c r="P83" t="s">
        <v>533</v>
      </c>
      <c r="Q83" t="str">
        <f t="shared" si="1"/>
        <v>Nhóm 2Thị trấn - HuyệnTrên máiĐơn giá thuê vị trí đặt trạm RRU</v>
      </c>
      <c r="R83" s="146">
        <v>1300000</v>
      </c>
    </row>
    <row r="84" spans="13:18" ht="30">
      <c r="M84" t="s">
        <v>551</v>
      </c>
      <c r="N84" s="176" t="s">
        <v>540</v>
      </c>
      <c r="O84" s="187" t="s">
        <v>535</v>
      </c>
      <c r="P84" t="s">
        <v>533</v>
      </c>
      <c r="Q84" t="str">
        <f t="shared" si="1"/>
        <v>Nhóm 2Xã - HuyệnTrên máiĐơn giá thuê vị trí đặt trạm RRU</v>
      </c>
      <c r="R84" s="146">
        <v>1100000</v>
      </c>
    </row>
    <row r="85" spans="13:18" ht="30">
      <c r="M85" t="s">
        <v>605</v>
      </c>
      <c r="N85" s="176" t="s">
        <v>541</v>
      </c>
      <c r="O85" s="187" t="s">
        <v>535</v>
      </c>
      <c r="P85" t="s">
        <v>533</v>
      </c>
      <c r="Q85" t="str">
        <f t="shared" si="1"/>
        <v>Nhóm3Thành phốTrên máiĐơn giá thuê vị trí đặt trạm RRU</v>
      </c>
      <c r="R85" s="146">
        <v>1500000</v>
      </c>
    </row>
    <row r="86" spans="13:18">
      <c r="M86" t="s">
        <v>605</v>
      </c>
      <c r="N86" s="176" t="s">
        <v>542</v>
      </c>
      <c r="O86" s="187" t="s">
        <v>535</v>
      </c>
      <c r="P86" t="s">
        <v>533</v>
      </c>
      <c r="Q86" t="str">
        <f t="shared" si="1"/>
        <v>Nhóm3Thị xãTrên máiĐơn giá thuê vị trí đặt trạm RRU</v>
      </c>
      <c r="R86" s="146">
        <v>1500000</v>
      </c>
    </row>
    <row r="87" spans="13:18" ht="30">
      <c r="M87" t="s">
        <v>605</v>
      </c>
      <c r="N87" s="176" t="s">
        <v>539</v>
      </c>
      <c r="O87" s="187" t="s">
        <v>535</v>
      </c>
      <c r="P87" t="s">
        <v>533</v>
      </c>
      <c r="Q87" t="str">
        <f t="shared" si="1"/>
        <v>Nhóm3Thị trấn - HuyệnTrên máiĐơn giá thuê vị trí đặt trạm RRU</v>
      </c>
      <c r="R87" s="146">
        <v>1100000</v>
      </c>
    </row>
    <row r="88" spans="13:18" ht="30">
      <c r="M88" t="s">
        <v>605</v>
      </c>
      <c r="N88" s="176" t="s">
        <v>540</v>
      </c>
      <c r="O88" s="187" t="s">
        <v>535</v>
      </c>
      <c r="P88" t="s">
        <v>533</v>
      </c>
      <c r="Q88" t="str">
        <f t="shared" si="1"/>
        <v>Nhóm3Xã - HuyệnTrên máiĐơn giá thuê vị trí đặt trạm RRU</v>
      </c>
      <c r="R88" s="146">
        <v>1100000</v>
      </c>
    </row>
    <row r="89" spans="13:18" ht="30">
      <c r="M89" t="s">
        <v>553</v>
      </c>
      <c r="N89" s="176" t="s">
        <v>541</v>
      </c>
      <c r="O89" s="187" t="s">
        <v>535</v>
      </c>
      <c r="P89" t="s">
        <v>533</v>
      </c>
      <c r="Q89" t="str">
        <f t="shared" si="1"/>
        <v>Nhóm 4Thành phốTrên máiĐơn giá thuê vị trí đặt trạm RRU</v>
      </c>
      <c r="R89" s="146">
        <v>1700000</v>
      </c>
    </row>
    <row r="90" spans="13:18">
      <c r="M90" t="s">
        <v>553</v>
      </c>
      <c r="N90" s="176" t="s">
        <v>542</v>
      </c>
      <c r="O90" s="187" t="s">
        <v>535</v>
      </c>
      <c r="P90" t="s">
        <v>533</v>
      </c>
      <c r="Q90" t="str">
        <f t="shared" si="1"/>
        <v>Nhóm 4Thị xãTrên máiĐơn giá thuê vị trí đặt trạm RRU</v>
      </c>
      <c r="R90" s="146">
        <v>1500000</v>
      </c>
    </row>
    <row r="91" spans="13:18" ht="30">
      <c r="M91" t="s">
        <v>553</v>
      </c>
      <c r="N91" s="176" t="s">
        <v>539</v>
      </c>
      <c r="O91" s="187" t="s">
        <v>535</v>
      </c>
      <c r="P91" t="s">
        <v>533</v>
      </c>
      <c r="Q91" t="str">
        <f t="shared" si="1"/>
        <v>Nhóm 4Thị trấn - HuyệnTrên máiĐơn giá thuê vị trí đặt trạm RRU</v>
      </c>
      <c r="R91" s="146">
        <v>1300000</v>
      </c>
    </row>
    <row r="92" spans="13:18" ht="30">
      <c r="M92" t="s">
        <v>553</v>
      </c>
      <c r="N92" s="176" t="s">
        <v>540</v>
      </c>
      <c r="O92" s="187" t="s">
        <v>535</v>
      </c>
      <c r="P92" t="s">
        <v>533</v>
      </c>
      <c r="Q92" t="str">
        <f t="shared" si="1"/>
        <v>Nhóm 4Xã - HuyệnTrên máiĐơn giá thuê vị trí đặt trạm RRU</v>
      </c>
      <c r="R92" s="146">
        <v>1300000</v>
      </c>
    </row>
    <row r="93" spans="13:18" ht="30">
      <c r="M93" t="s">
        <v>554</v>
      </c>
      <c r="N93" s="176" t="s">
        <v>541</v>
      </c>
      <c r="O93" s="187" t="s">
        <v>535</v>
      </c>
      <c r="P93" t="s">
        <v>533</v>
      </c>
      <c r="Q93" t="str">
        <f t="shared" si="1"/>
        <v>Nhóm 5Thành phốTrên máiĐơn giá thuê vị trí đặt trạm RRU</v>
      </c>
      <c r="R93" s="146">
        <v>1700000</v>
      </c>
    </row>
    <row r="94" spans="13:18">
      <c r="M94" t="s">
        <v>554</v>
      </c>
      <c r="N94" s="176" t="s">
        <v>542</v>
      </c>
      <c r="O94" s="187" t="s">
        <v>535</v>
      </c>
      <c r="P94" t="s">
        <v>533</v>
      </c>
      <c r="Q94" t="str">
        <f t="shared" si="1"/>
        <v>Nhóm 5Thị xãTrên máiĐơn giá thuê vị trí đặt trạm RRU</v>
      </c>
      <c r="R94" s="146">
        <v>1500000</v>
      </c>
    </row>
    <row r="95" spans="13:18" ht="30">
      <c r="M95" t="s">
        <v>554</v>
      </c>
      <c r="N95" s="176" t="s">
        <v>539</v>
      </c>
      <c r="O95" s="187" t="s">
        <v>535</v>
      </c>
      <c r="P95" t="s">
        <v>533</v>
      </c>
      <c r="Q95" t="str">
        <f t="shared" si="1"/>
        <v>Nhóm 5Thị trấn - HuyệnTrên máiĐơn giá thuê vị trí đặt trạm RRU</v>
      </c>
      <c r="R95" s="146">
        <v>1300000</v>
      </c>
    </row>
    <row r="96" spans="13:18" ht="30">
      <c r="M96" t="s">
        <v>554</v>
      </c>
      <c r="N96" s="176" t="s">
        <v>540</v>
      </c>
      <c r="O96" s="187" t="s">
        <v>535</v>
      </c>
      <c r="P96" t="s">
        <v>533</v>
      </c>
      <c r="Q96" t="str">
        <f t="shared" si="1"/>
        <v>Nhóm 5Xã - HuyệnTrên máiĐơn giá thuê vị trí đặt trạm RRU</v>
      </c>
      <c r="R96" s="146">
        <v>1100000</v>
      </c>
    </row>
    <row r="97" spans="13:18" ht="30">
      <c r="M97" t="s">
        <v>555</v>
      </c>
      <c r="N97" s="176" t="s">
        <v>541</v>
      </c>
      <c r="O97" s="187" t="s">
        <v>535</v>
      </c>
      <c r="P97" t="s">
        <v>533</v>
      </c>
      <c r="Q97" t="str">
        <f t="shared" si="1"/>
        <v>Nhóm 6Thành phốTrên máiĐơn giá thuê vị trí đặt trạm RRU</v>
      </c>
      <c r="R97" s="146">
        <v>1500000</v>
      </c>
    </row>
    <row r="98" spans="13:18">
      <c r="M98" t="s">
        <v>555</v>
      </c>
      <c r="N98" s="176" t="s">
        <v>542</v>
      </c>
      <c r="O98" s="187" t="s">
        <v>535</v>
      </c>
      <c r="P98" t="s">
        <v>533</v>
      </c>
      <c r="Q98" t="str">
        <f t="shared" si="1"/>
        <v>Nhóm 6Thị xãTrên máiĐơn giá thuê vị trí đặt trạm RRU</v>
      </c>
      <c r="R98" s="146">
        <v>1300000</v>
      </c>
    </row>
    <row r="99" spans="13:18" ht="30">
      <c r="M99" t="s">
        <v>555</v>
      </c>
      <c r="N99" s="176" t="s">
        <v>539</v>
      </c>
      <c r="O99" s="187" t="s">
        <v>535</v>
      </c>
      <c r="P99" t="s">
        <v>533</v>
      </c>
      <c r="Q99" t="str">
        <f t="shared" si="1"/>
        <v>Nhóm 6Thị trấn - HuyệnTrên máiĐơn giá thuê vị trí đặt trạm RRU</v>
      </c>
      <c r="R99" s="146">
        <v>1100000</v>
      </c>
    </row>
    <row r="100" spans="13:18" ht="30">
      <c r="M100" t="s">
        <v>555</v>
      </c>
      <c r="N100" s="176" t="s">
        <v>540</v>
      </c>
      <c r="O100" s="187" t="s">
        <v>535</v>
      </c>
      <c r="P100" t="s">
        <v>533</v>
      </c>
      <c r="Q100" t="str">
        <f t="shared" si="1"/>
        <v>Nhóm 6Xã - HuyệnTrên máiĐơn giá thuê vị trí đặt trạm RRU</v>
      </c>
      <c r="R100" s="146">
        <v>800000</v>
      </c>
    </row>
    <row r="101" spans="13:18" ht="30">
      <c r="M101" t="s">
        <v>556</v>
      </c>
      <c r="N101" s="176" t="s">
        <v>541</v>
      </c>
      <c r="O101" s="187" t="s">
        <v>535</v>
      </c>
      <c r="P101" t="s">
        <v>533</v>
      </c>
      <c r="Q101" t="str">
        <f t="shared" si="1"/>
        <v>Nhóm 7Thành phốTrên máiĐơn giá thuê vị trí đặt trạm RRU</v>
      </c>
      <c r="R101" s="146">
        <v>1700000</v>
      </c>
    </row>
    <row r="102" spans="13:18">
      <c r="M102" t="s">
        <v>556</v>
      </c>
      <c r="N102" s="176" t="s">
        <v>542</v>
      </c>
      <c r="O102" s="187" t="s">
        <v>535</v>
      </c>
      <c r="P102" t="s">
        <v>533</v>
      </c>
      <c r="Q102" t="str">
        <f t="shared" si="1"/>
        <v>Nhóm 7Thị xãTrên máiĐơn giá thuê vị trí đặt trạm RRU</v>
      </c>
      <c r="R102" s="146">
        <v>1500000</v>
      </c>
    </row>
    <row r="103" spans="13:18" ht="30">
      <c r="M103" t="s">
        <v>556</v>
      </c>
      <c r="N103" s="176" t="s">
        <v>539</v>
      </c>
      <c r="O103" s="187" t="s">
        <v>535</v>
      </c>
      <c r="P103" t="s">
        <v>533</v>
      </c>
      <c r="Q103" t="str">
        <f t="shared" si="1"/>
        <v>Nhóm 7Thị trấn - HuyệnTrên máiĐơn giá thuê vị trí đặt trạm RRU</v>
      </c>
      <c r="R103" s="146">
        <v>1100000</v>
      </c>
    </row>
    <row r="104" spans="13:18" ht="30">
      <c r="M104" t="s">
        <v>556</v>
      </c>
      <c r="N104" s="176" t="s">
        <v>540</v>
      </c>
      <c r="O104" s="187" t="s">
        <v>535</v>
      </c>
      <c r="P104" t="s">
        <v>533</v>
      </c>
      <c r="Q104" t="str">
        <f t="shared" si="1"/>
        <v>Nhóm 7Xã - HuyệnTrên máiĐơn giá thuê vị trí đặt trạm RRU</v>
      </c>
      <c r="R104" s="146">
        <v>1000000</v>
      </c>
    </row>
    <row r="105" spans="13:18">
      <c r="M105" t="s">
        <v>557</v>
      </c>
      <c r="N105" s="176" t="s">
        <v>538</v>
      </c>
      <c r="O105" s="187" t="s">
        <v>535</v>
      </c>
      <c r="P105" t="s">
        <v>533</v>
      </c>
      <c r="Q105" t="str">
        <f t="shared" si="1"/>
        <v>Nhóm 8QuậnTrên máiĐơn giá thuê vị trí đặt trạm RRU</v>
      </c>
      <c r="R105" s="146">
        <v>1900000</v>
      </c>
    </row>
    <row r="106" spans="13:18" ht="30">
      <c r="M106" t="s">
        <v>557</v>
      </c>
      <c r="N106" s="176" t="s">
        <v>541</v>
      </c>
      <c r="O106" s="187" t="s">
        <v>535</v>
      </c>
      <c r="P106" t="s">
        <v>533</v>
      </c>
      <c r="Q106" t="str">
        <f t="shared" si="1"/>
        <v>Nhóm 8Thành phốTrên máiĐơn giá thuê vị trí đặt trạm RRU</v>
      </c>
      <c r="R106" s="146">
        <v>1500000</v>
      </c>
    </row>
    <row r="107" spans="13:18">
      <c r="M107" t="s">
        <v>557</v>
      </c>
      <c r="N107" s="176" t="s">
        <v>542</v>
      </c>
      <c r="O107" s="187" t="s">
        <v>535</v>
      </c>
      <c r="P107" t="s">
        <v>533</v>
      </c>
      <c r="Q107" t="str">
        <f t="shared" si="1"/>
        <v>Nhóm 8Thị xãTrên máiĐơn giá thuê vị trí đặt trạm RRU</v>
      </c>
      <c r="R107" s="146">
        <v>1300000</v>
      </c>
    </row>
    <row r="108" spans="13:18" ht="30">
      <c r="M108" t="s">
        <v>557</v>
      </c>
      <c r="N108" s="176" t="s">
        <v>539</v>
      </c>
      <c r="O108" s="187" t="s">
        <v>535</v>
      </c>
      <c r="P108" t="s">
        <v>533</v>
      </c>
      <c r="Q108" t="str">
        <f t="shared" si="1"/>
        <v>Nhóm 8Thị trấn - HuyệnTrên máiĐơn giá thuê vị trí đặt trạm RRU</v>
      </c>
      <c r="R108" s="146">
        <v>1100000</v>
      </c>
    </row>
    <row r="109" spans="13:18" ht="30">
      <c r="M109" t="s">
        <v>557</v>
      </c>
      <c r="N109" s="176" t="s">
        <v>540</v>
      </c>
      <c r="O109" s="187" t="s">
        <v>535</v>
      </c>
      <c r="P109" t="s">
        <v>533</v>
      </c>
      <c r="Q109" t="str">
        <f t="shared" si="1"/>
        <v>Nhóm 8Xã - HuyệnTrên máiĐơn giá thuê vị trí đặt trạm RRU</v>
      </c>
      <c r="R109" s="146">
        <v>1000000</v>
      </c>
    </row>
    <row r="110" spans="13:18">
      <c r="M110" t="s">
        <v>558</v>
      </c>
      <c r="N110" s="176" t="s">
        <v>538</v>
      </c>
      <c r="O110" s="187" t="s">
        <v>535</v>
      </c>
      <c r="P110" t="s">
        <v>533</v>
      </c>
      <c r="Q110" t="str">
        <f t="shared" si="1"/>
        <v>Nhóm 9QuậnTrên máiĐơn giá thuê vị trí đặt trạm RRU</v>
      </c>
      <c r="R110" s="146">
        <v>1900000</v>
      </c>
    </row>
    <row r="111" spans="13:18" ht="30">
      <c r="M111" t="s">
        <v>558</v>
      </c>
      <c r="N111" s="176" t="s">
        <v>541</v>
      </c>
      <c r="O111" s="187" t="s">
        <v>535</v>
      </c>
      <c r="P111" t="s">
        <v>533</v>
      </c>
      <c r="Q111" t="str">
        <f t="shared" si="1"/>
        <v>Nhóm 9Thành phốTrên máiĐơn giá thuê vị trí đặt trạm RRU</v>
      </c>
      <c r="R111" s="146">
        <v>1900000</v>
      </c>
    </row>
    <row r="112" spans="13:18">
      <c r="M112" t="s">
        <v>558</v>
      </c>
      <c r="N112" s="176" t="s">
        <v>542</v>
      </c>
      <c r="O112" s="187" t="s">
        <v>535</v>
      </c>
      <c r="P112" t="s">
        <v>533</v>
      </c>
      <c r="Q112" t="str">
        <f t="shared" si="1"/>
        <v>Nhóm 9Thị xãTrên máiĐơn giá thuê vị trí đặt trạm RRU</v>
      </c>
      <c r="R112" s="146">
        <v>1700000</v>
      </c>
    </row>
    <row r="113" spans="13:18" ht="30">
      <c r="M113" t="s">
        <v>558</v>
      </c>
      <c r="N113" s="176" t="s">
        <v>539</v>
      </c>
      <c r="O113" s="187" t="s">
        <v>535</v>
      </c>
      <c r="P113" t="s">
        <v>533</v>
      </c>
      <c r="Q113" t="str">
        <f t="shared" si="1"/>
        <v>Nhóm 9Thị trấn - HuyệnTrên máiĐơn giá thuê vị trí đặt trạm RRU</v>
      </c>
      <c r="R113" s="146">
        <v>1500000</v>
      </c>
    </row>
    <row r="114" spans="13:18" ht="30">
      <c r="M114" t="s">
        <v>558</v>
      </c>
      <c r="N114" s="176" t="s">
        <v>540</v>
      </c>
      <c r="O114" s="187" t="s">
        <v>535</v>
      </c>
      <c r="P114" t="s">
        <v>533</v>
      </c>
      <c r="Q114" t="str">
        <f t="shared" si="1"/>
        <v>Nhóm 9Xã - HuyệnTrên máiĐơn giá thuê vị trí đặt trạm RRU</v>
      </c>
      <c r="R114" s="146">
        <v>1500000</v>
      </c>
    </row>
    <row r="115" spans="13:18">
      <c r="M115" t="s">
        <v>550</v>
      </c>
      <c r="N115" s="188" t="s">
        <v>538</v>
      </c>
      <c r="O115" s="147" t="s">
        <v>536</v>
      </c>
      <c r="P115" t="s">
        <v>533</v>
      </c>
      <c r="Q115" t="str">
        <f t="shared" si="1"/>
        <v>Nhóm 1QuậnDưới đấtĐơn giá thuê vị trí đặt trạm RRU</v>
      </c>
      <c r="R115" s="146">
        <v>2000000</v>
      </c>
    </row>
    <row r="116" spans="13:18" ht="30">
      <c r="M116" t="s">
        <v>550</v>
      </c>
      <c r="N116" s="176" t="s">
        <v>539</v>
      </c>
      <c r="O116" s="147" t="s">
        <v>536</v>
      </c>
      <c r="P116" t="s">
        <v>533</v>
      </c>
      <c r="Q116" t="str">
        <f t="shared" si="1"/>
        <v>Nhóm 1Thị trấn - HuyệnDưới đấtĐơn giá thuê vị trí đặt trạm RRU</v>
      </c>
      <c r="R116" s="146">
        <v>1700000</v>
      </c>
    </row>
    <row r="117" spans="13:18" ht="30">
      <c r="M117" t="s">
        <v>550</v>
      </c>
      <c r="N117" s="176" t="s">
        <v>540</v>
      </c>
      <c r="O117" s="147" t="s">
        <v>536</v>
      </c>
      <c r="P117" t="s">
        <v>533</v>
      </c>
      <c r="Q117" t="str">
        <f t="shared" si="1"/>
        <v>Nhóm 1Xã - HuyệnDưới đấtĐơn giá thuê vị trí đặt trạm RRU</v>
      </c>
      <c r="R117" s="146">
        <v>1700000</v>
      </c>
    </row>
    <row r="118" spans="13:18" ht="30">
      <c r="M118" t="s">
        <v>551</v>
      </c>
      <c r="N118" s="176" t="s">
        <v>541</v>
      </c>
      <c r="O118" s="147" t="s">
        <v>536</v>
      </c>
      <c r="P118" t="s">
        <v>533</v>
      </c>
      <c r="Q118" t="str">
        <f t="shared" si="1"/>
        <v>Nhóm 2Thành phốDưới đấtĐơn giá thuê vị trí đặt trạm RRU</v>
      </c>
      <c r="R118" s="146">
        <v>1100000</v>
      </c>
    </row>
    <row r="119" spans="13:18">
      <c r="M119" t="s">
        <v>551</v>
      </c>
      <c r="N119" s="176" t="s">
        <v>542</v>
      </c>
      <c r="O119" s="147" t="s">
        <v>536</v>
      </c>
      <c r="P119" t="s">
        <v>533</v>
      </c>
      <c r="Q119" t="str">
        <f t="shared" si="1"/>
        <v>Nhóm 2Thị xãDưới đấtĐơn giá thuê vị trí đặt trạm RRU</v>
      </c>
      <c r="R119" s="146">
        <v>1000000</v>
      </c>
    </row>
    <row r="120" spans="13:18" ht="30">
      <c r="M120" t="s">
        <v>551</v>
      </c>
      <c r="N120" s="176" t="s">
        <v>539</v>
      </c>
      <c r="O120" s="147" t="s">
        <v>536</v>
      </c>
      <c r="P120" t="s">
        <v>533</v>
      </c>
      <c r="Q120" t="str">
        <f t="shared" si="1"/>
        <v>Nhóm 2Thị trấn - HuyệnDưới đấtĐơn giá thuê vị trí đặt trạm RRU</v>
      </c>
      <c r="R120" s="146">
        <v>1000000</v>
      </c>
    </row>
    <row r="121" spans="13:18" ht="30">
      <c r="M121" t="s">
        <v>551</v>
      </c>
      <c r="N121" s="176" t="s">
        <v>540</v>
      </c>
      <c r="O121" s="147" t="s">
        <v>536</v>
      </c>
      <c r="P121" t="s">
        <v>533</v>
      </c>
      <c r="Q121" t="str">
        <f t="shared" si="1"/>
        <v>Nhóm 2Xã - HuyệnDưới đấtĐơn giá thuê vị trí đặt trạm RRU</v>
      </c>
      <c r="R121" s="146">
        <v>800000</v>
      </c>
    </row>
    <row r="122" spans="13:18" ht="30">
      <c r="M122" t="s">
        <v>605</v>
      </c>
      <c r="N122" s="176" t="s">
        <v>541</v>
      </c>
      <c r="O122" s="147" t="s">
        <v>536</v>
      </c>
      <c r="P122" t="s">
        <v>533</v>
      </c>
      <c r="Q122" t="str">
        <f t="shared" si="1"/>
        <v>Nhóm3Thành phốDưới đấtĐơn giá thuê vị trí đặt trạm RRU</v>
      </c>
      <c r="R122" s="146">
        <v>1300000</v>
      </c>
    </row>
    <row r="123" spans="13:18">
      <c r="M123" t="s">
        <v>605</v>
      </c>
      <c r="N123" s="176" t="s">
        <v>542</v>
      </c>
      <c r="O123" s="147" t="s">
        <v>536</v>
      </c>
      <c r="P123" t="s">
        <v>533</v>
      </c>
      <c r="Q123" t="str">
        <f t="shared" si="1"/>
        <v>Nhóm3Thị xãDưới đấtĐơn giá thuê vị trí đặt trạm RRU</v>
      </c>
      <c r="R123" s="146">
        <v>1100000</v>
      </c>
    </row>
    <row r="124" spans="13:18" ht="30">
      <c r="M124" t="s">
        <v>605</v>
      </c>
      <c r="N124" s="176" t="s">
        <v>539</v>
      </c>
      <c r="O124" s="147" t="s">
        <v>536</v>
      </c>
      <c r="P124" t="s">
        <v>533</v>
      </c>
      <c r="Q124" t="str">
        <f t="shared" si="1"/>
        <v>Nhóm3Thị trấn - HuyệnDưới đấtĐơn giá thuê vị trí đặt trạm RRU</v>
      </c>
      <c r="R124" s="146">
        <v>1100000</v>
      </c>
    </row>
    <row r="125" spans="13:18" ht="30">
      <c r="M125" t="s">
        <v>605</v>
      </c>
      <c r="N125" s="176" t="s">
        <v>540</v>
      </c>
      <c r="O125" s="147" t="s">
        <v>536</v>
      </c>
      <c r="P125" t="s">
        <v>533</v>
      </c>
      <c r="Q125" t="str">
        <f t="shared" si="1"/>
        <v>Nhóm3Xã - HuyệnDưới đấtĐơn giá thuê vị trí đặt trạm RRU</v>
      </c>
      <c r="R125" s="146">
        <v>1100000</v>
      </c>
    </row>
    <row r="126" spans="13:18" ht="30">
      <c r="M126" t="s">
        <v>553</v>
      </c>
      <c r="N126" s="176" t="s">
        <v>541</v>
      </c>
      <c r="O126" s="147" t="s">
        <v>536</v>
      </c>
      <c r="P126" t="s">
        <v>533</v>
      </c>
      <c r="Q126" t="str">
        <f t="shared" si="1"/>
        <v>Nhóm 4Thành phốDưới đấtĐơn giá thuê vị trí đặt trạm RRU</v>
      </c>
      <c r="R126" s="146">
        <v>1500000</v>
      </c>
    </row>
    <row r="127" spans="13:18">
      <c r="M127" t="s">
        <v>553</v>
      </c>
      <c r="N127" s="176" t="s">
        <v>542</v>
      </c>
      <c r="O127" s="147" t="s">
        <v>536</v>
      </c>
      <c r="P127" t="s">
        <v>533</v>
      </c>
      <c r="Q127" t="str">
        <f t="shared" si="1"/>
        <v>Nhóm 4Thị xãDưới đấtĐơn giá thuê vị trí đặt trạm RRU</v>
      </c>
      <c r="R127" s="146">
        <v>1300000</v>
      </c>
    </row>
    <row r="128" spans="13:18" ht="30">
      <c r="M128" t="s">
        <v>553</v>
      </c>
      <c r="N128" s="176" t="s">
        <v>539</v>
      </c>
      <c r="O128" s="147" t="s">
        <v>536</v>
      </c>
      <c r="P128" t="s">
        <v>533</v>
      </c>
      <c r="Q128" t="str">
        <f t="shared" si="1"/>
        <v>Nhóm 4Thị trấn - HuyệnDưới đấtĐơn giá thuê vị trí đặt trạm RRU</v>
      </c>
      <c r="R128" s="146">
        <v>1300000</v>
      </c>
    </row>
    <row r="129" spans="13:18" ht="30">
      <c r="M129" t="s">
        <v>553</v>
      </c>
      <c r="N129" s="176" t="s">
        <v>540</v>
      </c>
      <c r="O129" s="147" t="s">
        <v>536</v>
      </c>
      <c r="P129" t="s">
        <v>533</v>
      </c>
      <c r="Q129" t="str">
        <f t="shared" si="1"/>
        <v>Nhóm 4Xã - HuyệnDưới đấtĐơn giá thuê vị trí đặt trạm RRU</v>
      </c>
      <c r="R129" s="146">
        <v>1100000</v>
      </c>
    </row>
    <row r="130" spans="13:18" ht="30">
      <c r="M130" t="s">
        <v>554</v>
      </c>
      <c r="N130" s="176" t="s">
        <v>541</v>
      </c>
      <c r="O130" s="147" t="s">
        <v>536</v>
      </c>
      <c r="P130" t="s">
        <v>533</v>
      </c>
      <c r="Q130" t="str">
        <f t="shared" si="1"/>
        <v>Nhóm 5Thành phốDưới đấtĐơn giá thuê vị trí đặt trạm RRU</v>
      </c>
      <c r="R130" s="146">
        <v>1500000</v>
      </c>
    </row>
    <row r="131" spans="13:18">
      <c r="M131" t="s">
        <v>554</v>
      </c>
      <c r="N131" s="176" t="s">
        <v>542</v>
      </c>
      <c r="O131" s="147" t="s">
        <v>536</v>
      </c>
      <c r="P131" t="s">
        <v>533</v>
      </c>
      <c r="Q131" t="str">
        <f t="shared" si="1"/>
        <v>Nhóm 5Thị xãDưới đấtĐơn giá thuê vị trí đặt trạm RRU</v>
      </c>
      <c r="R131" s="146">
        <v>1000000</v>
      </c>
    </row>
    <row r="132" spans="13:18" ht="30">
      <c r="M132" t="s">
        <v>554</v>
      </c>
      <c r="N132" s="176" t="s">
        <v>539</v>
      </c>
      <c r="O132" s="147" t="s">
        <v>536</v>
      </c>
      <c r="P132" t="s">
        <v>533</v>
      </c>
      <c r="Q132" t="str">
        <f t="shared" si="1"/>
        <v>Nhóm 5Thị trấn - HuyệnDưới đấtĐơn giá thuê vị trí đặt trạm RRU</v>
      </c>
      <c r="R132" s="146">
        <v>1000000</v>
      </c>
    </row>
    <row r="133" spans="13:18" ht="30">
      <c r="M133" t="s">
        <v>554</v>
      </c>
      <c r="N133" s="176" t="s">
        <v>540</v>
      </c>
      <c r="O133" s="147" t="s">
        <v>536</v>
      </c>
      <c r="P133" t="s">
        <v>533</v>
      </c>
      <c r="Q133" t="str">
        <f t="shared" ref="Q133:Q196" si="2">CONCATENATE(M133,N133,O133,P133)</f>
        <v>Nhóm 5Xã - HuyệnDưới đấtĐơn giá thuê vị trí đặt trạm RRU</v>
      </c>
      <c r="R133" s="146">
        <v>800000</v>
      </c>
    </row>
    <row r="134" spans="13:18" ht="30">
      <c r="M134" t="s">
        <v>555</v>
      </c>
      <c r="N134" s="176" t="s">
        <v>541</v>
      </c>
      <c r="O134" s="147" t="s">
        <v>536</v>
      </c>
      <c r="P134" t="s">
        <v>533</v>
      </c>
      <c r="Q134" t="str">
        <f t="shared" si="2"/>
        <v>Nhóm 6Thành phốDưới đấtĐơn giá thuê vị trí đặt trạm RRU</v>
      </c>
      <c r="R134" s="146">
        <v>1100000</v>
      </c>
    </row>
    <row r="135" spans="13:18">
      <c r="M135" t="s">
        <v>555</v>
      </c>
      <c r="N135" s="176" t="s">
        <v>542</v>
      </c>
      <c r="O135" s="147" t="s">
        <v>536</v>
      </c>
      <c r="P135" t="s">
        <v>533</v>
      </c>
      <c r="Q135" t="str">
        <f t="shared" si="2"/>
        <v>Nhóm 6Thị xãDưới đấtĐơn giá thuê vị trí đặt trạm RRU</v>
      </c>
      <c r="R135" s="146">
        <v>1100000</v>
      </c>
    </row>
    <row r="136" spans="13:18" ht="30">
      <c r="M136" t="s">
        <v>555</v>
      </c>
      <c r="N136" s="176" t="s">
        <v>539</v>
      </c>
      <c r="O136" s="147" t="s">
        <v>536</v>
      </c>
      <c r="P136" t="s">
        <v>533</v>
      </c>
      <c r="Q136" t="str">
        <f t="shared" si="2"/>
        <v>Nhóm 6Thị trấn - HuyệnDưới đấtĐơn giá thuê vị trí đặt trạm RRU</v>
      </c>
      <c r="R136" s="146">
        <v>1000000</v>
      </c>
    </row>
    <row r="137" spans="13:18" ht="30">
      <c r="M137" t="s">
        <v>555</v>
      </c>
      <c r="N137" s="176" t="s">
        <v>540</v>
      </c>
      <c r="O137" s="147" t="s">
        <v>536</v>
      </c>
      <c r="P137" t="s">
        <v>533</v>
      </c>
      <c r="Q137" t="str">
        <f t="shared" si="2"/>
        <v>Nhóm 6Xã - HuyệnDưới đấtĐơn giá thuê vị trí đặt trạm RRU</v>
      </c>
      <c r="R137" s="146">
        <v>800000</v>
      </c>
    </row>
    <row r="138" spans="13:18" ht="30">
      <c r="M138" t="s">
        <v>556</v>
      </c>
      <c r="N138" s="176" t="s">
        <v>541</v>
      </c>
      <c r="O138" s="147" t="s">
        <v>536</v>
      </c>
      <c r="P138" t="s">
        <v>533</v>
      </c>
      <c r="Q138" t="str">
        <f t="shared" si="2"/>
        <v>Nhóm 7Thành phốDưới đấtĐơn giá thuê vị trí đặt trạm RRU</v>
      </c>
      <c r="R138" s="146">
        <v>1500000</v>
      </c>
    </row>
    <row r="139" spans="13:18">
      <c r="M139" t="s">
        <v>556</v>
      </c>
      <c r="N139" s="176" t="s">
        <v>542</v>
      </c>
      <c r="O139" s="147" t="s">
        <v>536</v>
      </c>
      <c r="P139" t="s">
        <v>533</v>
      </c>
      <c r="Q139" t="str">
        <f t="shared" si="2"/>
        <v>Nhóm 7Thị xãDưới đấtĐơn giá thuê vị trí đặt trạm RRU</v>
      </c>
      <c r="R139" s="146">
        <v>1100000</v>
      </c>
    </row>
    <row r="140" spans="13:18" ht="30">
      <c r="M140" t="s">
        <v>556</v>
      </c>
      <c r="N140" s="176" t="s">
        <v>539</v>
      </c>
      <c r="O140" s="147" t="s">
        <v>536</v>
      </c>
      <c r="P140" t="s">
        <v>533</v>
      </c>
      <c r="Q140" t="str">
        <f t="shared" si="2"/>
        <v>Nhóm 7Thị trấn - HuyệnDưới đấtĐơn giá thuê vị trí đặt trạm RRU</v>
      </c>
      <c r="R140" s="146">
        <v>1000000</v>
      </c>
    </row>
    <row r="141" spans="13:18" ht="30">
      <c r="M141" t="s">
        <v>556</v>
      </c>
      <c r="N141" s="176" t="s">
        <v>540</v>
      </c>
      <c r="O141" s="147" t="s">
        <v>536</v>
      </c>
      <c r="P141" t="s">
        <v>533</v>
      </c>
      <c r="Q141" t="str">
        <f t="shared" si="2"/>
        <v>Nhóm 7Xã - HuyệnDưới đấtĐơn giá thuê vị trí đặt trạm RRU</v>
      </c>
      <c r="R141" s="146">
        <v>1000000</v>
      </c>
    </row>
    <row r="142" spans="13:18">
      <c r="M142" t="s">
        <v>557</v>
      </c>
      <c r="N142" s="176" t="s">
        <v>538</v>
      </c>
      <c r="O142" s="147" t="s">
        <v>536</v>
      </c>
      <c r="P142" t="s">
        <v>533</v>
      </c>
      <c r="Q142" t="str">
        <f t="shared" si="2"/>
        <v>Nhóm 8QuậnDưới đấtĐơn giá thuê vị trí đặt trạm RRU</v>
      </c>
      <c r="R142" s="146">
        <v>1100000</v>
      </c>
    </row>
    <row r="143" spans="13:18" ht="30">
      <c r="M143" t="s">
        <v>557</v>
      </c>
      <c r="N143" s="176" t="s">
        <v>541</v>
      </c>
      <c r="O143" s="147" t="s">
        <v>536</v>
      </c>
      <c r="P143" t="s">
        <v>533</v>
      </c>
      <c r="Q143" t="str">
        <f t="shared" si="2"/>
        <v>Nhóm 8Thành phốDưới đấtĐơn giá thuê vị trí đặt trạm RRU</v>
      </c>
      <c r="R143" s="146">
        <v>1100000</v>
      </c>
    </row>
    <row r="144" spans="13:18">
      <c r="M144" t="s">
        <v>557</v>
      </c>
      <c r="N144" s="176" t="s">
        <v>542</v>
      </c>
      <c r="O144" s="147" t="s">
        <v>536</v>
      </c>
      <c r="P144" t="s">
        <v>533</v>
      </c>
      <c r="Q144" t="str">
        <f t="shared" si="2"/>
        <v>Nhóm 8Thị xãDưới đấtĐơn giá thuê vị trí đặt trạm RRU</v>
      </c>
      <c r="R144" s="146">
        <v>800000</v>
      </c>
    </row>
    <row r="145" spans="12:18" ht="30">
      <c r="M145" t="s">
        <v>557</v>
      </c>
      <c r="N145" s="176" t="s">
        <v>539</v>
      </c>
      <c r="O145" s="147" t="s">
        <v>536</v>
      </c>
      <c r="P145" t="s">
        <v>533</v>
      </c>
      <c r="Q145" t="str">
        <f t="shared" si="2"/>
        <v>Nhóm 8Thị trấn - HuyệnDưới đấtĐơn giá thuê vị trí đặt trạm RRU</v>
      </c>
      <c r="R145" s="146">
        <v>800000</v>
      </c>
    </row>
    <row r="146" spans="12:18" ht="30">
      <c r="M146" t="s">
        <v>557</v>
      </c>
      <c r="N146" s="176" t="s">
        <v>540</v>
      </c>
      <c r="O146" s="147" t="s">
        <v>536</v>
      </c>
      <c r="P146" t="s">
        <v>533</v>
      </c>
      <c r="Q146" t="str">
        <f t="shared" si="2"/>
        <v>Nhóm 8Xã - HuyệnDưới đấtĐơn giá thuê vị trí đặt trạm RRU</v>
      </c>
      <c r="R146" s="146">
        <v>800000</v>
      </c>
    </row>
    <row r="147" spans="12:18">
      <c r="M147" t="s">
        <v>558</v>
      </c>
      <c r="N147" s="176" t="s">
        <v>538</v>
      </c>
      <c r="O147" s="147" t="s">
        <v>536</v>
      </c>
      <c r="P147" t="s">
        <v>533</v>
      </c>
      <c r="Q147" t="str">
        <f t="shared" si="2"/>
        <v>Nhóm 9QuậnDưới đấtĐơn giá thuê vị trí đặt trạm RRU</v>
      </c>
      <c r="R147" s="146">
        <v>1900000</v>
      </c>
    </row>
    <row r="148" spans="12:18" ht="30">
      <c r="M148" t="s">
        <v>558</v>
      </c>
      <c r="N148" s="176" t="s">
        <v>541</v>
      </c>
      <c r="O148" s="147" t="s">
        <v>536</v>
      </c>
      <c r="P148" t="s">
        <v>533</v>
      </c>
      <c r="Q148" t="str">
        <f t="shared" si="2"/>
        <v>Nhóm 9Thành phốDưới đấtĐơn giá thuê vị trí đặt trạm RRU</v>
      </c>
      <c r="R148" s="146">
        <v>1500000</v>
      </c>
    </row>
    <row r="149" spans="12:18">
      <c r="M149" t="s">
        <v>558</v>
      </c>
      <c r="N149" s="176" t="s">
        <v>542</v>
      </c>
      <c r="O149" s="147" t="s">
        <v>536</v>
      </c>
      <c r="P149" t="s">
        <v>533</v>
      </c>
      <c r="Q149" t="str">
        <f t="shared" si="2"/>
        <v>Nhóm 9Thị xãDưới đấtĐơn giá thuê vị trí đặt trạm RRU</v>
      </c>
      <c r="R149" s="146">
        <v>1500000</v>
      </c>
    </row>
    <row r="150" spans="12:18" ht="30">
      <c r="M150" t="s">
        <v>558</v>
      </c>
      <c r="N150" s="176" t="s">
        <v>539</v>
      </c>
      <c r="O150" s="147" t="s">
        <v>536</v>
      </c>
      <c r="P150" t="s">
        <v>533</v>
      </c>
      <c r="Q150" t="str">
        <f t="shared" si="2"/>
        <v>Nhóm 9Thị trấn - HuyệnDưới đấtĐơn giá thuê vị trí đặt trạm RRU</v>
      </c>
      <c r="R150" s="146">
        <v>1300000</v>
      </c>
    </row>
    <row r="151" spans="12:18" ht="30">
      <c r="M151" t="s">
        <v>558</v>
      </c>
      <c r="N151" s="176" t="s">
        <v>540</v>
      </c>
      <c r="O151" s="147" t="s">
        <v>536</v>
      </c>
      <c r="P151" t="s">
        <v>533</v>
      </c>
      <c r="Q151" t="str">
        <f t="shared" si="2"/>
        <v>Nhóm 9Xã - HuyệnDưới đấtĐơn giá thuê vị trí đặt trạm RRU</v>
      </c>
      <c r="R151" s="146">
        <v>1100000</v>
      </c>
    </row>
    <row r="152" spans="12:18">
      <c r="L152">
        <v>3</v>
      </c>
      <c r="M152" t="s">
        <v>550</v>
      </c>
      <c r="N152" s="188" t="s">
        <v>538</v>
      </c>
      <c r="O152" s="187" t="s">
        <v>535</v>
      </c>
      <c r="P152" t="s">
        <v>534</v>
      </c>
      <c r="Q152" t="str">
        <f t="shared" si="2"/>
        <v>Nhóm 1QuậnTrên máiĐơn giá thuê vị trí đặt trạm Repeater và Small cell</v>
      </c>
      <c r="R152" s="146">
        <v>1000000</v>
      </c>
    </row>
    <row r="153" spans="12:18" ht="30">
      <c r="M153" t="s">
        <v>550</v>
      </c>
      <c r="N153" s="176" t="s">
        <v>539</v>
      </c>
      <c r="O153" s="187" t="s">
        <v>535</v>
      </c>
      <c r="P153" t="s">
        <v>534</v>
      </c>
      <c r="Q153" t="str">
        <f t="shared" si="2"/>
        <v>Nhóm 1Thị trấn - HuyệnTrên máiĐơn giá thuê vị trí đặt trạm Repeater và Small cell</v>
      </c>
      <c r="R153" s="146">
        <v>1000000</v>
      </c>
    </row>
    <row r="154" spans="12:18" ht="30">
      <c r="M154" t="s">
        <v>550</v>
      </c>
      <c r="N154" s="176" t="s">
        <v>540</v>
      </c>
      <c r="O154" s="187" t="s">
        <v>535</v>
      </c>
      <c r="P154" t="s">
        <v>534</v>
      </c>
      <c r="Q154" t="str">
        <f t="shared" si="2"/>
        <v>Nhóm 1Xã - HuyệnTrên máiĐơn giá thuê vị trí đặt trạm Repeater và Small cell</v>
      </c>
      <c r="R154" s="146">
        <v>900000</v>
      </c>
    </row>
    <row r="155" spans="12:18" ht="30">
      <c r="M155" t="s">
        <v>551</v>
      </c>
      <c r="N155" s="176" t="s">
        <v>541</v>
      </c>
      <c r="O155" s="187" t="s">
        <v>535</v>
      </c>
      <c r="P155" t="s">
        <v>534</v>
      </c>
      <c r="Q155" t="str">
        <f t="shared" si="2"/>
        <v>Nhóm 2Thành phốTrên máiĐơn giá thuê vị trí đặt trạm Repeater và Small cell</v>
      </c>
      <c r="R155" s="146">
        <v>700000</v>
      </c>
    </row>
    <row r="156" spans="12:18">
      <c r="M156" t="s">
        <v>551</v>
      </c>
      <c r="N156" s="176" t="s">
        <v>542</v>
      </c>
      <c r="O156" s="187" t="s">
        <v>535</v>
      </c>
      <c r="P156" t="s">
        <v>534</v>
      </c>
      <c r="Q156" t="str">
        <f t="shared" si="2"/>
        <v>Nhóm 2Thị xãTrên máiĐơn giá thuê vị trí đặt trạm Repeater và Small cell</v>
      </c>
      <c r="R156" s="146">
        <v>600000</v>
      </c>
    </row>
    <row r="157" spans="12:18" ht="30">
      <c r="M157" t="s">
        <v>551</v>
      </c>
      <c r="N157" s="176" t="s">
        <v>539</v>
      </c>
      <c r="O157" s="187" t="s">
        <v>535</v>
      </c>
      <c r="P157" t="s">
        <v>534</v>
      </c>
      <c r="Q157" t="str">
        <f t="shared" si="2"/>
        <v>Nhóm 2Thị trấn - HuyệnTrên máiĐơn giá thuê vị trí đặt trạm Repeater và Small cell</v>
      </c>
      <c r="R157" s="146">
        <v>600000</v>
      </c>
    </row>
    <row r="158" spans="12:18" ht="30">
      <c r="M158" t="s">
        <v>551</v>
      </c>
      <c r="N158" s="176" t="s">
        <v>540</v>
      </c>
      <c r="O158" s="187" t="s">
        <v>535</v>
      </c>
      <c r="P158" t="s">
        <v>534</v>
      </c>
      <c r="Q158" t="str">
        <f t="shared" si="2"/>
        <v>Nhóm 2Xã - HuyệnTrên máiĐơn giá thuê vị trí đặt trạm Repeater và Small cell</v>
      </c>
      <c r="R158" s="146">
        <v>500000</v>
      </c>
    </row>
    <row r="159" spans="12:18" ht="30">
      <c r="M159" t="s">
        <v>605</v>
      </c>
      <c r="N159" s="176" t="s">
        <v>541</v>
      </c>
      <c r="O159" s="187" t="s">
        <v>535</v>
      </c>
      <c r="P159" t="s">
        <v>534</v>
      </c>
      <c r="Q159" t="str">
        <f t="shared" si="2"/>
        <v>Nhóm3Thành phốTrên máiĐơn giá thuê vị trí đặt trạm Repeater và Small cell</v>
      </c>
      <c r="R159" s="146">
        <v>700000</v>
      </c>
    </row>
    <row r="160" spans="12:18">
      <c r="M160" t="s">
        <v>605</v>
      </c>
      <c r="N160" s="176" t="s">
        <v>542</v>
      </c>
      <c r="O160" s="187" t="s">
        <v>535</v>
      </c>
      <c r="P160" t="s">
        <v>534</v>
      </c>
      <c r="Q160" t="str">
        <f t="shared" si="2"/>
        <v>Nhóm3Thị xãTrên máiĐơn giá thuê vị trí đặt trạm Repeater và Small cell</v>
      </c>
      <c r="R160" s="146">
        <v>700000</v>
      </c>
    </row>
    <row r="161" spans="13:18" ht="30">
      <c r="M161" t="s">
        <v>605</v>
      </c>
      <c r="N161" s="176" t="s">
        <v>539</v>
      </c>
      <c r="O161" s="187" t="s">
        <v>535</v>
      </c>
      <c r="P161" t="s">
        <v>534</v>
      </c>
      <c r="Q161" t="str">
        <f t="shared" si="2"/>
        <v>Nhóm3Thị trấn - HuyệnTrên máiĐơn giá thuê vị trí đặt trạm Repeater và Small cell</v>
      </c>
      <c r="R161" s="146">
        <v>500000</v>
      </c>
    </row>
    <row r="162" spans="13:18" ht="30">
      <c r="M162" t="s">
        <v>605</v>
      </c>
      <c r="N162" s="176" t="s">
        <v>540</v>
      </c>
      <c r="O162" s="187" t="s">
        <v>535</v>
      </c>
      <c r="P162" t="s">
        <v>534</v>
      </c>
      <c r="Q162" t="str">
        <f t="shared" si="2"/>
        <v>Nhóm3Xã - HuyệnTrên máiĐơn giá thuê vị trí đặt trạm Repeater và Small cell</v>
      </c>
      <c r="R162" s="146">
        <v>500000</v>
      </c>
    </row>
    <row r="163" spans="13:18" ht="30">
      <c r="M163" t="s">
        <v>553</v>
      </c>
      <c r="N163" s="176" t="s">
        <v>541</v>
      </c>
      <c r="O163" s="187" t="s">
        <v>535</v>
      </c>
      <c r="P163" t="s">
        <v>534</v>
      </c>
      <c r="Q163" t="str">
        <f t="shared" si="2"/>
        <v>Nhóm 4Thành phốTrên máiĐơn giá thuê vị trí đặt trạm Repeater và Small cell</v>
      </c>
      <c r="R163" s="146">
        <v>700000</v>
      </c>
    </row>
    <row r="164" spans="13:18">
      <c r="M164" t="s">
        <v>553</v>
      </c>
      <c r="N164" s="176" t="s">
        <v>542</v>
      </c>
      <c r="O164" s="187" t="s">
        <v>535</v>
      </c>
      <c r="P164" t="s">
        <v>534</v>
      </c>
      <c r="Q164" t="str">
        <f t="shared" si="2"/>
        <v>Nhóm 4Thị xãTrên máiĐơn giá thuê vị trí đặt trạm Repeater và Small cell</v>
      </c>
      <c r="R164" s="146">
        <v>700000</v>
      </c>
    </row>
    <row r="165" spans="13:18" ht="30">
      <c r="M165" t="s">
        <v>553</v>
      </c>
      <c r="N165" s="176" t="s">
        <v>539</v>
      </c>
      <c r="O165" s="187" t="s">
        <v>535</v>
      </c>
      <c r="P165" t="s">
        <v>534</v>
      </c>
      <c r="Q165" t="str">
        <f t="shared" si="2"/>
        <v>Nhóm 4Thị trấn - HuyệnTrên máiĐơn giá thuê vị trí đặt trạm Repeater và Small cell</v>
      </c>
      <c r="R165" s="146">
        <v>600000</v>
      </c>
    </row>
    <row r="166" spans="13:18" ht="30">
      <c r="M166" t="s">
        <v>553</v>
      </c>
      <c r="N166" s="176" t="s">
        <v>540</v>
      </c>
      <c r="O166" s="187" t="s">
        <v>535</v>
      </c>
      <c r="P166" t="s">
        <v>534</v>
      </c>
      <c r="Q166" t="str">
        <f t="shared" si="2"/>
        <v>Nhóm 4Xã - HuyệnTrên máiĐơn giá thuê vị trí đặt trạm Repeater và Small cell</v>
      </c>
      <c r="R166" s="146">
        <v>600000</v>
      </c>
    </row>
    <row r="167" spans="13:18" ht="30">
      <c r="M167" t="s">
        <v>554</v>
      </c>
      <c r="N167" s="176" t="s">
        <v>541</v>
      </c>
      <c r="O167" s="187" t="s">
        <v>535</v>
      </c>
      <c r="P167" t="s">
        <v>534</v>
      </c>
      <c r="Q167" t="str">
        <f t="shared" si="2"/>
        <v>Nhóm 5Thành phốTrên máiĐơn giá thuê vị trí đặt trạm Repeater và Small cell</v>
      </c>
      <c r="R167" s="146">
        <v>700000</v>
      </c>
    </row>
    <row r="168" spans="13:18">
      <c r="M168" t="s">
        <v>554</v>
      </c>
      <c r="N168" s="176" t="s">
        <v>542</v>
      </c>
      <c r="O168" s="187" t="s">
        <v>535</v>
      </c>
      <c r="P168" t="s">
        <v>534</v>
      </c>
      <c r="Q168" t="str">
        <f t="shared" si="2"/>
        <v>Nhóm 5Thị xãTrên máiĐơn giá thuê vị trí đặt trạm Repeater và Small cell</v>
      </c>
      <c r="R168" s="146">
        <v>700000</v>
      </c>
    </row>
    <row r="169" spans="13:18" ht="30">
      <c r="M169" t="s">
        <v>554</v>
      </c>
      <c r="N169" s="176" t="s">
        <v>539</v>
      </c>
      <c r="O169" s="187" t="s">
        <v>535</v>
      </c>
      <c r="P169" t="s">
        <v>534</v>
      </c>
      <c r="Q169" t="str">
        <f t="shared" si="2"/>
        <v>Nhóm 5Thị trấn - HuyệnTrên máiĐơn giá thuê vị trí đặt trạm Repeater và Small cell</v>
      </c>
      <c r="R169" s="146">
        <v>600000</v>
      </c>
    </row>
    <row r="170" spans="13:18" ht="30">
      <c r="M170" t="s">
        <v>554</v>
      </c>
      <c r="N170" s="176" t="s">
        <v>540</v>
      </c>
      <c r="O170" s="187" t="s">
        <v>535</v>
      </c>
      <c r="P170" t="s">
        <v>534</v>
      </c>
      <c r="Q170" t="str">
        <f t="shared" si="2"/>
        <v>Nhóm 5Xã - HuyệnTrên máiĐơn giá thuê vị trí đặt trạm Repeater và Small cell</v>
      </c>
      <c r="R170" s="146">
        <v>500000</v>
      </c>
    </row>
    <row r="171" spans="13:18" ht="30">
      <c r="M171" t="s">
        <v>555</v>
      </c>
      <c r="N171" s="176" t="s">
        <v>541</v>
      </c>
      <c r="O171" s="187" t="s">
        <v>535</v>
      </c>
      <c r="P171" t="s">
        <v>534</v>
      </c>
      <c r="Q171" t="str">
        <f t="shared" si="2"/>
        <v>Nhóm 6Thành phốTrên máiĐơn giá thuê vị trí đặt trạm Repeater và Small cell</v>
      </c>
      <c r="R171" s="146">
        <v>700000</v>
      </c>
    </row>
    <row r="172" spans="13:18">
      <c r="M172" t="s">
        <v>555</v>
      </c>
      <c r="N172" s="176" t="s">
        <v>542</v>
      </c>
      <c r="O172" s="187" t="s">
        <v>535</v>
      </c>
      <c r="P172" t="s">
        <v>534</v>
      </c>
      <c r="Q172" t="str">
        <f t="shared" si="2"/>
        <v>Nhóm 6Thị xãTrên máiĐơn giá thuê vị trí đặt trạm Repeater và Small cell</v>
      </c>
      <c r="R172" s="146">
        <v>600000</v>
      </c>
    </row>
    <row r="173" spans="13:18" ht="30">
      <c r="M173" t="s">
        <v>555</v>
      </c>
      <c r="N173" s="176" t="s">
        <v>539</v>
      </c>
      <c r="O173" s="187" t="s">
        <v>535</v>
      </c>
      <c r="P173" t="s">
        <v>534</v>
      </c>
      <c r="Q173" t="str">
        <f t="shared" si="2"/>
        <v>Nhóm 6Thị trấn - HuyệnTrên máiĐơn giá thuê vị trí đặt trạm Repeater và Small cell</v>
      </c>
      <c r="R173" s="146">
        <v>500000</v>
      </c>
    </row>
    <row r="174" spans="13:18" ht="30">
      <c r="M174" t="s">
        <v>555</v>
      </c>
      <c r="N174" s="176" t="s">
        <v>540</v>
      </c>
      <c r="O174" s="187" t="s">
        <v>535</v>
      </c>
      <c r="P174" t="s">
        <v>534</v>
      </c>
      <c r="Q174" t="str">
        <f t="shared" si="2"/>
        <v>Nhóm 6Xã - HuyệnTrên máiĐơn giá thuê vị trí đặt trạm Repeater và Small cell</v>
      </c>
      <c r="R174" s="146">
        <v>300000</v>
      </c>
    </row>
    <row r="175" spans="13:18" ht="30">
      <c r="M175" t="s">
        <v>556</v>
      </c>
      <c r="N175" s="176" t="s">
        <v>541</v>
      </c>
      <c r="O175" s="187" t="s">
        <v>535</v>
      </c>
      <c r="P175" t="s">
        <v>534</v>
      </c>
      <c r="Q175" t="str">
        <f t="shared" si="2"/>
        <v>Nhóm 7Thành phốTrên máiĐơn giá thuê vị trí đặt trạm Repeater và Small cell</v>
      </c>
      <c r="R175" s="146">
        <v>700000</v>
      </c>
    </row>
    <row r="176" spans="13:18">
      <c r="M176" t="s">
        <v>556</v>
      </c>
      <c r="N176" s="176" t="s">
        <v>542</v>
      </c>
      <c r="O176" s="187" t="s">
        <v>535</v>
      </c>
      <c r="P176" t="s">
        <v>534</v>
      </c>
      <c r="Q176" t="str">
        <f t="shared" si="2"/>
        <v>Nhóm 7Thị xãTrên máiĐơn giá thuê vị trí đặt trạm Repeater và Small cell</v>
      </c>
      <c r="R176" s="146">
        <v>700000</v>
      </c>
    </row>
    <row r="177" spans="13:18" ht="30">
      <c r="M177" t="s">
        <v>556</v>
      </c>
      <c r="N177" s="176" t="s">
        <v>539</v>
      </c>
      <c r="O177" s="187" t="s">
        <v>535</v>
      </c>
      <c r="P177" t="s">
        <v>534</v>
      </c>
      <c r="Q177" t="str">
        <f t="shared" si="2"/>
        <v>Nhóm 7Thị trấn - HuyệnTrên máiĐơn giá thuê vị trí đặt trạm Repeater và Small cell</v>
      </c>
      <c r="R177" s="146">
        <v>500000</v>
      </c>
    </row>
    <row r="178" spans="13:18" ht="30">
      <c r="M178" t="s">
        <v>556</v>
      </c>
      <c r="N178" s="176" t="s">
        <v>540</v>
      </c>
      <c r="O178" s="187" t="s">
        <v>535</v>
      </c>
      <c r="P178" t="s">
        <v>534</v>
      </c>
      <c r="Q178" t="str">
        <f t="shared" si="2"/>
        <v>Nhóm 7Xã - HuyệnTrên máiĐơn giá thuê vị trí đặt trạm Repeater và Small cell</v>
      </c>
      <c r="R178" s="146">
        <v>500000</v>
      </c>
    </row>
    <row r="179" spans="13:18">
      <c r="M179" t="s">
        <v>557</v>
      </c>
      <c r="N179" s="176" t="s">
        <v>538</v>
      </c>
      <c r="O179" s="187" t="s">
        <v>535</v>
      </c>
      <c r="P179" t="s">
        <v>534</v>
      </c>
      <c r="Q179" t="str">
        <f t="shared" si="2"/>
        <v>Nhóm 8QuậnTrên máiĐơn giá thuê vị trí đặt trạm Repeater và Small cell</v>
      </c>
      <c r="R179" s="146">
        <v>800000</v>
      </c>
    </row>
    <row r="180" spans="13:18" ht="30">
      <c r="M180" t="s">
        <v>557</v>
      </c>
      <c r="N180" s="176" t="s">
        <v>541</v>
      </c>
      <c r="O180" s="187" t="s">
        <v>535</v>
      </c>
      <c r="P180" t="s">
        <v>534</v>
      </c>
      <c r="Q180" t="str">
        <f t="shared" si="2"/>
        <v>Nhóm 8Thành phốTrên máiĐơn giá thuê vị trí đặt trạm Repeater và Small cell</v>
      </c>
      <c r="R180" s="146">
        <v>700000</v>
      </c>
    </row>
    <row r="181" spans="13:18">
      <c r="M181" t="s">
        <v>557</v>
      </c>
      <c r="N181" s="176" t="s">
        <v>542</v>
      </c>
      <c r="O181" s="187" t="s">
        <v>535</v>
      </c>
      <c r="P181" t="s">
        <v>534</v>
      </c>
      <c r="Q181" t="str">
        <f t="shared" si="2"/>
        <v>Nhóm 8Thị xãTrên máiĐơn giá thuê vị trí đặt trạm Repeater và Small cell</v>
      </c>
      <c r="R181" s="146">
        <v>600000</v>
      </c>
    </row>
    <row r="182" spans="13:18" ht="30">
      <c r="M182" t="s">
        <v>557</v>
      </c>
      <c r="N182" s="176" t="s">
        <v>539</v>
      </c>
      <c r="O182" s="187" t="s">
        <v>535</v>
      </c>
      <c r="P182" t="s">
        <v>534</v>
      </c>
      <c r="Q182" t="str">
        <f t="shared" si="2"/>
        <v>Nhóm 8Thị trấn - HuyệnTrên máiĐơn giá thuê vị trí đặt trạm Repeater và Small cell</v>
      </c>
      <c r="R182" s="146">
        <v>500000</v>
      </c>
    </row>
    <row r="183" spans="13:18" ht="30">
      <c r="M183" t="s">
        <v>557</v>
      </c>
      <c r="N183" s="176" t="s">
        <v>540</v>
      </c>
      <c r="O183" s="187" t="s">
        <v>535</v>
      </c>
      <c r="P183" t="s">
        <v>534</v>
      </c>
      <c r="Q183" t="str">
        <f t="shared" si="2"/>
        <v>Nhóm 8Xã - HuyệnTrên máiĐơn giá thuê vị trí đặt trạm Repeater và Small cell</v>
      </c>
      <c r="R183" s="146">
        <v>400000</v>
      </c>
    </row>
    <row r="184" spans="13:18">
      <c r="M184" t="s">
        <v>558</v>
      </c>
      <c r="N184" s="176" t="s">
        <v>538</v>
      </c>
      <c r="O184" s="187" t="s">
        <v>535</v>
      </c>
      <c r="P184" t="s">
        <v>534</v>
      </c>
      <c r="Q184" t="str">
        <f t="shared" si="2"/>
        <v>Nhóm 9QuậnTrên máiĐơn giá thuê vị trí đặt trạm Repeater và Small cell</v>
      </c>
      <c r="R184" s="146">
        <v>800000</v>
      </c>
    </row>
    <row r="185" spans="13:18" ht="30">
      <c r="M185" t="s">
        <v>558</v>
      </c>
      <c r="N185" s="176" t="s">
        <v>541</v>
      </c>
      <c r="O185" s="187" t="s">
        <v>535</v>
      </c>
      <c r="P185" t="s">
        <v>534</v>
      </c>
      <c r="Q185" t="str">
        <f t="shared" si="2"/>
        <v>Nhóm 9Thành phốTrên máiĐơn giá thuê vị trí đặt trạm Repeater và Small cell</v>
      </c>
      <c r="R185" s="146">
        <v>800000</v>
      </c>
    </row>
    <row r="186" spans="13:18">
      <c r="M186" t="s">
        <v>558</v>
      </c>
      <c r="N186" s="176" t="s">
        <v>542</v>
      </c>
      <c r="O186" s="187" t="s">
        <v>535</v>
      </c>
      <c r="P186" t="s">
        <v>534</v>
      </c>
      <c r="Q186" t="str">
        <f t="shared" si="2"/>
        <v>Nhóm 9Thị xãTrên máiĐơn giá thuê vị trí đặt trạm Repeater và Small cell</v>
      </c>
      <c r="R186" s="146">
        <v>700000</v>
      </c>
    </row>
    <row r="187" spans="13:18" ht="30">
      <c r="M187" t="s">
        <v>558</v>
      </c>
      <c r="N187" s="176" t="s">
        <v>539</v>
      </c>
      <c r="O187" s="187" t="s">
        <v>535</v>
      </c>
      <c r="P187" t="s">
        <v>534</v>
      </c>
      <c r="Q187" t="str">
        <f t="shared" si="2"/>
        <v>Nhóm 9Thị trấn - HuyệnTrên máiĐơn giá thuê vị trí đặt trạm Repeater và Small cell</v>
      </c>
      <c r="R187" s="146">
        <v>700000</v>
      </c>
    </row>
    <row r="188" spans="13:18" ht="30">
      <c r="M188" t="s">
        <v>558</v>
      </c>
      <c r="N188" s="176" t="s">
        <v>540</v>
      </c>
      <c r="O188" s="187" t="s">
        <v>535</v>
      </c>
      <c r="P188" t="s">
        <v>534</v>
      </c>
      <c r="Q188" t="str">
        <f t="shared" si="2"/>
        <v>Nhóm 9Xã - HuyệnTrên máiĐơn giá thuê vị trí đặt trạm Repeater và Small cell</v>
      </c>
      <c r="R188" s="146">
        <v>700000</v>
      </c>
    </row>
    <row r="189" spans="13:18">
      <c r="M189" t="s">
        <v>550</v>
      </c>
      <c r="N189" s="188" t="s">
        <v>538</v>
      </c>
      <c r="O189" s="147" t="s">
        <v>536</v>
      </c>
      <c r="P189" t="s">
        <v>534</v>
      </c>
      <c r="Q189" t="str">
        <f t="shared" si="2"/>
        <v>Nhóm 1QuậnDưới đấtĐơn giá thuê vị trí đặt trạm Repeater và Small cell</v>
      </c>
      <c r="R189" s="146">
        <v>1000000</v>
      </c>
    </row>
    <row r="190" spans="13:18" ht="30">
      <c r="M190" t="s">
        <v>550</v>
      </c>
      <c r="N190" s="176" t="s">
        <v>539</v>
      </c>
      <c r="O190" s="147" t="s">
        <v>536</v>
      </c>
      <c r="P190" t="s">
        <v>534</v>
      </c>
      <c r="Q190" t="str">
        <f t="shared" si="2"/>
        <v>Nhóm 1Thị trấn - HuyệnDưới đấtĐơn giá thuê vị trí đặt trạm Repeater và Small cell</v>
      </c>
      <c r="R190" s="146">
        <v>1000000</v>
      </c>
    </row>
    <row r="191" spans="13:18" ht="30">
      <c r="M191" t="s">
        <v>550</v>
      </c>
      <c r="N191" s="176" t="s">
        <v>540</v>
      </c>
      <c r="O191" s="147" t="s">
        <v>536</v>
      </c>
      <c r="P191" t="s">
        <v>534</v>
      </c>
      <c r="Q191" t="str">
        <f t="shared" si="2"/>
        <v>Nhóm 1Xã - HuyệnDưới đấtĐơn giá thuê vị trí đặt trạm Repeater và Small cell</v>
      </c>
      <c r="R191" s="146">
        <v>700000</v>
      </c>
    </row>
    <row r="192" spans="13:18" ht="30">
      <c r="M192" t="s">
        <v>551</v>
      </c>
      <c r="N192" s="176" t="s">
        <v>541</v>
      </c>
      <c r="O192" s="147" t="s">
        <v>536</v>
      </c>
      <c r="P192" t="s">
        <v>534</v>
      </c>
      <c r="Q192" t="str">
        <f t="shared" si="2"/>
        <v>Nhóm 2Thành phốDưới đấtĐơn giá thuê vị trí đặt trạm Repeater và Small cell</v>
      </c>
      <c r="R192" s="146">
        <v>500000</v>
      </c>
    </row>
    <row r="193" spans="13:18">
      <c r="M193" t="s">
        <v>551</v>
      </c>
      <c r="N193" s="176" t="s">
        <v>542</v>
      </c>
      <c r="O193" s="147" t="s">
        <v>536</v>
      </c>
      <c r="P193" t="s">
        <v>534</v>
      </c>
      <c r="Q193" t="str">
        <f t="shared" si="2"/>
        <v>Nhóm 2Thị xãDưới đấtĐơn giá thuê vị trí đặt trạm Repeater và Small cell</v>
      </c>
      <c r="R193" s="146">
        <v>500000</v>
      </c>
    </row>
    <row r="194" spans="13:18" ht="30">
      <c r="M194" t="s">
        <v>551</v>
      </c>
      <c r="N194" s="176" t="s">
        <v>539</v>
      </c>
      <c r="O194" s="147" t="s">
        <v>536</v>
      </c>
      <c r="P194" t="s">
        <v>534</v>
      </c>
      <c r="Q194" t="str">
        <f t="shared" si="2"/>
        <v>Nhóm 2Thị trấn - HuyệnDưới đấtĐơn giá thuê vị trí đặt trạm Repeater và Small cell</v>
      </c>
      <c r="R194" s="146">
        <v>500000</v>
      </c>
    </row>
    <row r="195" spans="13:18" ht="30">
      <c r="M195" t="s">
        <v>551</v>
      </c>
      <c r="N195" s="176" t="s">
        <v>540</v>
      </c>
      <c r="O195" s="147" t="s">
        <v>536</v>
      </c>
      <c r="P195" t="s">
        <v>534</v>
      </c>
      <c r="Q195" t="str">
        <f t="shared" si="2"/>
        <v>Nhóm 2Xã - HuyệnDưới đấtĐơn giá thuê vị trí đặt trạm Repeater và Small cell</v>
      </c>
      <c r="R195" s="146">
        <v>500000</v>
      </c>
    </row>
    <row r="196" spans="13:18" ht="30">
      <c r="M196" t="s">
        <v>605</v>
      </c>
      <c r="N196" s="176" t="s">
        <v>541</v>
      </c>
      <c r="O196" s="147" t="s">
        <v>536</v>
      </c>
      <c r="P196" t="s">
        <v>534</v>
      </c>
      <c r="Q196" t="str">
        <f t="shared" si="2"/>
        <v>Nhóm3Thành phốDưới đấtĐơn giá thuê vị trí đặt trạm Repeater và Small cell</v>
      </c>
      <c r="R196" s="146">
        <v>600000</v>
      </c>
    </row>
    <row r="197" spans="13:18">
      <c r="M197" t="s">
        <v>605</v>
      </c>
      <c r="N197" s="176" t="s">
        <v>542</v>
      </c>
      <c r="O197" s="147" t="s">
        <v>536</v>
      </c>
      <c r="P197" t="s">
        <v>534</v>
      </c>
      <c r="Q197" t="str">
        <f t="shared" ref="Q197:Q225" si="3">CONCATENATE(M197,N197,O197,P197)</f>
        <v>Nhóm3Thị xãDưới đấtĐơn giá thuê vị trí đặt trạm Repeater và Small cell</v>
      </c>
      <c r="R197" s="146">
        <v>500000</v>
      </c>
    </row>
    <row r="198" spans="13:18" ht="30">
      <c r="M198" t="s">
        <v>605</v>
      </c>
      <c r="N198" s="176" t="s">
        <v>539</v>
      </c>
      <c r="O198" s="147" t="s">
        <v>536</v>
      </c>
      <c r="P198" t="s">
        <v>534</v>
      </c>
      <c r="Q198" t="str">
        <f t="shared" si="3"/>
        <v>Nhóm3Thị trấn - HuyệnDưới đấtĐơn giá thuê vị trí đặt trạm Repeater và Small cell</v>
      </c>
      <c r="R198" s="146">
        <v>500000</v>
      </c>
    </row>
    <row r="199" spans="13:18" ht="30">
      <c r="M199" t="s">
        <v>605</v>
      </c>
      <c r="N199" s="176" t="s">
        <v>540</v>
      </c>
      <c r="O199" s="147" t="s">
        <v>536</v>
      </c>
      <c r="P199" t="s">
        <v>534</v>
      </c>
      <c r="Q199" t="str">
        <f t="shared" si="3"/>
        <v>Nhóm3Xã - HuyệnDưới đấtĐơn giá thuê vị trí đặt trạm Repeater và Small cell</v>
      </c>
      <c r="R199" s="146">
        <v>500000</v>
      </c>
    </row>
    <row r="200" spans="13:18" ht="30">
      <c r="M200" t="s">
        <v>553</v>
      </c>
      <c r="N200" s="176" t="s">
        <v>541</v>
      </c>
      <c r="O200" s="147" t="s">
        <v>536</v>
      </c>
      <c r="P200" t="s">
        <v>534</v>
      </c>
      <c r="Q200" t="str">
        <f t="shared" si="3"/>
        <v>Nhóm 4Thành phốDưới đấtĐơn giá thuê vị trí đặt trạm Repeater và Small cell</v>
      </c>
      <c r="R200" s="146">
        <v>700000</v>
      </c>
    </row>
    <row r="201" spans="13:18">
      <c r="M201" t="s">
        <v>553</v>
      </c>
      <c r="N201" s="176" t="s">
        <v>542</v>
      </c>
      <c r="O201" s="147" t="s">
        <v>536</v>
      </c>
      <c r="P201" t="s">
        <v>534</v>
      </c>
      <c r="Q201" t="str">
        <f t="shared" si="3"/>
        <v>Nhóm 4Thị xãDưới đấtĐơn giá thuê vị trí đặt trạm Repeater và Small cell</v>
      </c>
      <c r="R201" s="146">
        <v>600000</v>
      </c>
    </row>
    <row r="202" spans="13:18" ht="30">
      <c r="M202" t="s">
        <v>553</v>
      </c>
      <c r="N202" s="176" t="s">
        <v>539</v>
      </c>
      <c r="O202" s="147" t="s">
        <v>536</v>
      </c>
      <c r="P202" t="s">
        <v>534</v>
      </c>
      <c r="Q202" t="str">
        <f t="shared" si="3"/>
        <v>Nhóm 4Thị trấn - HuyệnDưới đấtĐơn giá thuê vị trí đặt trạm Repeater và Small cell</v>
      </c>
      <c r="R202" s="146">
        <v>600000</v>
      </c>
    </row>
    <row r="203" spans="13:18" ht="30">
      <c r="M203" t="s">
        <v>553</v>
      </c>
      <c r="N203" s="176" t="s">
        <v>540</v>
      </c>
      <c r="O203" s="147" t="s">
        <v>536</v>
      </c>
      <c r="P203" t="s">
        <v>534</v>
      </c>
      <c r="Q203" t="str">
        <f t="shared" si="3"/>
        <v>Nhóm 4Xã - HuyệnDưới đấtĐơn giá thuê vị trí đặt trạm Repeater và Small cell</v>
      </c>
      <c r="R203" s="146">
        <v>500000</v>
      </c>
    </row>
    <row r="204" spans="13:18" ht="30">
      <c r="M204" t="s">
        <v>554</v>
      </c>
      <c r="N204" s="176" t="s">
        <v>541</v>
      </c>
      <c r="O204" s="147" t="s">
        <v>536</v>
      </c>
      <c r="P204" t="s">
        <v>534</v>
      </c>
      <c r="Q204" t="str">
        <f t="shared" si="3"/>
        <v>Nhóm 5Thành phốDưới đấtĐơn giá thuê vị trí đặt trạm Repeater và Small cell</v>
      </c>
      <c r="R204" s="146">
        <v>700000</v>
      </c>
    </row>
    <row r="205" spans="13:18">
      <c r="M205" t="s">
        <v>554</v>
      </c>
      <c r="N205" s="176" t="s">
        <v>542</v>
      </c>
      <c r="O205" s="147" t="s">
        <v>536</v>
      </c>
      <c r="P205" t="s">
        <v>534</v>
      </c>
      <c r="Q205" t="str">
        <f t="shared" si="3"/>
        <v>Nhóm 5Thị xãDưới đấtĐơn giá thuê vị trí đặt trạm Repeater và Small cell</v>
      </c>
      <c r="R205" s="146">
        <v>500000</v>
      </c>
    </row>
    <row r="206" spans="13:18" ht="30">
      <c r="M206" t="s">
        <v>554</v>
      </c>
      <c r="N206" s="176" t="s">
        <v>539</v>
      </c>
      <c r="O206" s="147" t="s">
        <v>536</v>
      </c>
      <c r="P206" t="s">
        <v>534</v>
      </c>
      <c r="Q206" t="str">
        <f t="shared" si="3"/>
        <v>Nhóm 5Thị trấn - HuyệnDưới đấtĐơn giá thuê vị trí đặt trạm Repeater và Small cell</v>
      </c>
      <c r="R206" s="146">
        <v>500000</v>
      </c>
    </row>
    <row r="207" spans="13:18" ht="30">
      <c r="M207" t="s">
        <v>554</v>
      </c>
      <c r="N207" s="176" t="s">
        <v>540</v>
      </c>
      <c r="O207" s="147" t="s">
        <v>536</v>
      </c>
      <c r="P207" t="s">
        <v>534</v>
      </c>
      <c r="Q207" t="str">
        <f t="shared" si="3"/>
        <v>Nhóm 5Xã - HuyệnDưới đấtĐơn giá thuê vị trí đặt trạm Repeater và Small cell</v>
      </c>
      <c r="R207" s="146">
        <v>500000</v>
      </c>
    </row>
    <row r="208" spans="13:18" ht="30">
      <c r="M208" t="s">
        <v>555</v>
      </c>
      <c r="N208" s="176" t="s">
        <v>541</v>
      </c>
      <c r="O208" s="147" t="s">
        <v>536</v>
      </c>
      <c r="P208" t="s">
        <v>534</v>
      </c>
      <c r="Q208" t="str">
        <f t="shared" si="3"/>
        <v>Nhóm 6Thành phốDưới đấtĐơn giá thuê vị trí đặt trạm Repeater và Small cell</v>
      </c>
      <c r="R208" s="146">
        <v>500000</v>
      </c>
    </row>
    <row r="209" spans="13:18">
      <c r="M209" t="s">
        <v>555</v>
      </c>
      <c r="N209" s="176" t="s">
        <v>542</v>
      </c>
      <c r="O209" s="147" t="s">
        <v>536</v>
      </c>
      <c r="P209" t="s">
        <v>534</v>
      </c>
      <c r="Q209" t="str">
        <f t="shared" si="3"/>
        <v>Nhóm 6Thị xãDưới đấtĐơn giá thuê vị trí đặt trạm Repeater và Small cell</v>
      </c>
      <c r="R209" s="146">
        <v>500000</v>
      </c>
    </row>
    <row r="210" spans="13:18" ht="30">
      <c r="M210" t="s">
        <v>555</v>
      </c>
      <c r="N210" s="176" t="s">
        <v>539</v>
      </c>
      <c r="O210" s="147" t="s">
        <v>536</v>
      </c>
      <c r="P210" t="s">
        <v>534</v>
      </c>
      <c r="Q210" t="str">
        <f t="shared" si="3"/>
        <v>Nhóm 6Thị trấn - HuyệnDưới đấtĐơn giá thuê vị trí đặt trạm Repeater và Small cell</v>
      </c>
      <c r="R210" s="146">
        <v>400000</v>
      </c>
    </row>
    <row r="211" spans="13:18" ht="30">
      <c r="M211" t="s">
        <v>555</v>
      </c>
      <c r="N211" s="176" t="s">
        <v>540</v>
      </c>
      <c r="O211" s="147" t="s">
        <v>536</v>
      </c>
      <c r="P211" t="s">
        <v>534</v>
      </c>
      <c r="Q211" t="str">
        <f t="shared" si="3"/>
        <v>Nhóm 6Xã - HuyệnDưới đấtĐơn giá thuê vị trí đặt trạm Repeater và Small cell</v>
      </c>
      <c r="R211" s="146">
        <v>300000</v>
      </c>
    </row>
    <row r="212" spans="13:18" ht="30">
      <c r="M212" t="s">
        <v>556</v>
      </c>
      <c r="N212" s="176" t="s">
        <v>541</v>
      </c>
      <c r="O212" s="147" t="s">
        <v>536</v>
      </c>
      <c r="P212" t="s">
        <v>534</v>
      </c>
      <c r="Q212" t="str">
        <f t="shared" si="3"/>
        <v>Nhóm 7Thành phốDưới đấtĐơn giá thuê vị trí đặt trạm Repeater và Small cell</v>
      </c>
      <c r="R212" s="146">
        <v>600000</v>
      </c>
    </row>
    <row r="213" spans="13:18">
      <c r="M213" t="s">
        <v>556</v>
      </c>
      <c r="N213" s="176" t="s">
        <v>542</v>
      </c>
      <c r="O213" s="147" t="s">
        <v>536</v>
      </c>
      <c r="P213" t="s">
        <v>534</v>
      </c>
      <c r="Q213" t="str">
        <f t="shared" si="3"/>
        <v>Nhóm 7Thị xãDưới đấtĐơn giá thuê vị trí đặt trạm Repeater và Small cell</v>
      </c>
      <c r="R213" s="146">
        <v>500000</v>
      </c>
    </row>
    <row r="214" spans="13:18" ht="30">
      <c r="M214" t="s">
        <v>556</v>
      </c>
      <c r="N214" s="176" t="s">
        <v>539</v>
      </c>
      <c r="O214" s="147" t="s">
        <v>536</v>
      </c>
      <c r="P214" t="s">
        <v>534</v>
      </c>
      <c r="Q214" t="str">
        <f t="shared" si="3"/>
        <v>Nhóm 7Thị trấn - HuyệnDưới đấtĐơn giá thuê vị trí đặt trạm Repeater và Small cell</v>
      </c>
      <c r="R214" s="146">
        <v>500000</v>
      </c>
    </row>
    <row r="215" spans="13:18" ht="30">
      <c r="M215" t="s">
        <v>556</v>
      </c>
      <c r="N215" s="176" t="s">
        <v>540</v>
      </c>
      <c r="O215" s="147" t="s">
        <v>536</v>
      </c>
      <c r="P215" t="s">
        <v>534</v>
      </c>
      <c r="Q215" t="str">
        <f t="shared" si="3"/>
        <v>Nhóm 7Xã - HuyệnDưới đấtĐơn giá thuê vị trí đặt trạm Repeater và Small cell</v>
      </c>
      <c r="R215" s="146">
        <v>500000</v>
      </c>
    </row>
    <row r="216" spans="13:18">
      <c r="M216" t="s">
        <v>557</v>
      </c>
      <c r="N216" s="176" t="s">
        <v>538</v>
      </c>
      <c r="O216" s="147" t="s">
        <v>536</v>
      </c>
      <c r="P216" t="s">
        <v>534</v>
      </c>
      <c r="Q216" t="str">
        <f t="shared" si="3"/>
        <v>Nhóm 8QuậnDưới đấtĐơn giá thuê vị trí đặt trạm Repeater và Small cell</v>
      </c>
      <c r="R216" s="146">
        <v>500000</v>
      </c>
    </row>
    <row r="217" spans="13:18" ht="30">
      <c r="M217" t="s">
        <v>557</v>
      </c>
      <c r="N217" s="176" t="s">
        <v>541</v>
      </c>
      <c r="O217" s="147" t="s">
        <v>536</v>
      </c>
      <c r="P217" t="s">
        <v>534</v>
      </c>
      <c r="Q217" t="str">
        <f t="shared" si="3"/>
        <v>Nhóm 8Thành phốDưới đấtĐơn giá thuê vị trí đặt trạm Repeater và Small cell</v>
      </c>
      <c r="R217" s="146">
        <v>500000</v>
      </c>
    </row>
    <row r="218" spans="13:18">
      <c r="M218" t="s">
        <v>557</v>
      </c>
      <c r="N218" s="176" t="s">
        <v>542</v>
      </c>
      <c r="O218" s="147" t="s">
        <v>536</v>
      </c>
      <c r="P218" t="s">
        <v>534</v>
      </c>
      <c r="Q218" t="str">
        <f t="shared" si="3"/>
        <v>Nhóm 8Thị xãDưới đấtĐơn giá thuê vị trí đặt trạm Repeater và Small cell</v>
      </c>
      <c r="R218" s="146">
        <v>300000</v>
      </c>
    </row>
    <row r="219" spans="13:18" ht="30">
      <c r="M219" t="s">
        <v>557</v>
      </c>
      <c r="N219" s="176" t="s">
        <v>539</v>
      </c>
      <c r="O219" s="147" t="s">
        <v>536</v>
      </c>
      <c r="P219" t="s">
        <v>534</v>
      </c>
      <c r="Q219" t="str">
        <f t="shared" si="3"/>
        <v>Nhóm 8Thị trấn - HuyệnDưới đấtĐơn giá thuê vị trí đặt trạm Repeater và Small cell</v>
      </c>
      <c r="R219" s="146">
        <v>300000</v>
      </c>
    </row>
    <row r="220" spans="13:18" ht="30">
      <c r="M220" t="s">
        <v>557</v>
      </c>
      <c r="N220" s="176" t="s">
        <v>540</v>
      </c>
      <c r="O220" s="147" t="s">
        <v>536</v>
      </c>
      <c r="P220" t="s">
        <v>534</v>
      </c>
      <c r="Q220" t="str">
        <f t="shared" si="3"/>
        <v>Nhóm 8Xã - HuyệnDưới đấtĐơn giá thuê vị trí đặt trạm Repeater và Small cell</v>
      </c>
      <c r="R220" s="146">
        <v>300000</v>
      </c>
    </row>
    <row r="221" spans="13:18">
      <c r="M221" t="s">
        <v>558</v>
      </c>
      <c r="N221" s="176" t="s">
        <v>538</v>
      </c>
      <c r="O221" s="147" t="s">
        <v>536</v>
      </c>
      <c r="P221" t="s">
        <v>534</v>
      </c>
      <c r="Q221" t="str">
        <f t="shared" si="3"/>
        <v>Nhóm 9QuậnDưới đấtĐơn giá thuê vị trí đặt trạm Repeater và Small cell</v>
      </c>
      <c r="R221" s="146">
        <v>800000</v>
      </c>
    </row>
    <row r="222" spans="13:18" ht="30">
      <c r="M222" t="s">
        <v>558</v>
      </c>
      <c r="N222" s="176" t="s">
        <v>541</v>
      </c>
      <c r="O222" s="147" t="s">
        <v>536</v>
      </c>
      <c r="P222" t="s">
        <v>534</v>
      </c>
      <c r="Q222" t="str">
        <f t="shared" si="3"/>
        <v>Nhóm 9Thành phốDưới đấtĐơn giá thuê vị trí đặt trạm Repeater và Small cell</v>
      </c>
      <c r="R222" s="146">
        <v>700000</v>
      </c>
    </row>
    <row r="223" spans="13:18">
      <c r="M223" t="s">
        <v>558</v>
      </c>
      <c r="N223" s="176" t="s">
        <v>542</v>
      </c>
      <c r="O223" s="147" t="s">
        <v>536</v>
      </c>
      <c r="P223" t="s">
        <v>534</v>
      </c>
      <c r="Q223" t="str">
        <f t="shared" si="3"/>
        <v>Nhóm 9Thị xãDưới đấtĐơn giá thuê vị trí đặt trạm Repeater và Small cell</v>
      </c>
      <c r="R223" s="146">
        <v>700000</v>
      </c>
    </row>
    <row r="224" spans="13:18" ht="30">
      <c r="M224" t="s">
        <v>558</v>
      </c>
      <c r="N224" s="176" t="s">
        <v>539</v>
      </c>
      <c r="O224" s="147" t="s">
        <v>536</v>
      </c>
      <c r="P224" t="s">
        <v>534</v>
      </c>
      <c r="Q224" t="str">
        <f t="shared" si="3"/>
        <v>Nhóm 9Thị trấn - HuyệnDưới đấtĐơn giá thuê vị trí đặt trạm Repeater và Small cell</v>
      </c>
      <c r="R224" s="146">
        <v>600000</v>
      </c>
    </row>
    <row r="225" spans="13:18" ht="30">
      <c r="M225" t="s">
        <v>558</v>
      </c>
      <c r="N225" s="176" t="s">
        <v>540</v>
      </c>
      <c r="O225" s="147" t="s">
        <v>536</v>
      </c>
      <c r="P225" t="s">
        <v>534</v>
      </c>
      <c r="Q225" t="str">
        <f t="shared" si="3"/>
        <v>Nhóm 9Xã - HuyệnDưới đấtĐơn giá thuê vị trí đặt trạm Repeater và Small cell</v>
      </c>
      <c r="R225" s="146">
        <v>500000</v>
      </c>
    </row>
  </sheetData>
  <mergeCells count="27">
    <mergeCell ref="A33:A37"/>
    <mergeCell ref="C33:C37"/>
    <mergeCell ref="A38:A42"/>
    <mergeCell ref="C38:C42"/>
    <mergeCell ref="A25:A28"/>
    <mergeCell ref="C25:C28"/>
    <mergeCell ref="A29:A32"/>
    <mergeCell ref="C29:C32"/>
    <mergeCell ref="A17:A20"/>
    <mergeCell ref="C17:C20"/>
    <mergeCell ref="A21:A24"/>
    <mergeCell ref="C21:C24"/>
    <mergeCell ref="A6:A8"/>
    <mergeCell ref="C6:C8"/>
    <mergeCell ref="A9:A12"/>
    <mergeCell ref="C9:C12"/>
    <mergeCell ref="A13:A16"/>
    <mergeCell ref="C13:C16"/>
    <mergeCell ref="A1:J1"/>
    <mergeCell ref="A2:J2"/>
    <mergeCell ref="H3:J3"/>
    <mergeCell ref="A4:A5"/>
    <mergeCell ref="C4:C5"/>
    <mergeCell ref="D4:D5"/>
    <mergeCell ref="E4:F4"/>
    <mergeCell ref="G4:H4"/>
    <mergeCell ref="I4:J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0"/>
  <sheetViews>
    <sheetView workbookViewId="0">
      <selection activeCell="L4" sqref="L4"/>
    </sheetView>
  </sheetViews>
  <sheetFormatPr defaultColWidth="8.85546875" defaultRowHeight="15"/>
  <cols>
    <col min="2" max="2" width="47.140625" customWidth="1"/>
    <col min="5" max="5" width="18.85546875" customWidth="1"/>
    <col min="6" max="6" width="31" customWidth="1"/>
    <col min="13" max="13" width="23.140625" customWidth="1"/>
  </cols>
  <sheetData>
    <row r="1" spans="1:13" ht="63">
      <c r="A1" s="432" t="s">
        <v>238</v>
      </c>
      <c r="B1" s="433" t="s">
        <v>372</v>
      </c>
      <c r="C1" s="433" t="s">
        <v>354</v>
      </c>
      <c r="D1" s="433" t="s">
        <v>357</v>
      </c>
      <c r="E1" s="434" t="s">
        <v>1566</v>
      </c>
      <c r="F1" s="432" t="s">
        <v>1567</v>
      </c>
    </row>
    <row r="2" spans="1:13" ht="15.75">
      <c r="A2" s="432" t="s">
        <v>28</v>
      </c>
      <c r="B2" s="435" t="s">
        <v>1568</v>
      </c>
      <c r="C2" s="436"/>
      <c r="D2" s="437"/>
      <c r="E2" s="438"/>
      <c r="F2" s="439"/>
    </row>
    <row r="3" spans="1:13" ht="15.75">
      <c r="A3" s="440" t="s">
        <v>0</v>
      </c>
      <c r="B3" s="441" t="s">
        <v>1569</v>
      </c>
      <c r="C3" s="442" t="s">
        <v>1570</v>
      </c>
      <c r="D3" s="443">
        <v>1</v>
      </c>
      <c r="E3" s="444">
        <v>41306137</v>
      </c>
      <c r="F3" s="445" t="s">
        <v>586</v>
      </c>
      <c r="M3" t="s">
        <v>1775</v>
      </c>
    </row>
    <row r="4" spans="1:13" ht="15.75">
      <c r="A4" s="446" t="s">
        <v>25</v>
      </c>
      <c r="B4" s="441" t="s">
        <v>1571</v>
      </c>
      <c r="C4" s="442" t="s">
        <v>1570</v>
      </c>
      <c r="D4" s="443">
        <v>1</v>
      </c>
      <c r="E4" s="444">
        <v>51897672.649999999</v>
      </c>
      <c r="F4" s="445" t="s">
        <v>586</v>
      </c>
    </row>
    <row r="5" spans="1:13" ht="15.75">
      <c r="A5" s="446" t="s">
        <v>26</v>
      </c>
      <c r="B5" s="441" t="s">
        <v>1572</v>
      </c>
      <c r="C5" s="442" t="s">
        <v>1570</v>
      </c>
      <c r="D5" s="447">
        <v>1</v>
      </c>
      <c r="E5" s="444">
        <v>63436294.25</v>
      </c>
      <c r="F5" s="445" t="s">
        <v>586</v>
      </c>
    </row>
    <row r="6" spans="1:13" ht="15.75">
      <c r="A6" s="446" t="s">
        <v>110</v>
      </c>
      <c r="B6" s="441" t="s">
        <v>1573</v>
      </c>
      <c r="C6" s="442" t="s">
        <v>1570</v>
      </c>
      <c r="D6" s="447">
        <v>1</v>
      </c>
      <c r="E6" s="444">
        <v>59174032</v>
      </c>
      <c r="F6" s="445" t="s">
        <v>1574</v>
      </c>
    </row>
    <row r="7" spans="1:13" ht="15.75">
      <c r="A7" s="446" t="s">
        <v>112</v>
      </c>
      <c r="B7" s="441" t="s">
        <v>1575</v>
      </c>
      <c r="C7" s="442" t="s">
        <v>1570</v>
      </c>
      <c r="D7" s="447">
        <v>1</v>
      </c>
      <c r="E7" s="444">
        <v>80179256.950000003</v>
      </c>
      <c r="F7" s="445" t="s">
        <v>1576</v>
      </c>
    </row>
    <row r="8" spans="1:13" ht="15.75">
      <c r="A8" s="446" t="s">
        <v>465</v>
      </c>
      <c r="B8" s="441" t="s">
        <v>1577</v>
      </c>
      <c r="C8" s="442" t="s">
        <v>1570</v>
      </c>
      <c r="D8" s="447">
        <v>1</v>
      </c>
      <c r="E8" s="444">
        <v>108241012.425</v>
      </c>
      <c r="F8" s="445" t="s">
        <v>586</v>
      </c>
    </row>
    <row r="9" spans="1:13" ht="15.75">
      <c r="A9" s="446" t="s">
        <v>468</v>
      </c>
      <c r="B9" s="441" t="s">
        <v>1578</v>
      </c>
      <c r="C9" s="442" t="s">
        <v>1570</v>
      </c>
      <c r="D9" s="447">
        <v>1</v>
      </c>
      <c r="E9" s="444">
        <v>227608054.05000001</v>
      </c>
      <c r="F9" s="445" t="s">
        <v>586</v>
      </c>
    </row>
    <row r="10" spans="1:13" ht="15.75">
      <c r="A10" s="446" t="s">
        <v>473</v>
      </c>
      <c r="B10" s="441" t="s">
        <v>1579</v>
      </c>
      <c r="C10" s="442" t="s">
        <v>1570</v>
      </c>
      <c r="D10" s="447">
        <v>1</v>
      </c>
      <c r="E10" s="444">
        <v>352397810.85000002</v>
      </c>
      <c r="F10" s="445" t="s">
        <v>586</v>
      </c>
    </row>
    <row r="11" spans="1:13" ht="15.75">
      <c r="A11" s="446" t="s">
        <v>474</v>
      </c>
      <c r="B11" s="441" t="s">
        <v>1580</v>
      </c>
      <c r="C11" s="442" t="s">
        <v>1570</v>
      </c>
      <c r="D11" s="447">
        <v>1</v>
      </c>
      <c r="E11" s="444">
        <v>444570083.14999998</v>
      </c>
      <c r="F11" s="445" t="s">
        <v>1581</v>
      </c>
    </row>
    <row r="12" spans="1:13" ht="15.75">
      <c r="A12" s="446" t="s">
        <v>475</v>
      </c>
      <c r="B12" s="441" t="s">
        <v>1582</v>
      </c>
      <c r="C12" s="442" t="s">
        <v>1570</v>
      </c>
      <c r="D12" s="447">
        <v>1</v>
      </c>
      <c r="E12" s="444">
        <v>567652073.85000002</v>
      </c>
      <c r="F12" s="445"/>
    </row>
    <row r="13" spans="1:13" ht="15.75">
      <c r="A13" s="446" t="s">
        <v>1583</v>
      </c>
      <c r="B13" s="441" t="s">
        <v>1584</v>
      </c>
      <c r="C13" s="442" t="s">
        <v>1570</v>
      </c>
      <c r="D13" s="447">
        <v>1</v>
      </c>
      <c r="E13" s="444">
        <v>372162815.54000002</v>
      </c>
      <c r="F13" s="445"/>
    </row>
    <row r="14" spans="1:13" ht="15.75">
      <c r="A14" s="446" t="s">
        <v>1585</v>
      </c>
      <c r="B14" s="441" t="s">
        <v>1586</v>
      </c>
      <c r="C14" s="442" t="s">
        <v>1570</v>
      </c>
      <c r="D14" s="447">
        <v>1</v>
      </c>
      <c r="E14" s="444">
        <v>767255390</v>
      </c>
      <c r="F14" s="445"/>
    </row>
    <row r="15" spans="1:13" ht="15.75">
      <c r="A15" s="446" t="s">
        <v>1587</v>
      </c>
      <c r="B15" s="441" t="s">
        <v>1588</v>
      </c>
      <c r="C15" s="442" t="s">
        <v>1570</v>
      </c>
      <c r="D15" s="447">
        <v>1</v>
      </c>
      <c r="E15" s="444">
        <v>96241130.310000002</v>
      </c>
      <c r="F15" s="445"/>
    </row>
    <row r="16" spans="1:13" ht="15.75">
      <c r="A16" s="446" t="s">
        <v>1589</v>
      </c>
      <c r="B16" s="441" t="s">
        <v>1590</v>
      </c>
      <c r="C16" s="442" t="s">
        <v>1570</v>
      </c>
      <c r="D16" s="447">
        <v>1</v>
      </c>
      <c r="E16" s="444">
        <v>103758686.10096434</v>
      </c>
      <c r="F16" s="445"/>
    </row>
    <row r="17" spans="1:6" ht="15.75">
      <c r="A17" s="446" t="s">
        <v>1591</v>
      </c>
      <c r="B17" s="441" t="s">
        <v>1592</v>
      </c>
      <c r="C17" s="442" t="s">
        <v>1570</v>
      </c>
      <c r="D17" s="447">
        <v>1</v>
      </c>
      <c r="E17" s="444">
        <v>167776040.02142859</v>
      </c>
      <c r="F17" s="445"/>
    </row>
    <row r="18" spans="1:6" ht="15.75">
      <c r="A18" s="446" t="s">
        <v>1593</v>
      </c>
      <c r="B18" s="441" t="s">
        <v>1594</v>
      </c>
      <c r="C18" s="442" t="s">
        <v>1570</v>
      </c>
      <c r="D18" s="447">
        <v>1</v>
      </c>
      <c r="E18" s="444">
        <v>185475746.69999999</v>
      </c>
      <c r="F18" s="445"/>
    </row>
    <row r="19" spans="1:6" ht="15.75">
      <c r="A19" s="446" t="s">
        <v>1595</v>
      </c>
      <c r="B19" s="441" t="s">
        <v>1596</v>
      </c>
      <c r="C19" s="442" t="s">
        <v>1570</v>
      </c>
      <c r="D19" s="447">
        <v>1</v>
      </c>
      <c r="E19" s="444">
        <v>210377797.25</v>
      </c>
      <c r="F19" s="445"/>
    </row>
    <row r="20" spans="1:6" ht="15.75">
      <c r="A20" s="446" t="s">
        <v>1597</v>
      </c>
      <c r="B20" s="441" t="s">
        <v>1598</v>
      </c>
      <c r="C20" s="442" t="s">
        <v>1570</v>
      </c>
      <c r="D20" s="447">
        <v>1</v>
      </c>
      <c r="E20" s="444">
        <v>354833537.30000001</v>
      </c>
      <c r="F20" s="445"/>
    </row>
    <row r="21" spans="1:6" ht="15.75">
      <c r="A21" s="446" t="s">
        <v>1599</v>
      </c>
      <c r="B21" s="441" t="s">
        <v>1600</v>
      </c>
      <c r="C21" s="442" t="s">
        <v>1570</v>
      </c>
      <c r="D21" s="447">
        <v>1</v>
      </c>
      <c r="E21" s="444">
        <v>92393446.895964324</v>
      </c>
      <c r="F21" s="445"/>
    </row>
    <row r="22" spans="1:6" ht="15.75">
      <c r="A22" s="446" t="s">
        <v>1601</v>
      </c>
      <c r="B22" s="441" t="s">
        <v>1602</v>
      </c>
      <c r="C22" s="442" t="s">
        <v>1570</v>
      </c>
      <c r="D22" s="447">
        <v>1</v>
      </c>
      <c r="E22" s="444">
        <v>76855250.875964329</v>
      </c>
      <c r="F22" s="445"/>
    </row>
    <row r="23" spans="1:6" ht="15.75">
      <c r="A23" s="446" t="s">
        <v>1603</v>
      </c>
      <c r="B23" s="441" t="s">
        <v>1604</v>
      </c>
      <c r="C23" s="442" t="s">
        <v>1570</v>
      </c>
      <c r="D23" s="447">
        <v>1</v>
      </c>
      <c r="E23" s="444">
        <v>70868822.375964329</v>
      </c>
      <c r="F23" s="445"/>
    </row>
    <row r="24" spans="1:6" ht="15.75">
      <c r="A24" s="432" t="s">
        <v>29</v>
      </c>
      <c r="B24" s="435" t="s">
        <v>1605</v>
      </c>
      <c r="C24" s="436"/>
      <c r="D24" s="437"/>
      <c r="E24" s="438"/>
      <c r="F24" s="439"/>
    </row>
    <row r="25" spans="1:6" ht="15.75">
      <c r="A25" s="440" t="s">
        <v>0</v>
      </c>
      <c r="B25" s="441" t="s">
        <v>1606</v>
      </c>
      <c r="C25" s="442" t="s">
        <v>1570</v>
      </c>
      <c r="D25" s="443">
        <v>1</v>
      </c>
      <c r="E25" s="444">
        <v>22501924.649999999</v>
      </c>
      <c r="F25" s="445"/>
    </row>
    <row r="26" spans="1:6" ht="31.5">
      <c r="A26" s="440" t="s">
        <v>25</v>
      </c>
      <c r="B26" s="441" t="s">
        <v>1607</v>
      </c>
      <c r="C26" s="442" t="s">
        <v>1570</v>
      </c>
      <c r="D26" s="443">
        <v>1</v>
      </c>
      <c r="E26" s="444">
        <v>66669759.600000001</v>
      </c>
      <c r="F26" s="445"/>
    </row>
    <row r="27" spans="1:6" ht="31.5">
      <c r="A27" s="448" t="s">
        <v>26</v>
      </c>
      <c r="B27" s="441" t="s">
        <v>1608</v>
      </c>
      <c r="C27" s="442" t="s">
        <v>1570</v>
      </c>
      <c r="D27" s="443">
        <v>1</v>
      </c>
      <c r="E27" s="444">
        <v>34075777.649999999</v>
      </c>
      <c r="F27" s="445"/>
    </row>
    <row r="28" spans="1:6" ht="31.5">
      <c r="A28" s="448" t="s">
        <v>110</v>
      </c>
      <c r="B28" s="441" t="s">
        <v>1609</v>
      </c>
      <c r="C28" s="442" t="s">
        <v>1570</v>
      </c>
      <c r="D28" s="447">
        <v>1</v>
      </c>
      <c r="E28" s="444">
        <v>53265158.350000001</v>
      </c>
      <c r="F28" s="445"/>
    </row>
    <row r="29" spans="1:6" ht="15.75">
      <c r="A29" s="449" t="s">
        <v>30</v>
      </c>
      <c r="B29" s="450" t="s">
        <v>1610</v>
      </c>
      <c r="C29" s="451"/>
      <c r="D29" s="437"/>
      <c r="E29" s="438"/>
      <c r="F29" s="439"/>
    </row>
    <row r="30" spans="1:6" ht="15.75">
      <c r="A30" s="440" t="s">
        <v>0</v>
      </c>
      <c r="B30" s="441" t="s">
        <v>1611</v>
      </c>
      <c r="C30" s="442" t="s">
        <v>1570</v>
      </c>
      <c r="D30" s="443">
        <v>1</v>
      </c>
      <c r="E30" s="444">
        <v>19330052.725000001</v>
      </c>
      <c r="F30" s="445"/>
    </row>
    <row r="31" spans="1:6" ht="15.75">
      <c r="A31" s="440" t="s">
        <v>25</v>
      </c>
      <c r="B31" s="441" t="s">
        <v>1612</v>
      </c>
      <c r="C31" s="442" t="s">
        <v>1570</v>
      </c>
      <c r="D31" s="443">
        <v>1</v>
      </c>
      <c r="E31" s="444">
        <v>38660105.450000003</v>
      </c>
      <c r="F31" s="445"/>
    </row>
    <row r="32" spans="1:6" ht="15.75">
      <c r="A32" s="448" t="s">
        <v>26</v>
      </c>
      <c r="B32" s="441" t="s">
        <v>1613</v>
      </c>
      <c r="C32" s="442" t="s">
        <v>1570</v>
      </c>
      <c r="D32" s="443">
        <v>1</v>
      </c>
      <c r="E32" s="444">
        <v>77789326.950000003</v>
      </c>
      <c r="F32" s="445"/>
    </row>
    <row r="33" spans="1:6" ht="15.75">
      <c r="A33" s="448" t="s">
        <v>110</v>
      </c>
      <c r="B33" s="441" t="s">
        <v>1614</v>
      </c>
      <c r="C33" s="442" t="s">
        <v>1570</v>
      </c>
      <c r="D33" s="447">
        <v>1</v>
      </c>
      <c r="E33" s="444">
        <v>168827373.80000001</v>
      </c>
      <c r="F33" s="445"/>
    </row>
    <row r="34" spans="1:6" ht="15.75">
      <c r="A34" s="448" t="s">
        <v>112</v>
      </c>
      <c r="B34" s="441" t="s">
        <v>1615</v>
      </c>
      <c r="C34" s="442" t="s">
        <v>1570</v>
      </c>
      <c r="D34" s="447">
        <v>1</v>
      </c>
      <c r="E34" s="444">
        <v>200336245.65000001</v>
      </c>
      <c r="F34" s="445"/>
    </row>
    <row r="35" spans="1:6" ht="15.75">
      <c r="A35" s="448" t="s">
        <v>465</v>
      </c>
      <c r="B35" s="441" t="s">
        <v>1616</v>
      </c>
      <c r="C35" s="442" t="s">
        <v>1570</v>
      </c>
      <c r="D35" s="447">
        <v>1</v>
      </c>
      <c r="E35" s="444">
        <v>204556116.59999999</v>
      </c>
      <c r="F35" s="445"/>
    </row>
    <row r="36" spans="1:6" ht="15.75">
      <c r="A36" s="448" t="s">
        <v>468</v>
      </c>
      <c r="B36" s="441" t="s">
        <v>1617</v>
      </c>
      <c r="C36" s="442" t="s">
        <v>1570</v>
      </c>
      <c r="D36" s="447">
        <v>1</v>
      </c>
      <c r="E36" s="444">
        <v>78115130</v>
      </c>
      <c r="F36" s="445"/>
    </row>
    <row r="37" spans="1:6" ht="15.75">
      <c r="A37" s="448" t="s">
        <v>473</v>
      </c>
      <c r="B37" s="441" t="s">
        <v>1618</v>
      </c>
      <c r="C37" s="442" t="s">
        <v>1570</v>
      </c>
      <c r="D37" s="447">
        <v>1</v>
      </c>
      <c r="E37" s="444">
        <v>44223112</v>
      </c>
      <c r="F37" s="445"/>
    </row>
    <row r="38" spans="1:6" ht="15.75">
      <c r="A38" s="448" t="s">
        <v>474</v>
      </c>
      <c r="B38" s="441" t="s">
        <v>1619</v>
      </c>
      <c r="C38" s="442" t="s">
        <v>1570</v>
      </c>
      <c r="D38" s="447">
        <v>1</v>
      </c>
      <c r="E38" s="444">
        <v>78133651.900000006</v>
      </c>
      <c r="F38" s="445"/>
    </row>
    <row r="39" spans="1:6" ht="15.75">
      <c r="A39" s="448" t="s">
        <v>475</v>
      </c>
      <c r="B39" s="441" t="s">
        <v>1620</v>
      </c>
      <c r="C39" s="442" t="s">
        <v>1570</v>
      </c>
      <c r="D39" s="447">
        <v>1</v>
      </c>
      <c r="E39" s="444">
        <v>137533758.94999999</v>
      </c>
      <c r="F39" s="445"/>
    </row>
    <row r="40" spans="1:6" ht="15.75">
      <c r="A40" s="432" t="s">
        <v>31</v>
      </c>
      <c r="B40" s="435" t="s">
        <v>1621</v>
      </c>
      <c r="C40" s="436"/>
      <c r="D40" s="437"/>
      <c r="E40" s="438"/>
      <c r="F40" s="452"/>
    </row>
    <row r="41" spans="1:6" ht="15.75">
      <c r="A41" s="440" t="s">
        <v>0</v>
      </c>
      <c r="B41" s="441" t="s">
        <v>1622</v>
      </c>
      <c r="C41" s="442" t="s">
        <v>1570</v>
      </c>
      <c r="D41" s="443">
        <v>1</v>
      </c>
      <c r="E41" s="444">
        <v>95198679</v>
      </c>
      <c r="F41" s="445"/>
    </row>
    <row r="42" spans="1:6" ht="15.75">
      <c r="A42" s="446" t="s">
        <v>25</v>
      </c>
      <c r="B42" s="441" t="s">
        <v>1623</v>
      </c>
      <c r="C42" s="442" t="s">
        <v>1570</v>
      </c>
      <c r="D42" s="443">
        <v>1</v>
      </c>
      <c r="E42" s="444">
        <v>97022521.5</v>
      </c>
      <c r="F42" s="445"/>
    </row>
    <row r="43" spans="1:6" ht="15.75">
      <c r="A43" s="446" t="s">
        <v>26</v>
      </c>
      <c r="B43" s="441" t="s">
        <v>1624</v>
      </c>
      <c r="C43" s="442" t="s">
        <v>1570</v>
      </c>
      <c r="D43" s="447">
        <v>1</v>
      </c>
      <c r="E43" s="444">
        <v>104816875.34999999</v>
      </c>
      <c r="F43" s="445"/>
    </row>
    <row r="44" spans="1:6" ht="15.75">
      <c r="A44" s="446" t="s">
        <v>110</v>
      </c>
      <c r="B44" s="441" t="s">
        <v>1625</v>
      </c>
      <c r="C44" s="442" t="s">
        <v>1570</v>
      </c>
      <c r="D44" s="447">
        <v>1</v>
      </c>
      <c r="E44" s="444">
        <v>94622547.400000006</v>
      </c>
      <c r="F44" s="445"/>
    </row>
    <row r="45" spans="1:6" ht="15.75">
      <c r="A45" s="446" t="s">
        <v>112</v>
      </c>
      <c r="B45" s="441" t="s">
        <v>1626</v>
      </c>
      <c r="C45" s="442" t="s">
        <v>1570</v>
      </c>
      <c r="D45" s="447">
        <v>1</v>
      </c>
      <c r="E45" s="444">
        <v>111417992.65000001</v>
      </c>
      <c r="F45" s="445"/>
    </row>
    <row r="46" spans="1:6" ht="15.75">
      <c r="A46" s="446" t="s">
        <v>465</v>
      </c>
      <c r="B46" s="441" t="s">
        <v>1627</v>
      </c>
      <c r="C46" s="442" t="s">
        <v>1570</v>
      </c>
      <c r="D46" s="447">
        <v>1</v>
      </c>
      <c r="E46" s="444">
        <v>52230436.649999999</v>
      </c>
      <c r="F46" s="445"/>
    </row>
    <row r="47" spans="1:6" ht="15.75">
      <c r="A47" s="446" t="s">
        <v>468</v>
      </c>
      <c r="B47" s="441" t="s">
        <v>1628</v>
      </c>
      <c r="C47" s="442" t="s">
        <v>1570</v>
      </c>
      <c r="D47" s="447">
        <v>1</v>
      </c>
      <c r="E47" s="444">
        <v>48534068.700000003</v>
      </c>
      <c r="F47" s="445"/>
    </row>
    <row r="48" spans="1:6" ht="15.75">
      <c r="A48" s="432" t="s">
        <v>330</v>
      </c>
      <c r="B48" s="435" t="s">
        <v>1629</v>
      </c>
    </row>
    <row r="49" spans="1:6" ht="15.75">
      <c r="A49" s="440" t="s">
        <v>0</v>
      </c>
      <c r="B49" s="441" t="s">
        <v>1630</v>
      </c>
      <c r="C49" s="442" t="s">
        <v>1570</v>
      </c>
      <c r="D49" s="443">
        <v>1</v>
      </c>
      <c r="E49" s="444">
        <v>161973338.19999999</v>
      </c>
      <c r="F49" s="445" t="s">
        <v>586</v>
      </c>
    </row>
    <row r="50" spans="1:6" ht="15.75">
      <c r="A50" s="440" t="s">
        <v>0</v>
      </c>
      <c r="B50" s="441" t="s">
        <v>1631</v>
      </c>
      <c r="C50" s="442" t="s">
        <v>1570</v>
      </c>
      <c r="D50" s="443">
        <v>1</v>
      </c>
      <c r="E50" s="444">
        <v>324843338.19999999</v>
      </c>
      <c r="F50" s="445" t="s">
        <v>586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ColWidth="11.42578125" defaultRowHeight="15"/>
  <cols>
    <col min="2" max="2" width="41.710937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12"/>
  <sheetViews>
    <sheetView workbookViewId="0">
      <selection activeCell="G20" sqref="G20"/>
    </sheetView>
  </sheetViews>
  <sheetFormatPr defaultColWidth="8.85546875" defaultRowHeight="15"/>
  <cols>
    <col min="1" max="1" width="30.7109375" customWidth="1"/>
  </cols>
  <sheetData>
    <row r="1" spans="1:4" ht="15.75" thickBot="1"/>
    <row r="2" spans="1:4">
      <c r="A2" s="204" t="s">
        <v>1421</v>
      </c>
      <c r="B2" s="205">
        <f>B6*B8+B7</f>
        <v>0.16405</v>
      </c>
      <c r="D2" t="s">
        <v>1422</v>
      </c>
    </row>
    <row r="3" spans="1:4">
      <c r="A3" s="206" t="s">
        <v>1423</v>
      </c>
      <c r="B3" s="207">
        <v>0.66</v>
      </c>
      <c r="C3" s="116" t="s">
        <v>1424</v>
      </c>
    </row>
    <row r="4" spans="1:4">
      <c r="A4" s="206" t="s">
        <v>1425</v>
      </c>
      <c r="B4" s="208">
        <f>+B10/B11</f>
        <v>1.4999999999999998</v>
      </c>
      <c r="D4" s="209"/>
    </row>
    <row r="5" spans="1:4">
      <c r="A5" s="206" t="s">
        <v>1426</v>
      </c>
      <c r="B5" s="210">
        <v>0.2</v>
      </c>
    </row>
    <row r="6" spans="1:4">
      <c r="A6" s="206" t="s">
        <v>1427</v>
      </c>
      <c r="B6" s="211">
        <f>B3*(1+B4*(1-B5))</f>
        <v>1.4520000000000002</v>
      </c>
    </row>
    <row r="7" spans="1:4">
      <c r="A7" s="206" t="s">
        <v>1428</v>
      </c>
      <c r="B7" s="212">
        <v>3.6999999999999998E-2</v>
      </c>
      <c r="C7" s="116" t="s">
        <v>1429</v>
      </c>
    </row>
    <row r="8" spans="1:4">
      <c r="A8" s="206" t="s">
        <v>1430</v>
      </c>
      <c r="B8" s="212">
        <v>8.7499999999999994E-2</v>
      </c>
      <c r="C8" s="116" t="s">
        <v>1431</v>
      </c>
    </row>
    <row r="9" spans="1:4">
      <c r="A9" s="206" t="s">
        <v>1432</v>
      </c>
      <c r="B9" s="212">
        <v>0.08</v>
      </c>
    </row>
    <row r="10" spans="1:4">
      <c r="A10" s="206" t="s">
        <v>1433</v>
      </c>
      <c r="B10" s="210">
        <v>0.6</v>
      </c>
    </row>
    <row r="11" spans="1:4">
      <c r="A11" s="206" t="s">
        <v>1434</v>
      </c>
      <c r="B11" s="210">
        <f>1-B10</f>
        <v>0.4</v>
      </c>
    </row>
    <row r="12" spans="1:4" ht="15.75" thickBot="1">
      <c r="A12" s="213" t="s">
        <v>1435</v>
      </c>
      <c r="B12" s="214">
        <f>B2*B11+B9*B10*(1-B5)</f>
        <v>0.10402</v>
      </c>
    </row>
  </sheetData>
  <hyperlinks>
    <hyperlink ref="C3" r:id="rId1"/>
    <hyperlink ref="C8" r:id="rId2"/>
    <hyperlink ref="C7" r:id="rId3"/>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BO9"/>
  <sheetViews>
    <sheetView workbookViewId="0">
      <selection activeCell="B7" sqref="B7"/>
    </sheetView>
  </sheetViews>
  <sheetFormatPr defaultColWidth="8.85546875" defaultRowHeight="15"/>
  <cols>
    <col min="2" max="2" width="44.42578125" bestFit="1" customWidth="1"/>
  </cols>
  <sheetData>
    <row r="2" spans="1:67">
      <c r="B2" s="11" t="s">
        <v>236</v>
      </c>
    </row>
    <row r="3" spans="1:67">
      <c r="A3" s="2" t="s">
        <v>26</v>
      </c>
      <c r="B3" s="4" t="s">
        <v>228</v>
      </c>
      <c r="D3" s="103" t="s">
        <v>47</v>
      </c>
      <c r="E3" s="103" t="s">
        <v>48</v>
      </c>
      <c r="F3" s="103" t="s">
        <v>49</v>
      </c>
      <c r="G3" s="103" t="s">
        <v>50</v>
      </c>
      <c r="H3" s="103" t="s">
        <v>51</v>
      </c>
      <c r="I3" s="103" t="s">
        <v>53</v>
      </c>
      <c r="J3" s="103" t="s">
        <v>52</v>
      </c>
      <c r="K3" s="104" t="s">
        <v>54</v>
      </c>
      <c r="L3" s="104" t="s">
        <v>55</v>
      </c>
      <c r="M3" s="104" t="s">
        <v>56</v>
      </c>
      <c r="N3" s="104" t="s">
        <v>57</v>
      </c>
      <c r="O3" s="104" t="s">
        <v>58</v>
      </c>
      <c r="P3" s="104" t="s">
        <v>59</v>
      </c>
      <c r="Q3" s="104" t="s">
        <v>60</v>
      </c>
      <c r="R3" s="104" t="s">
        <v>61</v>
      </c>
      <c r="S3" s="104" t="s">
        <v>62</v>
      </c>
      <c r="T3" s="3" t="s">
        <v>63</v>
      </c>
      <c r="U3" s="3" t="s">
        <v>64</v>
      </c>
      <c r="V3" s="3" t="s">
        <v>65</v>
      </c>
      <c r="W3" s="3" t="s">
        <v>66</v>
      </c>
      <c r="X3" s="3" t="s">
        <v>67</v>
      </c>
      <c r="Y3" s="3" t="s">
        <v>68</v>
      </c>
      <c r="Z3" s="3" t="s">
        <v>69</v>
      </c>
      <c r="AA3" s="8" t="s">
        <v>440</v>
      </c>
      <c r="AB3" s="102" t="s">
        <v>441</v>
      </c>
      <c r="AC3" s="3" t="s">
        <v>70</v>
      </c>
      <c r="AD3" s="3" t="s">
        <v>71</v>
      </c>
      <c r="AE3" s="1" t="s">
        <v>72</v>
      </c>
      <c r="AF3" s="3" t="s">
        <v>73</v>
      </c>
      <c r="AG3" s="3" t="s">
        <v>74</v>
      </c>
      <c r="AH3" s="9" t="s">
        <v>75</v>
      </c>
      <c r="AI3" s="9" t="s">
        <v>76</v>
      </c>
      <c r="AJ3" s="9" t="s">
        <v>77</v>
      </c>
      <c r="AK3" s="9" t="s">
        <v>78</v>
      </c>
      <c r="AL3" s="9" t="s">
        <v>79</v>
      </c>
      <c r="AM3" s="3" t="s">
        <v>80</v>
      </c>
      <c r="AN3" s="3" t="s">
        <v>81</v>
      </c>
      <c r="AO3" s="3" t="s">
        <v>82</v>
      </c>
      <c r="AP3" s="3" t="s">
        <v>83</v>
      </c>
      <c r="AQ3" s="3" t="s">
        <v>84</v>
      </c>
      <c r="AR3" s="3" t="s">
        <v>85</v>
      </c>
      <c r="AS3" s="3" t="s">
        <v>86</v>
      </c>
      <c r="AT3" s="3" t="s">
        <v>87</v>
      </c>
      <c r="AU3" s="3" t="s">
        <v>88</v>
      </c>
      <c r="AV3" s="3" t="s">
        <v>89</v>
      </c>
      <c r="AW3" s="3" t="s">
        <v>90</v>
      </c>
      <c r="AX3" s="3" t="s">
        <v>91</v>
      </c>
      <c r="AY3" s="3" t="s">
        <v>92</v>
      </c>
      <c r="AZ3" s="3" t="s">
        <v>93</v>
      </c>
      <c r="BA3" s="3" t="s">
        <v>94</v>
      </c>
      <c r="BB3" s="3" t="s">
        <v>95</v>
      </c>
      <c r="BC3" s="3" t="s">
        <v>96</v>
      </c>
      <c r="BD3" s="3" t="s">
        <v>97</v>
      </c>
      <c r="BE3" s="3" t="s">
        <v>98</v>
      </c>
      <c r="BF3" s="3" t="s">
        <v>99</v>
      </c>
      <c r="BG3" s="3" t="s">
        <v>100</v>
      </c>
      <c r="BH3" s="3" t="s">
        <v>101</v>
      </c>
      <c r="BI3" s="3" t="s">
        <v>102</v>
      </c>
      <c r="BJ3" s="3" t="s">
        <v>103</v>
      </c>
      <c r="BK3" s="3" t="s">
        <v>104</v>
      </c>
      <c r="BL3" s="3" t="s">
        <v>105</v>
      </c>
      <c r="BM3" s="3" t="s">
        <v>106</v>
      </c>
      <c r="BN3" s="3" t="s">
        <v>107</v>
      </c>
      <c r="BO3" s="3" t="s">
        <v>108</v>
      </c>
    </row>
    <row r="4" spans="1:67">
      <c r="A4" s="2">
        <v>1</v>
      </c>
      <c r="B4" s="2" t="s">
        <v>229</v>
      </c>
    </row>
    <row r="5" spans="1:67" ht="19.5" customHeight="1">
      <c r="A5" s="2">
        <f>A4+1</f>
        <v>2</v>
      </c>
      <c r="B5" s="2" t="s">
        <v>230</v>
      </c>
    </row>
    <row r="6" spans="1:67" ht="30">
      <c r="A6" s="2">
        <f>A5+1</f>
        <v>3</v>
      </c>
      <c r="B6" s="10" t="s">
        <v>231</v>
      </c>
    </row>
    <row r="7" spans="1:67" ht="30">
      <c r="A7" s="2">
        <f>A6+1</f>
        <v>4</v>
      </c>
      <c r="B7" s="10" t="s">
        <v>232</v>
      </c>
    </row>
    <row r="8" spans="1:67" ht="30">
      <c r="A8" s="2">
        <f>A7+1</f>
        <v>5</v>
      </c>
      <c r="B8" s="10" t="s">
        <v>234</v>
      </c>
    </row>
    <row r="9" spans="1:67" ht="30">
      <c r="A9" s="2">
        <f>A8+1</f>
        <v>6</v>
      </c>
      <c r="B9" s="10" t="s">
        <v>233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8"/>
  <sheetViews>
    <sheetView workbookViewId="0">
      <selection activeCell="E8" sqref="E8"/>
    </sheetView>
  </sheetViews>
  <sheetFormatPr defaultColWidth="8.42578125" defaultRowHeight="20.25" customHeight="1"/>
  <cols>
    <col min="1" max="1" width="15.140625" style="12" customWidth="1"/>
    <col min="2" max="2" width="61.42578125" style="12" customWidth="1"/>
    <col min="3" max="3" width="12.28515625" style="12" customWidth="1"/>
    <col min="4" max="4" width="22.85546875" style="12" bestFit="1" customWidth="1"/>
    <col min="5" max="5" width="10.28515625" style="12" customWidth="1"/>
    <col min="6" max="6" width="11.28515625" style="12" customWidth="1"/>
    <col min="7" max="7" width="9.42578125" style="12" customWidth="1"/>
    <col min="8" max="8" width="11.28515625" style="12" customWidth="1"/>
    <col min="9" max="256" width="8.42578125" style="12"/>
    <col min="257" max="257" width="5.7109375" style="12" customWidth="1"/>
    <col min="258" max="258" width="61.42578125" style="12" customWidth="1"/>
    <col min="259" max="259" width="11.42578125" style="12" customWidth="1"/>
    <col min="260" max="260" width="31.42578125" style="12" customWidth="1"/>
    <col min="261" max="263" width="0" style="12" hidden="1" customWidth="1"/>
    <col min="264" max="264" width="21.42578125" style="12" customWidth="1"/>
    <col min="265" max="512" width="8.42578125" style="12"/>
    <col min="513" max="513" width="5.7109375" style="12" customWidth="1"/>
    <col min="514" max="514" width="61.42578125" style="12" customWidth="1"/>
    <col min="515" max="515" width="11.42578125" style="12" customWidth="1"/>
    <col min="516" max="516" width="31.42578125" style="12" customWidth="1"/>
    <col min="517" max="519" width="0" style="12" hidden="1" customWidth="1"/>
    <col min="520" max="520" width="21.42578125" style="12" customWidth="1"/>
    <col min="521" max="768" width="8.42578125" style="12"/>
    <col min="769" max="769" width="5.7109375" style="12" customWidth="1"/>
    <col min="770" max="770" width="61.42578125" style="12" customWidth="1"/>
    <col min="771" max="771" width="11.42578125" style="12" customWidth="1"/>
    <col min="772" max="772" width="31.42578125" style="12" customWidth="1"/>
    <col min="773" max="775" width="0" style="12" hidden="1" customWidth="1"/>
    <col min="776" max="776" width="21.42578125" style="12" customWidth="1"/>
    <col min="777" max="1024" width="8.42578125" style="12"/>
    <col min="1025" max="1025" width="5.7109375" style="12" customWidth="1"/>
    <col min="1026" max="1026" width="61.42578125" style="12" customWidth="1"/>
    <col min="1027" max="1027" width="11.42578125" style="12" customWidth="1"/>
    <col min="1028" max="1028" width="31.42578125" style="12" customWidth="1"/>
    <col min="1029" max="1031" width="0" style="12" hidden="1" customWidth="1"/>
    <col min="1032" max="1032" width="21.42578125" style="12" customWidth="1"/>
    <col min="1033" max="1280" width="8.42578125" style="12"/>
    <col min="1281" max="1281" width="5.7109375" style="12" customWidth="1"/>
    <col min="1282" max="1282" width="61.42578125" style="12" customWidth="1"/>
    <col min="1283" max="1283" width="11.42578125" style="12" customWidth="1"/>
    <col min="1284" max="1284" width="31.42578125" style="12" customWidth="1"/>
    <col min="1285" max="1287" width="0" style="12" hidden="1" customWidth="1"/>
    <col min="1288" max="1288" width="21.42578125" style="12" customWidth="1"/>
    <col min="1289" max="1536" width="8.42578125" style="12"/>
    <col min="1537" max="1537" width="5.7109375" style="12" customWidth="1"/>
    <col min="1538" max="1538" width="61.42578125" style="12" customWidth="1"/>
    <col min="1539" max="1539" width="11.42578125" style="12" customWidth="1"/>
    <col min="1540" max="1540" width="31.42578125" style="12" customWidth="1"/>
    <col min="1541" max="1543" width="0" style="12" hidden="1" customWidth="1"/>
    <col min="1544" max="1544" width="21.42578125" style="12" customWidth="1"/>
    <col min="1545" max="1792" width="8.42578125" style="12"/>
    <col min="1793" max="1793" width="5.7109375" style="12" customWidth="1"/>
    <col min="1794" max="1794" width="61.42578125" style="12" customWidth="1"/>
    <col min="1795" max="1795" width="11.42578125" style="12" customWidth="1"/>
    <col min="1796" max="1796" width="31.42578125" style="12" customWidth="1"/>
    <col min="1797" max="1799" width="0" style="12" hidden="1" customWidth="1"/>
    <col min="1800" max="1800" width="21.42578125" style="12" customWidth="1"/>
    <col min="1801" max="2048" width="8.42578125" style="12"/>
    <col min="2049" max="2049" width="5.7109375" style="12" customWidth="1"/>
    <col min="2050" max="2050" width="61.42578125" style="12" customWidth="1"/>
    <col min="2051" max="2051" width="11.42578125" style="12" customWidth="1"/>
    <col min="2052" max="2052" width="31.42578125" style="12" customWidth="1"/>
    <col min="2053" max="2055" width="0" style="12" hidden="1" customWidth="1"/>
    <col min="2056" max="2056" width="21.42578125" style="12" customWidth="1"/>
    <col min="2057" max="2304" width="8.42578125" style="12"/>
    <col min="2305" max="2305" width="5.7109375" style="12" customWidth="1"/>
    <col min="2306" max="2306" width="61.42578125" style="12" customWidth="1"/>
    <col min="2307" max="2307" width="11.42578125" style="12" customWidth="1"/>
    <col min="2308" max="2308" width="31.42578125" style="12" customWidth="1"/>
    <col min="2309" max="2311" width="0" style="12" hidden="1" customWidth="1"/>
    <col min="2312" max="2312" width="21.42578125" style="12" customWidth="1"/>
    <col min="2313" max="2560" width="8.42578125" style="12"/>
    <col min="2561" max="2561" width="5.7109375" style="12" customWidth="1"/>
    <col min="2562" max="2562" width="61.42578125" style="12" customWidth="1"/>
    <col min="2563" max="2563" width="11.42578125" style="12" customWidth="1"/>
    <col min="2564" max="2564" width="31.42578125" style="12" customWidth="1"/>
    <col min="2565" max="2567" width="0" style="12" hidden="1" customWidth="1"/>
    <col min="2568" max="2568" width="21.42578125" style="12" customWidth="1"/>
    <col min="2569" max="2816" width="8.42578125" style="12"/>
    <col min="2817" max="2817" width="5.7109375" style="12" customWidth="1"/>
    <col min="2818" max="2818" width="61.42578125" style="12" customWidth="1"/>
    <col min="2819" max="2819" width="11.42578125" style="12" customWidth="1"/>
    <col min="2820" max="2820" width="31.42578125" style="12" customWidth="1"/>
    <col min="2821" max="2823" width="0" style="12" hidden="1" customWidth="1"/>
    <col min="2824" max="2824" width="21.42578125" style="12" customWidth="1"/>
    <col min="2825" max="3072" width="8.42578125" style="12"/>
    <col min="3073" max="3073" width="5.7109375" style="12" customWidth="1"/>
    <col min="3074" max="3074" width="61.42578125" style="12" customWidth="1"/>
    <col min="3075" max="3075" width="11.42578125" style="12" customWidth="1"/>
    <col min="3076" max="3076" width="31.42578125" style="12" customWidth="1"/>
    <col min="3077" max="3079" width="0" style="12" hidden="1" customWidth="1"/>
    <col min="3080" max="3080" width="21.42578125" style="12" customWidth="1"/>
    <col min="3081" max="3328" width="8.42578125" style="12"/>
    <col min="3329" max="3329" width="5.7109375" style="12" customWidth="1"/>
    <col min="3330" max="3330" width="61.42578125" style="12" customWidth="1"/>
    <col min="3331" max="3331" width="11.42578125" style="12" customWidth="1"/>
    <col min="3332" max="3332" width="31.42578125" style="12" customWidth="1"/>
    <col min="3333" max="3335" width="0" style="12" hidden="1" customWidth="1"/>
    <col min="3336" max="3336" width="21.42578125" style="12" customWidth="1"/>
    <col min="3337" max="3584" width="8.42578125" style="12"/>
    <col min="3585" max="3585" width="5.7109375" style="12" customWidth="1"/>
    <col min="3586" max="3586" width="61.42578125" style="12" customWidth="1"/>
    <col min="3587" max="3587" width="11.42578125" style="12" customWidth="1"/>
    <col min="3588" max="3588" width="31.42578125" style="12" customWidth="1"/>
    <col min="3589" max="3591" width="0" style="12" hidden="1" customWidth="1"/>
    <col min="3592" max="3592" width="21.42578125" style="12" customWidth="1"/>
    <col min="3593" max="3840" width="8.42578125" style="12"/>
    <col min="3841" max="3841" width="5.7109375" style="12" customWidth="1"/>
    <col min="3842" max="3842" width="61.42578125" style="12" customWidth="1"/>
    <col min="3843" max="3843" width="11.42578125" style="12" customWidth="1"/>
    <col min="3844" max="3844" width="31.42578125" style="12" customWidth="1"/>
    <col min="3845" max="3847" width="0" style="12" hidden="1" customWidth="1"/>
    <col min="3848" max="3848" width="21.42578125" style="12" customWidth="1"/>
    <col min="3849" max="4096" width="8.42578125" style="12"/>
    <col min="4097" max="4097" width="5.7109375" style="12" customWidth="1"/>
    <col min="4098" max="4098" width="61.42578125" style="12" customWidth="1"/>
    <col min="4099" max="4099" width="11.42578125" style="12" customWidth="1"/>
    <col min="4100" max="4100" width="31.42578125" style="12" customWidth="1"/>
    <col min="4101" max="4103" width="0" style="12" hidden="1" customWidth="1"/>
    <col min="4104" max="4104" width="21.42578125" style="12" customWidth="1"/>
    <col min="4105" max="4352" width="8.42578125" style="12"/>
    <col min="4353" max="4353" width="5.7109375" style="12" customWidth="1"/>
    <col min="4354" max="4354" width="61.42578125" style="12" customWidth="1"/>
    <col min="4355" max="4355" width="11.42578125" style="12" customWidth="1"/>
    <col min="4356" max="4356" width="31.42578125" style="12" customWidth="1"/>
    <col min="4357" max="4359" width="0" style="12" hidden="1" customWidth="1"/>
    <col min="4360" max="4360" width="21.42578125" style="12" customWidth="1"/>
    <col min="4361" max="4608" width="8.42578125" style="12"/>
    <col min="4609" max="4609" width="5.7109375" style="12" customWidth="1"/>
    <col min="4610" max="4610" width="61.42578125" style="12" customWidth="1"/>
    <col min="4611" max="4611" width="11.42578125" style="12" customWidth="1"/>
    <col min="4612" max="4612" width="31.42578125" style="12" customWidth="1"/>
    <col min="4613" max="4615" width="0" style="12" hidden="1" customWidth="1"/>
    <col min="4616" max="4616" width="21.42578125" style="12" customWidth="1"/>
    <col min="4617" max="4864" width="8.42578125" style="12"/>
    <col min="4865" max="4865" width="5.7109375" style="12" customWidth="1"/>
    <col min="4866" max="4866" width="61.42578125" style="12" customWidth="1"/>
    <col min="4867" max="4867" width="11.42578125" style="12" customWidth="1"/>
    <col min="4868" max="4868" width="31.42578125" style="12" customWidth="1"/>
    <col min="4869" max="4871" width="0" style="12" hidden="1" customWidth="1"/>
    <col min="4872" max="4872" width="21.42578125" style="12" customWidth="1"/>
    <col min="4873" max="5120" width="8.42578125" style="12"/>
    <col min="5121" max="5121" width="5.7109375" style="12" customWidth="1"/>
    <col min="5122" max="5122" width="61.42578125" style="12" customWidth="1"/>
    <col min="5123" max="5123" width="11.42578125" style="12" customWidth="1"/>
    <col min="5124" max="5124" width="31.42578125" style="12" customWidth="1"/>
    <col min="5125" max="5127" width="0" style="12" hidden="1" customWidth="1"/>
    <col min="5128" max="5128" width="21.42578125" style="12" customWidth="1"/>
    <col min="5129" max="5376" width="8.42578125" style="12"/>
    <col min="5377" max="5377" width="5.7109375" style="12" customWidth="1"/>
    <col min="5378" max="5378" width="61.42578125" style="12" customWidth="1"/>
    <col min="5379" max="5379" width="11.42578125" style="12" customWidth="1"/>
    <col min="5380" max="5380" width="31.42578125" style="12" customWidth="1"/>
    <col min="5381" max="5383" width="0" style="12" hidden="1" customWidth="1"/>
    <col min="5384" max="5384" width="21.42578125" style="12" customWidth="1"/>
    <col min="5385" max="5632" width="8.42578125" style="12"/>
    <col min="5633" max="5633" width="5.7109375" style="12" customWidth="1"/>
    <col min="5634" max="5634" width="61.42578125" style="12" customWidth="1"/>
    <col min="5635" max="5635" width="11.42578125" style="12" customWidth="1"/>
    <col min="5636" max="5636" width="31.42578125" style="12" customWidth="1"/>
    <col min="5637" max="5639" width="0" style="12" hidden="1" customWidth="1"/>
    <col min="5640" max="5640" width="21.42578125" style="12" customWidth="1"/>
    <col min="5641" max="5888" width="8.42578125" style="12"/>
    <col min="5889" max="5889" width="5.7109375" style="12" customWidth="1"/>
    <col min="5890" max="5890" width="61.42578125" style="12" customWidth="1"/>
    <col min="5891" max="5891" width="11.42578125" style="12" customWidth="1"/>
    <col min="5892" max="5892" width="31.42578125" style="12" customWidth="1"/>
    <col min="5893" max="5895" width="0" style="12" hidden="1" customWidth="1"/>
    <col min="5896" max="5896" width="21.42578125" style="12" customWidth="1"/>
    <col min="5897" max="6144" width="8.42578125" style="12"/>
    <col min="6145" max="6145" width="5.7109375" style="12" customWidth="1"/>
    <col min="6146" max="6146" width="61.42578125" style="12" customWidth="1"/>
    <col min="6147" max="6147" width="11.42578125" style="12" customWidth="1"/>
    <col min="6148" max="6148" width="31.42578125" style="12" customWidth="1"/>
    <col min="6149" max="6151" width="0" style="12" hidden="1" customWidth="1"/>
    <col min="6152" max="6152" width="21.42578125" style="12" customWidth="1"/>
    <col min="6153" max="6400" width="8.42578125" style="12"/>
    <col min="6401" max="6401" width="5.7109375" style="12" customWidth="1"/>
    <col min="6402" max="6402" width="61.42578125" style="12" customWidth="1"/>
    <col min="6403" max="6403" width="11.42578125" style="12" customWidth="1"/>
    <col min="6404" max="6404" width="31.42578125" style="12" customWidth="1"/>
    <col min="6405" max="6407" width="0" style="12" hidden="1" customWidth="1"/>
    <col min="6408" max="6408" width="21.42578125" style="12" customWidth="1"/>
    <col min="6409" max="6656" width="8.42578125" style="12"/>
    <col min="6657" max="6657" width="5.7109375" style="12" customWidth="1"/>
    <col min="6658" max="6658" width="61.42578125" style="12" customWidth="1"/>
    <col min="6659" max="6659" width="11.42578125" style="12" customWidth="1"/>
    <col min="6660" max="6660" width="31.42578125" style="12" customWidth="1"/>
    <col min="6661" max="6663" width="0" style="12" hidden="1" customWidth="1"/>
    <col min="6664" max="6664" width="21.42578125" style="12" customWidth="1"/>
    <col min="6665" max="6912" width="8.42578125" style="12"/>
    <col min="6913" max="6913" width="5.7109375" style="12" customWidth="1"/>
    <col min="6914" max="6914" width="61.42578125" style="12" customWidth="1"/>
    <col min="6915" max="6915" width="11.42578125" style="12" customWidth="1"/>
    <col min="6916" max="6916" width="31.42578125" style="12" customWidth="1"/>
    <col min="6917" max="6919" width="0" style="12" hidden="1" customWidth="1"/>
    <col min="6920" max="6920" width="21.42578125" style="12" customWidth="1"/>
    <col min="6921" max="7168" width="8.42578125" style="12"/>
    <col min="7169" max="7169" width="5.7109375" style="12" customWidth="1"/>
    <col min="7170" max="7170" width="61.42578125" style="12" customWidth="1"/>
    <col min="7171" max="7171" width="11.42578125" style="12" customWidth="1"/>
    <col min="7172" max="7172" width="31.42578125" style="12" customWidth="1"/>
    <col min="7173" max="7175" width="0" style="12" hidden="1" customWidth="1"/>
    <col min="7176" max="7176" width="21.42578125" style="12" customWidth="1"/>
    <col min="7177" max="7424" width="8.42578125" style="12"/>
    <col min="7425" max="7425" width="5.7109375" style="12" customWidth="1"/>
    <col min="7426" max="7426" width="61.42578125" style="12" customWidth="1"/>
    <col min="7427" max="7427" width="11.42578125" style="12" customWidth="1"/>
    <col min="7428" max="7428" width="31.42578125" style="12" customWidth="1"/>
    <col min="7429" max="7431" width="0" style="12" hidden="1" customWidth="1"/>
    <col min="7432" max="7432" width="21.42578125" style="12" customWidth="1"/>
    <col min="7433" max="7680" width="8.42578125" style="12"/>
    <col min="7681" max="7681" width="5.7109375" style="12" customWidth="1"/>
    <col min="7682" max="7682" width="61.42578125" style="12" customWidth="1"/>
    <col min="7683" max="7683" width="11.42578125" style="12" customWidth="1"/>
    <col min="7684" max="7684" width="31.42578125" style="12" customWidth="1"/>
    <col min="7685" max="7687" width="0" style="12" hidden="1" customWidth="1"/>
    <col min="7688" max="7688" width="21.42578125" style="12" customWidth="1"/>
    <col min="7689" max="7936" width="8.42578125" style="12"/>
    <col min="7937" max="7937" width="5.7109375" style="12" customWidth="1"/>
    <col min="7938" max="7938" width="61.42578125" style="12" customWidth="1"/>
    <col min="7939" max="7939" width="11.42578125" style="12" customWidth="1"/>
    <col min="7940" max="7940" width="31.42578125" style="12" customWidth="1"/>
    <col min="7941" max="7943" width="0" style="12" hidden="1" customWidth="1"/>
    <col min="7944" max="7944" width="21.42578125" style="12" customWidth="1"/>
    <col min="7945" max="8192" width="8.42578125" style="12"/>
    <col min="8193" max="8193" width="5.7109375" style="12" customWidth="1"/>
    <col min="8194" max="8194" width="61.42578125" style="12" customWidth="1"/>
    <col min="8195" max="8195" width="11.42578125" style="12" customWidth="1"/>
    <col min="8196" max="8196" width="31.42578125" style="12" customWidth="1"/>
    <col min="8197" max="8199" width="0" style="12" hidden="1" customWidth="1"/>
    <col min="8200" max="8200" width="21.42578125" style="12" customWidth="1"/>
    <col min="8201" max="8448" width="8.42578125" style="12"/>
    <col min="8449" max="8449" width="5.7109375" style="12" customWidth="1"/>
    <col min="8450" max="8450" width="61.42578125" style="12" customWidth="1"/>
    <col min="8451" max="8451" width="11.42578125" style="12" customWidth="1"/>
    <col min="8452" max="8452" width="31.42578125" style="12" customWidth="1"/>
    <col min="8453" max="8455" width="0" style="12" hidden="1" customWidth="1"/>
    <col min="8456" max="8456" width="21.42578125" style="12" customWidth="1"/>
    <col min="8457" max="8704" width="8.42578125" style="12"/>
    <col min="8705" max="8705" width="5.7109375" style="12" customWidth="1"/>
    <col min="8706" max="8706" width="61.42578125" style="12" customWidth="1"/>
    <col min="8707" max="8707" width="11.42578125" style="12" customWidth="1"/>
    <col min="8708" max="8708" width="31.42578125" style="12" customWidth="1"/>
    <col min="8709" max="8711" width="0" style="12" hidden="1" customWidth="1"/>
    <col min="8712" max="8712" width="21.42578125" style="12" customWidth="1"/>
    <col min="8713" max="8960" width="8.42578125" style="12"/>
    <col min="8961" max="8961" width="5.7109375" style="12" customWidth="1"/>
    <col min="8962" max="8962" width="61.42578125" style="12" customWidth="1"/>
    <col min="8963" max="8963" width="11.42578125" style="12" customWidth="1"/>
    <col min="8964" max="8964" width="31.42578125" style="12" customWidth="1"/>
    <col min="8965" max="8967" width="0" style="12" hidden="1" customWidth="1"/>
    <col min="8968" max="8968" width="21.42578125" style="12" customWidth="1"/>
    <col min="8969" max="9216" width="8.42578125" style="12"/>
    <col min="9217" max="9217" width="5.7109375" style="12" customWidth="1"/>
    <col min="9218" max="9218" width="61.42578125" style="12" customWidth="1"/>
    <col min="9219" max="9219" width="11.42578125" style="12" customWidth="1"/>
    <col min="9220" max="9220" width="31.42578125" style="12" customWidth="1"/>
    <col min="9221" max="9223" width="0" style="12" hidden="1" customWidth="1"/>
    <col min="9224" max="9224" width="21.42578125" style="12" customWidth="1"/>
    <col min="9225" max="9472" width="8.42578125" style="12"/>
    <col min="9473" max="9473" width="5.7109375" style="12" customWidth="1"/>
    <col min="9474" max="9474" width="61.42578125" style="12" customWidth="1"/>
    <col min="9475" max="9475" width="11.42578125" style="12" customWidth="1"/>
    <col min="9476" max="9476" width="31.42578125" style="12" customWidth="1"/>
    <col min="9477" max="9479" width="0" style="12" hidden="1" customWidth="1"/>
    <col min="9480" max="9480" width="21.42578125" style="12" customWidth="1"/>
    <col min="9481" max="9728" width="8.42578125" style="12"/>
    <col min="9729" max="9729" width="5.7109375" style="12" customWidth="1"/>
    <col min="9730" max="9730" width="61.42578125" style="12" customWidth="1"/>
    <col min="9731" max="9731" width="11.42578125" style="12" customWidth="1"/>
    <col min="9732" max="9732" width="31.42578125" style="12" customWidth="1"/>
    <col min="9733" max="9735" width="0" style="12" hidden="1" customWidth="1"/>
    <col min="9736" max="9736" width="21.42578125" style="12" customWidth="1"/>
    <col min="9737" max="9984" width="8.42578125" style="12"/>
    <col min="9985" max="9985" width="5.7109375" style="12" customWidth="1"/>
    <col min="9986" max="9986" width="61.42578125" style="12" customWidth="1"/>
    <col min="9987" max="9987" width="11.42578125" style="12" customWidth="1"/>
    <col min="9988" max="9988" width="31.42578125" style="12" customWidth="1"/>
    <col min="9989" max="9991" width="0" style="12" hidden="1" customWidth="1"/>
    <col min="9992" max="9992" width="21.42578125" style="12" customWidth="1"/>
    <col min="9993" max="10240" width="8.42578125" style="12"/>
    <col min="10241" max="10241" width="5.7109375" style="12" customWidth="1"/>
    <col min="10242" max="10242" width="61.42578125" style="12" customWidth="1"/>
    <col min="10243" max="10243" width="11.42578125" style="12" customWidth="1"/>
    <col min="10244" max="10244" width="31.42578125" style="12" customWidth="1"/>
    <col min="10245" max="10247" width="0" style="12" hidden="1" customWidth="1"/>
    <col min="10248" max="10248" width="21.42578125" style="12" customWidth="1"/>
    <col min="10249" max="10496" width="8.42578125" style="12"/>
    <col min="10497" max="10497" width="5.7109375" style="12" customWidth="1"/>
    <col min="10498" max="10498" width="61.42578125" style="12" customWidth="1"/>
    <col min="10499" max="10499" width="11.42578125" style="12" customWidth="1"/>
    <col min="10500" max="10500" width="31.42578125" style="12" customWidth="1"/>
    <col min="10501" max="10503" width="0" style="12" hidden="1" customWidth="1"/>
    <col min="10504" max="10504" width="21.42578125" style="12" customWidth="1"/>
    <col min="10505" max="10752" width="8.42578125" style="12"/>
    <col min="10753" max="10753" width="5.7109375" style="12" customWidth="1"/>
    <col min="10754" max="10754" width="61.42578125" style="12" customWidth="1"/>
    <col min="10755" max="10755" width="11.42578125" style="12" customWidth="1"/>
    <col min="10756" max="10756" width="31.42578125" style="12" customWidth="1"/>
    <col min="10757" max="10759" width="0" style="12" hidden="1" customWidth="1"/>
    <col min="10760" max="10760" width="21.42578125" style="12" customWidth="1"/>
    <col min="10761" max="11008" width="8.42578125" style="12"/>
    <col min="11009" max="11009" width="5.7109375" style="12" customWidth="1"/>
    <col min="11010" max="11010" width="61.42578125" style="12" customWidth="1"/>
    <col min="11011" max="11011" width="11.42578125" style="12" customWidth="1"/>
    <col min="11012" max="11012" width="31.42578125" style="12" customWidth="1"/>
    <col min="11013" max="11015" width="0" style="12" hidden="1" customWidth="1"/>
    <col min="11016" max="11016" width="21.42578125" style="12" customWidth="1"/>
    <col min="11017" max="11264" width="8.42578125" style="12"/>
    <col min="11265" max="11265" width="5.7109375" style="12" customWidth="1"/>
    <col min="11266" max="11266" width="61.42578125" style="12" customWidth="1"/>
    <col min="11267" max="11267" width="11.42578125" style="12" customWidth="1"/>
    <col min="11268" max="11268" width="31.42578125" style="12" customWidth="1"/>
    <col min="11269" max="11271" width="0" style="12" hidden="1" customWidth="1"/>
    <col min="11272" max="11272" width="21.42578125" style="12" customWidth="1"/>
    <col min="11273" max="11520" width="8.42578125" style="12"/>
    <col min="11521" max="11521" width="5.7109375" style="12" customWidth="1"/>
    <col min="11522" max="11522" width="61.42578125" style="12" customWidth="1"/>
    <col min="11523" max="11523" width="11.42578125" style="12" customWidth="1"/>
    <col min="11524" max="11524" width="31.42578125" style="12" customWidth="1"/>
    <col min="11525" max="11527" width="0" style="12" hidden="1" customWidth="1"/>
    <col min="11528" max="11528" width="21.42578125" style="12" customWidth="1"/>
    <col min="11529" max="11776" width="8.42578125" style="12"/>
    <col min="11777" max="11777" width="5.7109375" style="12" customWidth="1"/>
    <col min="11778" max="11778" width="61.42578125" style="12" customWidth="1"/>
    <col min="11779" max="11779" width="11.42578125" style="12" customWidth="1"/>
    <col min="11780" max="11780" width="31.42578125" style="12" customWidth="1"/>
    <col min="11781" max="11783" width="0" style="12" hidden="1" customWidth="1"/>
    <col min="11784" max="11784" width="21.42578125" style="12" customWidth="1"/>
    <col min="11785" max="12032" width="8.42578125" style="12"/>
    <col min="12033" max="12033" width="5.7109375" style="12" customWidth="1"/>
    <col min="12034" max="12034" width="61.42578125" style="12" customWidth="1"/>
    <col min="12035" max="12035" width="11.42578125" style="12" customWidth="1"/>
    <col min="12036" max="12036" width="31.42578125" style="12" customWidth="1"/>
    <col min="12037" max="12039" width="0" style="12" hidden="1" customWidth="1"/>
    <col min="12040" max="12040" width="21.42578125" style="12" customWidth="1"/>
    <col min="12041" max="12288" width="8.42578125" style="12"/>
    <col min="12289" max="12289" width="5.7109375" style="12" customWidth="1"/>
    <col min="12290" max="12290" width="61.42578125" style="12" customWidth="1"/>
    <col min="12291" max="12291" width="11.42578125" style="12" customWidth="1"/>
    <col min="12292" max="12292" width="31.42578125" style="12" customWidth="1"/>
    <col min="12293" max="12295" width="0" style="12" hidden="1" customWidth="1"/>
    <col min="12296" max="12296" width="21.42578125" style="12" customWidth="1"/>
    <col min="12297" max="12544" width="8.42578125" style="12"/>
    <col min="12545" max="12545" width="5.7109375" style="12" customWidth="1"/>
    <col min="12546" max="12546" width="61.42578125" style="12" customWidth="1"/>
    <col min="12547" max="12547" width="11.42578125" style="12" customWidth="1"/>
    <col min="12548" max="12548" width="31.42578125" style="12" customWidth="1"/>
    <col min="12549" max="12551" width="0" style="12" hidden="1" customWidth="1"/>
    <col min="12552" max="12552" width="21.42578125" style="12" customWidth="1"/>
    <col min="12553" max="12800" width="8.42578125" style="12"/>
    <col min="12801" max="12801" width="5.7109375" style="12" customWidth="1"/>
    <col min="12802" max="12802" width="61.42578125" style="12" customWidth="1"/>
    <col min="12803" max="12803" width="11.42578125" style="12" customWidth="1"/>
    <col min="12804" max="12804" width="31.42578125" style="12" customWidth="1"/>
    <col min="12805" max="12807" width="0" style="12" hidden="1" customWidth="1"/>
    <col min="12808" max="12808" width="21.42578125" style="12" customWidth="1"/>
    <col min="12809" max="13056" width="8.42578125" style="12"/>
    <col min="13057" max="13057" width="5.7109375" style="12" customWidth="1"/>
    <col min="13058" max="13058" width="61.42578125" style="12" customWidth="1"/>
    <col min="13059" max="13059" width="11.42578125" style="12" customWidth="1"/>
    <col min="13060" max="13060" width="31.42578125" style="12" customWidth="1"/>
    <col min="13061" max="13063" width="0" style="12" hidden="1" customWidth="1"/>
    <col min="13064" max="13064" width="21.42578125" style="12" customWidth="1"/>
    <col min="13065" max="13312" width="8.42578125" style="12"/>
    <col min="13313" max="13313" width="5.7109375" style="12" customWidth="1"/>
    <col min="13314" max="13314" width="61.42578125" style="12" customWidth="1"/>
    <col min="13315" max="13315" width="11.42578125" style="12" customWidth="1"/>
    <col min="13316" max="13316" width="31.42578125" style="12" customWidth="1"/>
    <col min="13317" max="13319" width="0" style="12" hidden="1" customWidth="1"/>
    <col min="13320" max="13320" width="21.42578125" style="12" customWidth="1"/>
    <col min="13321" max="13568" width="8.42578125" style="12"/>
    <col min="13569" max="13569" width="5.7109375" style="12" customWidth="1"/>
    <col min="13570" max="13570" width="61.42578125" style="12" customWidth="1"/>
    <col min="13571" max="13571" width="11.42578125" style="12" customWidth="1"/>
    <col min="13572" max="13572" width="31.42578125" style="12" customWidth="1"/>
    <col min="13573" max="13575" width="0" style="12" hidden="1" customWidth="1"/>
    <col min="13576" max="13576" width="21.42578125" style="12" customWidth="1"/>
    <col min="13577" max="13824" width="8.42578125" style="12"/>
    <col min="13825" max="13825" width="5.7109375" style="12" customWidth="1"/>
    <col min="13826" max="13826" width="61.42578125" style="12" customWidth="1"/>
    <col min="13827" max="13827" width="11.42578125" style="12" customWidth="1"/>
    <col min="13828" max="13828" width="31.42578125" style="12" customWidth="1"/>
    <col min="13829" max="13831" width="0" style="12" hidden="1" customWidth="1"/>
    <col min="13832" max="13832" width="21.42578125" style="12" customWidth="1"/>
    <col min="13833" max="14080" width="8.42578125" style="12"/>
    <col min="14081" max="14081" width="5.7109375" style="12" customWidth="1"/>
    <col min="14082" max="14082" width="61.42578125" style="12" customWidth="1"/>
    <col min="14083" max="14083" width="11.42578125" style="12" customWidth="1"/>
    <col min="14084" max="14084" width="31.42578125" style="12" customWidth="1"/>
    <col min="14085" max="14087" width="0" style="12" hidden="1" customWidth="1"/>
    <col min="14088" max="14088" width="21.42578125" style="12" customWidth="1"/>
    <col min="14089" max="14336" width="8.42578125" style="12"/>
    <col min="14337" max="14337" width="5.7109375" style="12" customWidth="1"/>
    <col min="14338" max="14338" width="61.42578125" style="12" customWidth="1"/>
    <col min="14339" max="14339" width="11.42578125" style="12" customWidth="1"/>
    <col min="14340" max="14340" width="31.42578125" style="12" customWidth="1"/>
    <col min="14341" max="14343" width="0" style="12" hidden="1" customWidth="1"/>
    <col min="14344" max="14344" width="21.42578125" style="12" customWidth="1"/>
    <col min="14345" max="14592" width="8.42578125" style="12"/>
    <col min="14593" max="14593" width="5.7109375" style="12" customWidth="1"/>
    <col min="14594" max="14594" width="61.42578125" style="12" customWidth="1"/>
    <col min="14595" max="14595" width="11.42578125" style="12" customWidth="1"/>
    <col min="14596" max="14596" width="31.42578125" style="12" customWidth="1"/>
    <col min="14597" max="14599" width="0" style="12" hidden="1" customWidth="1"/>
    <col min="14600" max="14600" width="21.42578125" style="12" customWidth="1"/>
    <col min="14601" max="14848" width="8.42578125" style="12"/>
    <col min="14849" max="14849" width="5.7109375" style="12" customWidth="1"/>
    <col min="14850" max="14850" width="61.42578125" style="12" customWidth="1"/>
    <col min="14851" max="14851" width="11.42578125" style="12" customWidth="1"/>
    <col min="14852" max="14852" width="31.42578125" style="12" customWidth="1"/>
    <col min="14853" max="14855" width="0" style="12" hidden="1" customWidth="1"/>
    <col min="14856" max="14856" width="21.42578125" style="12" customWidth="1"/>
    <col min="14857" max="15104" width="8.42578125" style="12"/>
    <col min="15105" max="15105" width="5.7109375" style="12" customWidth="1"/>
    <col min="15106" max="15106" width="61.42578125" style="12" customWidth="1"/>
    <col min="15107" max="15107" width="11.42578125" style="12" customWidth="1"/>
    <col min="15108" max="15108" width="31.42578125" style="12" customWidth="1"/>
    <col min="15109" max="15111" width="0" style="12" hidden="1" customWidth="1"/>
    <col min="15112" max="15112" width="21.42578125" style="12" customWidth="1"/>
    <col min="15113" max="15360" width="8.42578125" style="12"/>
    <col min="15361" max="15361" width="5.7109375" style="12" customWidth="1"/>
    <col min="15362" max="15362" width="61.42578125" style="12" customWidth="1"/>
    <col min="15363" max="15363" width="11.42578125" style="12" customWidth="1"/>
    <col min="15364" max="15364" width="31.42578125" style="12" customWidth="1"/>
    <col min="15365" max="15367" width="0" style="12" hidden="1" customWidth="1"/>
    <col min="15368" max="15368" width="21.42578125" style="12" customWidth="1"/>
    <col min="15369" max="15616" width="8.42578125" style="12"/>
    <col min="15617" max="15617" width="5.7109375" style="12" customWidth="1"/>
    <col min="15618" max="15618" width="61.42578125" style="12" customWidth="1"/>
    <col min="15619" max="15619" width="11.42578125" style="12" customWidth="1"/>
    <col min="15620" max="15620" width="31.42578125" style="12" customWidth="1"/>
    <col min="15621" max="15623" width="0" style="12" hidden="1" customWidth="1"/>
    <col min="15624" max="15624" width="21.42578125" style="12" customWidth="1"/>
    <col min="15625" max="15872" width="8.42578125" style="12"/>
    <col min="15873" max="15873" width="5.7109375" style="12" customWidth="1"/>
    <col min="15874" max="15874" width="61.42578125" style="12" customWidth="1"/>
    <col min="15875" max="15875" width="11.42578125" style="12" customWidth="1"/>
    <col min="15876" max="15876" width="31.42578125" style="12" customWidth="1"/>
    <col min="15877" max="15879" width="0" style="12" hidden="1" customWidth="1"/>
    <col min="15880" max="15880" width="21.42578125" style="12" customWidth="1"/>
    <col min="15881" max="16128" width="8.42578125" style="12"/>
    <col min="16129" max="16129" width="5.7109375" style="12" customWidth="1"/>
    <col min="16130" max="16130" width="61.42578125" style="12" customWidth="1"/>
    <col min="16131" max="16131" width="11.42578125" style="12" customWidth="1"/>
    <col min="16132" max="16132" width="31.42578125" style="12" customWidth="1"/>
    <col min="16133" max="16135" width="0" style="12" hidden="1" customWidth="1"/>
    <col min="16136" max="16136" width="21.42578125" style="12" customWidth="1"/>
    <col min="16137" max="16384" width="8.42578125" style="12"/>
  </cols>
  <sheetData>
    <row r="1" spans="1:8" ht="20.25" customHeight="1">
      <c r="A1" s="732" t="s">
        <v>237</v>
      </c>
      <c r="B1" s="733"/>
      <c r="C1" s="733"/>
      <c r="D1" s="733"/>
      <c r="E1" s="733"/>
      <c r="F1" s="733"/>
      <c r="G1" s="733"/>
      <c r="H1" s="733"/>
    </row>
    <row r="2" spans="1:8" ht="20.25" customHeight="1">
      <c r="A2" s="734" t="s">
        <v>300</v>
      </c>
      <c r="B2" s="735"/>
      <c r="C2" s="735"/>
      <c r="D2" s="735"/>
      <c r="E2" s="735"/>
      <c r="F2" s="735"/>
      <c r="G2" s="735"/>
      <c r="H2" s="735"/>
    </row>
    <row r="3" spans="1:8" ht="20.25" customHeight="1">
      <c r="A3" s="61" t="s">
        <v>301</v>
      </c>
      <c r="B3" s="62"/>
      <c r="C3" s="62"/>
      <c r="D3" s="62"/>
      <c r="E3" s="62"/>
      <c r="F3" s="62"/>
      <c r="G3" s="62"/>
      <c r="H3" s="62"/>
    </row>
    <row r="4" spans="1:8" ht="20.25" customHeight="1">
      <c r="A4" s="61" t="s">
        <v>302</v>
      </c>
    </row>
    <row r="5" spans="1:8" ht="20.25" customHeight="1">
      <c r="A5" s="13"/>
    </row>
    <row r="6" spans="1:8" ht="20.25" customHeight="1">
      <c r="A6" s="14" t="s">
        <v>238</v>
      </c>
      <c r="B6" s="15" t="s">
        <v>239</v>
      </c>
      <c r="C6" s="15" t="s">
        <v>240</v>
      </c>
      <c r="D6" s="15" t="s">
        <v>279</v>
      </c>
      <c r="E6" s="15"/>
      <c r="F6" s="15"/>
      <c r="G6" s="15" t="s">
        <v>241</v>
      </c>
      <c r="H6" s="15" t="s">
        <v>242</v>
      </c>
    </row>
    <row r="7" spans="1:8" ht="20.25" customHeight="1">
      <c r="A7" s="16" t="s">
        <v>0</v>
      </c>
      <c r="B7" s="58" t="s">
        <v>265</v>
      </c>
      <c r="C7" s="18"/>
      <c r="D7" s="19"/>
      <c r="E7" s="20"/>
      <c r="F7" s="20"/>
      <c r="G7" s="21"/>
      <c r="H7" s="22"/>
    </row>
    <row r="8" spans="1:8" ht="20.25" customHeight="1">
      <c r="A8" s="23" t="s">
        <v>243</v>
      </c>
      <c r="B8" s="59" t="s">
        <v>266</v>
      </c>
      <c r="C8" s="25" t="s">
        <v>268</v>
      </c>
      <c r="D8" s="19"/>
      <c r="E8" s="26"/>
      <c r="F8" s="26"/>
      <c r="G8" s="27"/>
      <c r="H8" s="28">
        <f>ROUND(H9,0)</f>
        <v>0</v>
      </c>
    </row>
    <row r="9" spans="1:8" ht="20.25" customHeight="1">
      <c r="A9" s="29"/>
      <c r="B9" s="60" t="s">
        <v>244</v>
      </c>
      <c r="C9" s="31"/>
      <c r="D9" s="19" t="s">
        <v>245</v>
      </c>
      <c r="E9" s="32"/>
      <c r="F9" s="32"/>
      <c r="G9" s="33"/>
      <c r="H9" s="34"/>
    </row>
    <row r="10" spans="1:8" ht="20.25" customHeight="1">
      <c r="A10" s="23" t="s">
        <v>246</v>
      </c>
      <c r="B10" s="59" t="s">
        <v>270</v>
      </c>
      <c r="C10" s="25" t="s">
        <v>273</v>
      </c>
      <c r="D10" s="19"/>
      <c r="E10" s="26"/>
      <c r="F10" s="26"/>
      <c r="G10" s="27"/>
      <c r="H10" s="28"/>
    </row>
    <row r="11" spans="1:8" ht="20.25" customHeight="1">
      <c r="A11" s="29"/>
      <c r="B11" s="60" t="s">
        <v>244</v>
      </c>
      <c r="C11" s="31"/>
      <c r="D11" s="19" t="s">
        <v>245</v>
      </c>
      <c r="E11" s="32"/>
      <c r="F11" s="32"/>
      <c r="G11" s="33"/>
      <c r="H11" s="34"/>
    </row>
    <row r="12" spans="1:8" ht="20.25" customHeight="1">
      <c r="A12" s="23" t="s">
        <v>247</v>
      </c>
      <c r="B12" s="59" t="s">
        <v>267</v>
      </c>
      <c r="C12" s="25" t="s">
        <v>269</v>
      </c>
      <c r="D12" s="19"/>
      <c r="E12" s="26"/>
      <c r="F12" s="26"/>
      <c r="G12" s="27"/>
      <c r="H12" s="28"/>
    </row>
    <row r="13" spans="1:8" ht="20.25" customHeight="1">
      <c r="A13" s="29"/>
      <c r="B13" s="60" t="s">
        <v>244</v>
      </c>
      <c r="C13" s="31"/>
      <c r="D13" s="19" t="s">
        <v>245</v>
      </c>
      <c r="E13" s="32"/>
      <c r="F13" s="32"/>
      <c r="G13" s="33"/>
      <c r="H13" s="34"/>
    </row>
    <row r="14" spans="1:8" ht="20.25" customHeight="1">
      <c r="A14" s="23">
        <v>4</v>
      </c>
      <c r="B14" s="59" t="s">
        <v>271</v>
      </c>
      <c r="C14" s="31" t="s">
        <v>274</v>
      </c>
      <c r="D14" s="19"/>
      <c r="E14" s="32"/>
      <c r="F14" s="32"/>
      <c r="G14" s="33"/>
      <c r="H14" s="34"/>
    </row>
    <row r="15" spans="1:8" ht="20.25" customHeight="1">
      <c r="A15" s="29"/>
      <c r="B15" s="60" t="s">
        <v>244</v>
      </c>
      <c r="C15" s="31"/>
      <c r="D15" s="19" t="s">
        <v>245</v>
      </c>
      <c r="E15" s="32"/>
      <c r="F15" s="32"/>
      <c r="G15" s="33"/>
      <c r="H15" s="34"/>
    </row>
    <row r="16" spans="1:8" ht="20.25" customHeight="1">
      <c r="A16" s="23">
        <v>5</v>
      </c>
      <c r="B16" s="59" t="s">
        <v>272</v>
      </c>
      <c r="C16" s="31" t="s">
        <v>275</v>
      </c>
      <c r="D16" s="19"/>
      <c r="E16" s="32"/>
      <c r="F16" s="32"/>
      <c r="G16" s="33"/>
      <c r="H16" s="34"/>
    </row>
    <row r="17" spans="1:8" ht="20.25" customHeight="1">
      <c r="A17" s="29"/>
      <c r="B17" s="60" t="s">
        <v>244</v>
      </c>
      <c r="C17" s="31"/>
      <c r="D17" s="19" t="s">
        <v>245</v>
      </c>
      <c r="E17" s="32"/>
      <c r="F17" s="32"/>
      <c r="G17" s="33"/>
      <c r="H17" s="34"/>
    </row>
    <row r="18" spans="1:8" ht="20.25" customHeight="1">
      <c r="A18" s="29">
        <v>6</v>
      </c>
      <c r="B18" s="59" t="s">
        <v>276</v>
      </c>
      <c r="C18" s="31" t="s">
        <v>122</v>
      </c>
      <c r="D18" s="19"/>
      <c r="E18" s="32"/>
      <c r="F18" s="32"/>
      <c r="G18" s="33"/>
      <c r="H18" s="34"/>
    </row>
    <row r="19" spans="1:8" ht="20.25" customHeight="1">
      <c r="A19" s="29"/>
      <c r="B19" s="60" t="s">
        <v>244</v>
      </c>
      <c r="C19" s="31"/>
      <c r="D19" s="19" t="s">
        <v>245</v>
      </c>
      <c r="E19" s="32"/>
      <c r="F19" s="32"/>
      <c r="G19" s="33"/>
      <c r="H19" s="34"/>
    </row>
    <row r="20" spans="1:8" ht="20.25" customHeight="1">
      <c r="A20" s="29">
        <v>7</v>
      </c>
      <c r="B20" s="59" t="s">
        <v>280</v>
      </c>
      <c r="C20" s="31" t="s">
        <v>290</v>
      </c>
      <c r="D20" s="19"/>
      <c r="E20" s="32"/>
      <c r="F20" s="32"/>
      <c r="G20" s="33"/>
      <c r="H20" s="34"/>
    </row>
    <row r="21" spans="1:8" ht="20.25" customHeight="1">
      <c r="A21" s="29"/>
      <c r="B21" s="60" t="s">
        <v>244</v>
      </c>
      <c r="C21" s="31"/>
      <c r="D21" s="19" t="s">
        <v>245</v>
      </c>
      <c r="E21" s="32"/>
      <c r="F21" s="32"/>
      <c r="G21" s="33"/>
      <c r="H21" s="34"/>
    </row>
    <row r="22" spans="1:8" ht="20.25" customHeight="1">
      <c r="A22" s="29">
        <v>8</v>
      </c>
      <c r="B22" s="59" t="s">
        <v>281</v>
      </c>
      <c r="C22" s="31" t="s">
        <v>291</v>
      </c>
      <c r="D22" s="19"/>
      <c r="E22" s="32"/>
      <c r="F22" s="32"/>
      <c r="G22" s="33"/>
      <c r="H22" s="34"/>
    </row>
    <row r="23" spans="1:8" ht="20.25" customHeight="1">
      <c r="A23" s="29"/>
      <c r="B23" s="60" t="s">
        <v>244</v>
      </c>
      <c r="C23" s="31"/>
      <c r="D23" s="19" t="s">
        <v>245</v>
      </c>
      <c r="E23" s="32"/>
      <c r="F23" s="32"/>
      <c r="G23" s="33"/>
      <c r="H23" s="34"/>
    </row>
    <row r="24" spans="1:8" ht="31.5" customHeight="1">
      <c r="A24" s="29">
        <v>9</v>
      </c>
      <c r="B24" s="59" t="s">
        <v>283</v>
      </c>
      <c r="C24" s="31" t="s">
        <v>292</v>
      </c>
      <c r="D24" s="19"/>
      <c r="E24" s="32"/>
      <c r="F24" s="32"/>
      <c r="G24" s="33"/>
      <c r="H24" s="34"/>
    </row>
    <row r="25" spans="1:8" ht="20.25" customHeight="1">
      <c r="A25" s="29"/>
      <c r="B25" s="60" t="s">
        <v>244</v>
      </c>
      <c r="C25" s="31"/>
      <c r="D25" s="19" t="s">
        <v>245</v>
      </c>
      <c r="E25" s="32"/>
      <c r="F25" s="32"/>
      <c r="G25" s="33"/>
      <c r="H25" s="34"/>
    </row>
    <row r="26" spans="1:8" ht="32.25" customHeight="1">
      <c r="A26" s="29">
        <v>10</v>
      </c>
      <c r="B26" s="59" t="s">
        <v>284</v>
      </c>
      <c r="C26" s="31" t="s">
        <v>293</v>
      </c>
      <c r="D26" s="19"/>
      <c r="E26" s="32"/>
      <c r="F26" s="32"/>
      <c r="G26" s="33"/>
      <c r="H26" s="34"/>
    </row>
    <row r="27" spans="1:8" ht="20.25" customHeight="1">
      <c r="A27" s="29"/>
      <c r="B27" s="60" t="s">
        <v>244</v>
      </c>
      <c r="C27" s="31"/>
      <c r="D27" s="19" t="s">
        <v>245</v>
      </c>
      <c r="E27" s="32"/>
      <c r="F27" s="32"/>
      <c r="G27" s="33"/>
      <c r="H27" s="34"/>
    </row>
    <row r="28" spans="1:8" ht="30">
      <c r="A28" s="29">
        <v>11</v>
      </c>
      <c r="B28" s="59" t="s">
        <v>285</v>
      </c>
      <c r="C28" s="31" t="s">
        <v>294</v>
      </c>
      <c r="D28" s="19"/>
      <c r="E28" s="32"/>
      <c r="F28" s="32"/>
      <c r="G28" s="33"/>
      <c r="H28" s="34"/>
    </row>
    <row r="29" spans="1:8" ht="20.25" customHeight="1">
      <c r="A29" s="29"/>
      <c r="B29" s="60" t="s">
        <v>244</v>
      </c>
      <c r="C29" s="31"/>
      <c r="D29" s="19" t="s">
        <v>245</v>
      </c>
      <c r="E29" s="32"/>
      <c r="F29" s="32"/>
      <c r="G29" s="33"/>
      <c r="H29" s="34"/>
    </row>
    <row r="30" spans="1:8" ht="30">
      <c r="A30" s="29">
        <v>12</v>
      </c>
      <c r="B30" s="59" t="s">
        <v>286</v>
      </c>
      <c r="C30" s="31" t="s">
        <v>295</v>
      </c>
      <c r="D30" s="19"/>
      <c r="E30" s="32"/>
      <c r="F30" s="32"/>
      <c r="G30" s="33"/>
      <c r="H30" s="34"/>
    </row>
    <row r="31" spans="1:8" ht="20.25" customHeight="1">
      <c r="A31" s="29"/>
      <c r="B31" s="60" t="s">
        <v>244</v>
      </c>
      <c r="C31" s="31"/>
      <c r="D31" s="19" t="s">
        <v>245</v>
      </c>
      <c r="E31" s="32"/>
      <c r="F31" s="32"/>
      <c r="G31" s="33"/>
      <c r="H31" s="34"/>
    </row>
    <row r="32" spans="1:8" ht="33.75" customHeight="1">
      <c r="A32" s="29">
        <v>13</v>
      </c>
      <c r="B32" s="59" t="s">
        <v>287</v>
      </c>
      <c r="C32" s="31" t="s">
        <v>296</v>
      </c>
      <c r="D32" s="19"/>
      <c r="E32" s="32"/>
      <c r="F32" s="32"/>
      <c r="G32" s="33"/>
      <c r="H32" s="34"/>
    </row>
    <row r="33" spans="1:8" ht="20.25" customHeight="1">
      <c r="A33" s="29"/>
      <c r="B33" s="60" t="s">
        <v>244</v>
      </c>
      <c r="C33" s="31"/>
      <c r="D33" s="19" t="s">
        <v>245</v>
      </c>
      <c r="E33" s="32"/>
      <c r="F33" s="32"/>
      <c r="G33" s="33"/>
      <c r="H33" s="34"/>
    </row>
    <row r="34" spans="1:8" ht="33" customHeight="1">
      <c r="A34" s="29">
        <v>14</v>
      </c>
      <c r="B34" s="59" t="s">
        <v>288</v>
      </c>
      <c r="C34" s="31" t="s">
        <v>297</v>
      </c>
      <c r="D34" s="19"/>
      <c r="E34" s="32"/>
      <c r="F34" s="32"/>
      <c r="G34" s="33"/>
      <c r="H34" s="34"/>
    </row>
    <row r="35" spans="1:8" ht="20.25" customHeight="1">
      <c r="A35" s="29"/>
      <c r="B35" s="60" t="s">
        <v>244</v>
      </c>
      <c r="C35" s="31"/>
      <c r="D35" s="19" t="s">
        <v>245</v>
      </c>
      <c r="E35" s="32"/>
      <c r="F35" s="32"/>
      <c r="G35" s="33"/>
      <c r="H35" s="34"/>
    </row>
    <row r="36" spans="1:8" ht="63.75" customHeight="1">
      <c r="A36" s="29">
        <v>15</v>
      </c>
      <c r="B36" s="59" t="s">
        <v>289</v>
      </c>
      <c r="C36" s="31" t="s">
        <v>298</v>
      </c>
      <c r="D36" s="19"/>
      <c r="E36" s="32"/>
      <c r="F36" s="32"/>
      <c r="G36" s="33"/>
      <c r="H36" s="34"/>
    </row>
    <row r="37" spans="1:8" ht="20.25" customHeight="1">
      <c r="A37" s="29"/>
      <c r="B37" s="60" t="s">
        <v>244</v>
      </c>
      <c r="C37" s="31"/>
      <c r="D37" s="19" t="s">
        <v>245</v>
      </c>
      <c r="E37" s="32"/>
      <c r="F37" s="32"/>
      <c r="G37" s="33"/>
      <c r="H37" s="34"/>
    </row>
    <row r="38" spans="1:8" ht="67.5" customHeight="1">
      <c r="A38" s="29">
        <v>16</v>
      </c>
      <c r="B38" s="59" t="s">
        <v>282</v>
      </c>
      <c r="C38" s="31" t="s">
        <v>299</v>
      </c>
      <c r="D38" s="19"/>
      <c r="E38" s="32"/>
      <c r="F38" s="32"/>
      <c r="G38" s="33"/>
      <c r="H38" s="34"/>
    </row>
    <row r="39" spans="1:8" ht="20.25" customHeight="1">
      <c r="A39" s="29"/>
      <c r="B39" s="30" t="s">
        <v>244</v>
      </c>
      <c r="C39" s="31"/>
      <c r="D39" s="19" t="s">
        <v>245</v>
      </c>
      <c r="E39" s="32"/>
      <c r="F39" s="32"/>
      <c r="G39" s="33"/>
      <c r="H39" s="34"/>
    </row>
    <row r="40" spans="1:8" ht="20.25" customHeight="1">
      <c r="A40" s="29"/>
      <c r="B40" s="30"/>
      <c r="C40" s="31"/>
      <c r="D40" s="19"/>
      <c r="E40" s="32"/>
      <c r="F40" s="32"/>
      <c r="G40" s="33"/>
      <c r="H40" s="34"/>
    </row>
    <row r="41" spans="1:8" ht="20.25" customHeight="1">
      <c r="A41" s="23" t="str">
        <f>""</f>
        <v/>
      </c>
      <c r="B41" s="24" t="s">
        <v>248</v>
      </c>
      <c r="C41" s="25" t="s">
        <v>249</v>
      </c>
      <c r="D41" s="19" t="s">
        <v>250</v>
      </c>
      <c r="E41" s="26"/>
      <c r="F41" s="26"/>
      <c r="G41" s="35"/>
      <c r="H41" s="28">
        <f>ROUND(H8+H10+H12,1)</f>
        <v>0</v>
      </c>
    </row>
    <row r="42" spans="1:8" ht="20.25" customHeight="1">
      <c r="A42" s="16" t="s">
        <v>25</v>
      </c>
      <c r="B42" s="17" t="s">
        <v>251</v>
      </c>
      <c r="C42" s="18" t="s">
        <v>30</v>
      </c>
      <c r="D42" s="19" t="s">
        <v>304</v>
      </c>
      <c r="E42" s="20"/>
      <c r="F42" s="20"/>
      <c r="G42" s="36" t="s">
        <v>306</v>
      </c>
      <c r="H42" s="22">
        <v>0</v>
      </c>
    </row>
    <row r="43" spans="1:8" ht="20.25" customHeight="1">
      <c r="A43" s="16" t="s">
        <v>26</v>
      </c>
      <c r="B43" s="17" t="s">
        <v>252</v>
      </c>
      <c r="C43" s="18" t="s">
        <v>253</v>
      </c>
      <c r="D43" s="19" t="s">
        <v>254</v>
      </c>
      <c r="E43" s="20"/>
      <c r="F43" s="20"/>
      <c r="G43" s="36" t="s">
        <v>305</v>
      </c>
      <c r="H43" s="22">
        <v>0</v>
      </c>
    </row>
    <row r="44" spans="1:8" ht="20.25" customHeight="1">
      <c r="A44" s="37" t="str">
        <f>""</f>
        <v/>
      </c>
      <c r="B44" s="38" t="s">
        <v>255</v>
      </c>
      <c r="C44" s="39" t="s">
        <v>256</v>
      </c>
      <c r="D44" s="19" t="s">
        <v>257</v>
      </c>
      <c r="E44" s="40"/>
      <c r="F44" s="40"/>
      <c r="G44" s="41"/>
      <c r="H44" s="42">
        <f>ROUND(H41+H42+H43,0)</f>
        <v>0</v>
      </c>
    </row>
    <row r="45" spans="1:8" ht="20.25" customHeight="1">
      <c r="A45" s="16" t="s">
        <v>110</v>
      </c>
      <c r="B45" s="17" t="s">
        <v>258</v>
      </c>
      <c r="C45" s="18" t="s">
        <v>259</v>
      </c>
      <c r="D45" s="19" t="s">
        <v>260</v>
      </c>
      <c r="E45" s="43">
        <f>G45</f>
        <v>0.1</v>
      </c>
      <c r="F45" s="20"/>
      <c r="G45" s="44">
        <v>0.1</v>
      </c>
      <c r="H45" s="22">
        <f>ROUND(E45*H44,1)</f>
        <v>0</v>
      </c>
    </row>
    <row r="46" spans="1:8" ht="20.25" customHeight="1">
      <c r="A46" s="45" t="s">
        <v>112</v>
      </c>
      <c r="B46" s="46" t="s">
        <v>261</v>
      </c>
      <c r="C46" s="47" t="s">
        <v>262</v>
      </c>
      <c r="D46" s="19" t="s">
        <v>263</v>
      </c>
      <c r="E46" s="48"/>
      <c r="F46" s="48"/>
      <c r="G46" s="49"/>
      <c r="H46" s="50">
        <f>ROUND(H44+H45,0)</f>
        <v>0</v>
      </c>
    </row>
    <row r="47" spans="1:8" ht="20.25" customHeight="1">
      <c r="A47" s="51"/>
      <c r="B47" s="52" t="s">
        <v>264</v>
      </c>
      <c r="C47" s="52"/>
      <c r="D47" s="53"/>
      <c r="E47" s="54"/>
      <c r="F47" s="54"/>
      <c r="G47" s="55"/>
      <c r="H47" s="56">
        <f>ROUND(H46,-3)</f>
        <v>0</v>
      </c>
    </row>
    <row r="48" spans="1:8" ht="20.25" customHeight="1">
      <c r="A48" s="736"/>
      <c r="B48" s="737"/>
      <c r="C48" s="738"/>
      <c r="D48" s="739"/>
      <c r="E48" s="740"/>
      <c r="F48" s="740"/>
      <c r="G48" s="741"/>
      <c r="H48" s="742"/>
    </row>
  </sheetData>
  <mergeCells count="3">
    <mergeCell ref="A1:H1"/>
    <mergeCell ref="A2:H2"/>
    <mergeCell ref="A48:H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Y49"/>
  <sheetViews>
    <sheetView zoomScale="80" zoomScaleNormal="80" workbookViewId="0">
      <selection activeCell="D32" sqref="D32:G32"/>
    </sheetView>
  </sheetViews>
  <sheetFormatPr defaultColWidth="9.140625" defaultRowHeight="15"/>
  <cols>
    <col min="1" max="1" width="4.42578125" style="467" customWidth="1"/>
    <col min="2" max="2" width="8.42578125" style="467" customWidth="1"/>
    <col min="3" max="3" width="31.42578125" style="467" customWidth="1"/>
    <col min="4" max="4" width="4.85546875" style="467" customWidth="1"/>
    <col min="5" max="5" width="17.28515625" style="467" customWidth="1"/>
    <col min="6" max="6" width="12.42578125" style="467" customWidth="1"/>
    <col min="7" max="7" width="15.85546875" style="467" customWidth="1"/>
    <col min="8" max="8" width="14" style="467" customWidth="1"/>
    <col min="9" max="9" width="5.42578125" style="467" customWidth="1"/>
    <col min="10" max="10" width="25.85546875" style="467" customWidth="1"/>
    <col min="11" max="11" width="9.85546875" style="467" customWidth="1"/>
    <col min="12" max="12" width="22.42578125" style="467" customWidth="1"/>
    <col min="13" max="13" width="11.140625" style="467" customWidth="1"/>
    <col min="14" max="14" width="28" style="467" customWidth="1"/>
    <col min="15" max="15" width="9.140625" style="467"/>
    <col min="16" max="16" width="15.42578125" style="467" customWidth="1"/>
    <col min="17" max="17" width="18.42578125" style="467" customWidth="1"/>
    <col min="18" max="22" width="9.140625" style="467"/>
    <col min="23" max="23" width="21.7109375" style="467" customWidth="1"/>
    <col min="24" max="16384" width="9.140625" style="467"/>
  </cols>
  <sheetData>
    <row r="1" spans="1:25">
      <c r="A1" s="743" t="s">
        <v>439</v>
      </c>
      <c r="B1" s="743"/>
      <c r="C1" s="743"/>
      <c r="D1" s="743"/>
      <c r="E1" s="743"/>
      <c r="F1" s="743"/>
      <c r="G1" s="743"/>
      <c r="H1" s="743"/>
      <c r="I1" s="743"/>
      <c r="J1" s="743"/>
      <c r="K1" s="743"/>
      <c r="L1" s="743"/>
      <c r="M1" s="743"/>
      <c r="N1" s="743"/>
    </row>
    <row r="2" spans="1:25">
      <c r="A2" s="468"/>
      <c r="B2" s="468"/>
      <c r="C2" s="468"/>
      <c r="D2" s="468"/>
      <c r="E2" s="468"/>
      <c r="F2" s="468"/>
      <c r="G2" s="468"/>
      <c r="H2" s="468"/>
      <c r="I2" s="468"/>
      <c r="J2" s="468"/>
      <c r="K2" s="468"/>
      <c r="L2" s="468"/>
      <c r="M2" s="468"/>
      <c r="N2" s="468"/>
    </row>
    <row r="3" spans="1:25">
      <c r="A3" s="468"/>
      <c r="B3" s="744" t="s">
        <v>435</v>
      </c>
      <c r="C3" s="744"/>
      <c r="D3" s="744"/>
      <c r="E3" s="744"/>
      <c r="F3" s="744"/>
      <c r="G3" s="468"/>
      <c r="H3" s="468"/>
      <c r="I3" s="468"/>
      <c r="J3" s="743" t="s">
        <v>436</v>
      </c>
      <c r="K3" s="743"/>
      <c r="L3" s="743"/>
      <c r="M3" s="743"/>
      <c r="N3" s="743"/>
      <c r="P3" s="469" t="s">
        <v>1632</v>
      </c>
    </row>
    <row r="4" spans="1:25">
      <c r="A4" s="468"/>
      <c r="B4" s="745">
        <f>+'Template tram'!B4:D4</f>
        <v>0</v>
      </c>
      <c r="C4" s="745"/>
      <c r="D4" s="745"/>
      <c r="E4" s="745"/>
      <c r="F4" s="745"/>
      <c r="G4" s="468"/>
      <c r="H4" s="468"/>
      <c r="I4" s="468"/>
      <c r="J4" s="743" t="s">
        <v>437</v>
      </c>
      <c r="K4" s="743"/>
      <c r="L4" s="743"/>
      <c r="M4" s="743"/>
      <c r="N4" s="743"/>
      <c r="P4" s="470"/>
      <c r="Q4" s="471" t="s">
        <v>438</v>
      </c>
    </row>
    <row r="5" spans="1:25">
      <c r="A5" s="468"/>
      <c r="B5" s="468"/>
      <c r="C5" s="468"/>
      <c r="D5" s="468"/>
      <c r="E5" s="468"/>
      <c r="F5" s="468"/>
      <c r="G5" s="468"/>
      <c r="H5" s="468"/>
      <c r="I5" s="468"/>
      <c r="J5" s="468"/>
      <c r="K5" s="468"/>
      <c r="L5" s="468"/>
      <c r="M5" s="468"/>
      <c r="N5" s="468"/>
      <c r="P5" s="472"/>
      <c r="Q5" s="471" t="s">
        <v>432</v>
      </c>
    </row>
    <row r="6" spans="1:25">
      <c r="A6" s="468"/>
      <c r="B6" s="743" t="s">
        <v>337</v>
      </c>
      <c r="C6" s="743"/>
      <c r="D6" s="743"/>
      <c r="E6" s="743"/>
      <c r="F6" s="743"/>
      <c r="G6" s="743"/>
      <c r="H6" s="743"/>
      <c r="I6" s="743"/>
      <c r="J6" s="743"/>
      <c r="K6" s="743"/>
      <c r="L6" s="743"/>
      <c r="M6" s="743"/>
      <c r="N6" s="743"/>
    </row>
    <row r="7" spans="1:25">
      <c r="A7" s="468"/>
      <c r="B7" s="468"/>
      <c r="C7" s="468"/>
      <c r="D7" s="468"/>
      <c r="E7" s="468"/>
      <c r="F7" s="468"/>
      <c r="G7" s="468"/>
      <c r="H7" s="468"/>
      <c r="I7" s="468"/>
      <c r="J7" s="468"/>
      <c r="K7" s="468"/>
      <c r="L7" s="468"/>
      <c r="M7" s="468"/>
      <c r="N7" s="468"/>
    </row>
    <row r="8" spans="1:25">
      <c r="A8" s="468"/>
      <c r="B8" s="468" t="s">
        <v>338</v>
      </c>
      <c r="C8" s="473" t="s">
        <v>1470</v>
      </c>
      <c r="D8" s="468"/>
      <c r="E8" s="468"/>
      <c r="F8" s="468"/>
      <c r="G8" s="468"/>
      <c r="H8" s="468"/>
      <c r="I8" s="468"/>
      <c r="J8" s="468"/>
      <c r="K8" s="468"/>
      <c r="L8" s="468"/>
      <c r="M8" s="468"/>
      <c r="N8" s="468"/>
    </row>
    <row r="9" spans="1:25">
      <c r="A9" s="468"/>
      <c r="B9" s="468"/>
      <c r="C9" s="473" t="s">
        <v>1469</v>
      </c>
      <c r="D9" s="468"/>
      <c r="E9" s="468"/>
      <c r="F9" s="468"/>
      <c r="G9" s="468"/>
      <c r="H9" s="468"/>
      <c r="I9" s="468"/>
      <c r="J9" s="468"/>
      <c r="K9" s="468"/>
      <c r="L9" s="468"/>
      <c r="M9" s="468"/>
      <c r="N9" s="468"/>
      <c r="Q9" s="474">
        <v>10</v>
      </c>
      <c r="V9" s="475"/>
      <c r="W9" s="475"/>
      <c r="X9" s="475"/>
      <c r="Y9" s="475"/>
    </row>
    <row r="10" spans="1:25">
      <c r="A10" s="468"/>
      <c r="B10" s="468"/>
      <c r="C10" s="468"/>
      <c r="D10" s="468"/>
      <c r="E10" s="468"/>
      <c r="F10" s="468"/>
      <c r="G10" s="468"/>
      <c r="H10" s="468"/>
      <c r="I10" s="468"/>
      <c r="J10" s="468"/>
      <c r="K10" s="468"/>
      <c r="L10" s="468"/>
      <c r="M10" s="468"/>
      <c r="N10" s="468"/>
      <c r="Q10" s="474">
        <v>15</v>
      </c>
      <c r="V10" s="475"/>
      <c r="W10" s="475"/>
      <c r="X10" s="475"/>
      <c r="Y10" s="475"/>
    </row>
    <row r="11" spans="1:25">
      <c r="A11" s="468"/>
      <c r="B11" s="746" t="s">
        <v>1468</v>
      </c>
      <c r="C11" s="746"/>
      <c r="D11" s="746"/>
      <c r="E11" s="746"/>
      <c r="F11" s="746"/>
      <c r="G11" s="746"/>
      <c r="H11" s="746"/>
      <c r="I11" s="746"/>
      <c r="J11" s="746"/>
      <c r="K11" s="746"/>
      <c r="L11" s="746"/>
      <c r="M11" s="746"/>
      <c r="N11" s="746"/>
      <c r="V11" s="475"/>
      <c r="W11" s="475"/>
      <c r="X11" s="475"/>
      <c r="Y11" s="475"/>
    </row>
    <row r="12" spans="1:25">
      <c r="A12" s="468"/>
      <c r="B12" s="468"/>
      <c r="C12" s="468"/>
      <c r="D12" s="468"/>
      <c r="E12" s="468"/>
      <c r="F12" s="468"/>
      <c r="G12" s="468"/>
      <c r="H12" s="468"/>
      <c r="I12" s="468"/>
      <c r="J12" s="468"/>
      <c r="K12" s="468"/>
      <c r="L12" s="468"/>
      <c r="M12" s="468"/>
      <c r="N12" s="468"/>
      <c r="P12" s="467" t="s">
        <v>530</v>
      </c>
      <c r="Q12" s="467" t="str">
        <f>VLOOKUP(C13,'[1]Nhóm đơn giá thuê'!G:H,2,0)</f>
        <v>Nhóm 2</v>
      </c>
      <c r="V12" s="475"/>
      <c r="W12" s="476" t="s">
        <v>610</v>
      </c>
      <c r="X12" s="475"/>
      <c r="Y12" s="475"/>
    </row>
    <row r="13" spans="1:25" hidden="1">
      <c r="A13" s="468"/>
      <c r="B13" s="477" t="s">
        <v>358</v>
      </c>
      <c r="C13" s="478" t="s">
        <v>56</v>
      </c>
      <c r="D13" s="468"/>
      <c r="E13" s="479" t="s">
        <v>1464</v>
      </c>
      <c r="F13" s="480"/>
      <c r="G13" s="747" t="e">
        <f>"2. Độ cao cột yêu cầu: "&amp;VLOOKUP(D30,'[1]Suất đầu tư'!B3:L23,11,0)</f>
        <v>#N/A</v>
      </c>
      <c r="H13" s="748"/>
      <c r="I13" s="748"/>
      <c r="J13" s="481"/>
      <c r="K13" s="482"/>
      <c r="L13" s="483" t="str">
        <f>"3. Loại cột: "&amp;D30</f>
        <v>3. Loại cột: Cột tự đứng 18m (3 đốt 600x600)</v>
      </c>
      <c r="M13" s="483"/>
      <c r="N13" s="484"/>
      <c r="V13" s="475"/>
      <c r="W13" s="476" t="s">
        <v>611</v>
      </c>
      <c r="X13" s="475"/>
      <c r="Y13" s="475"/>
    </row>
    <row r="14" spans="1:25" hidden="1">
      <c r="A14" s="468"/>
      <c r="B14" s="468"/>
      <c r="C14" s="468"/>
      <c r="D14" s="468"/>
      <c r="E14" s="479" t="s">
        <v>1465</v>
      </c>
      <c r="F14" s="480"/>
      <c r="G14" s="468"/>
      <c r="H14" s="468"/>
      <c r="I14" s="468"/>
      <c r="J14" s="468"/>
      <c r="K14" s="468"/>
      <c r="L14" s="468"/>
      <c r="M14" s="468"/>
      <c r="N14" s="468"/>
      <c r="P14" s="471" t="s">
        <v>614</v>
      </c>
      <c r="Q14" s="472" t="s">
        <v>610</v>
      </c>
      <c r="V14" s="475"/>
      <c r="W14" s="476" t="s">
        <v>1633</v>
      </c>
      <c r="X14" s="475"/>
      <c r="Y14" s="475"/>
    </row>
    <row r="15" spans="1:25" hidden="1">
      <c r="A15" s="468"/>
      <c r="B15" s="477" t="s">
        <v>359</v>
      </c>
      <c r="C15" s="468"/>
      <c r="D15" s="468"/>
      <c r="E15" s="468"/>
      <c r="F15" s="468"/>
      <c r="G15" s="485" t="s">
        <v>339</v>
      </c>
      <c r="H15" s="485" t="s">
        <v>340</v>
      </c>
      <c r="I15" s="485"/>
      <c r="J15" s="485" t="s">
        <v>341</v>
      </c>
      <c r="K15" s="485" t="s">
        <v>342</v>
      </c>
      <c r="L15" s="485"/>
      <c r="M15" s="486" t="s">
        <v>343</v>
      </c>
      <c r="N15" s="486" t="s">
        <v>344</v>
      </c>
      <c r="P15" s="471"/>
      <c r="Q15" s="471"/>
      <c r="V15" s="475"/>
      <c r="W15" s="487" t="s">
        <v>535</v>
      </c>
      <c r="X15" s="475"/>
      <c r="Y15" s="475"/>
    </row>
    <row r="16" spans="1:25" hidden="1">
      <c r="A16" s="468"/>
      <c r="B16" s="468"/>
      <c r="C16" s="468"/>
      <c r="D16" s="488">
        <v>1</v>
      </c>
      <c r="E16" s="486">
        <f>COUNTA(H16,K16,N16)</f>
        <v>1</v>
      </c>
      <c r="F16" s="468"/>
      <c r="G16" s="478" t="s">
        <v>454</v>
      </c>
      <c r="H16" s="489" t="s">
        <v>1634</v>
      </c>
      <c r="I16" s="468"/>
      <c r="J16" s="478" t="s">
        <v>1635</v>
      </c>
      <c r="K16" s="489"/>
      <c r="L16" s="468"/>
      <c r="M16" s="478" t="s">
        <v>485</v>
      </c>
      <c r="N16" s="489"/>
      <c r="P16" s="471" t="s">
        <v>559</v>
      </c>
      <c r="Q16" s="472" t="s">
        <v>536</v>
      </c>
      <c r="V16" s="475"/>
      <c r="W16" s="487" t="s">
        <v>536</v>
      </c>
      <c r="X16" s="475"/>
      <c r="Y16" s="475"/>
    </row>
    <row r="17" spans="1:25" hidden="1">
      <c r="A17" s="468"/>
      <c r="B17" s="468"/>
      <c r="C17" s="468"/>
      <c r="D17" s="490"/>
      <c r="E17" s="468"/>
      <c r="F17" s="468"/>
      <c r="G17" s="468"/>
      <c r="H17" s="468"/>
      <c r="I17" s="468"/>
      <c r="J17" s="468"/>
      <c r="K17" s="468"/>
      <c r="L17" s="468"/>
      <c r="M17" s="468"/>
      <c r="N17" s="468"/>
      <c r="P17" s="471"/>
      <c r="Q17" s="471"/>
      <c r="V17" s="475"/>
      <c r="W17" s="491" t="s">
        <v>538</v>
      </c>
      <c r="X17" s="475"/>
      <c r="Y17" s="475"/>
    </row>
    <row r="18" spans="1:25" hidden="1">
      <c r="A18" s="468"/>
      <c r="B18" s="477" t="s">
        <v>360</v>
      </c>
      <c r="C18" s="468"/>
      <c r="D18" s="490"/>
      <c r="E18" s="468"/>
      <c r="F18" s="468"/>
      <c r="G18" s="468"/>
      <c r="H18" s="468"/>
      <c r="I18" s="468" t="s">
        <v>348</v>
      </c>
      <c r="J18" s="468"/>
      <c r="K18" s="468"/>
      <c r="L18" s="468"/>
      <c r="M18" s="468"/>
      <c r="N18" s="468"/>
      <c r="P18" s="471" t="s">
        <v>560</v>
      </c>
      <c r="Q18" s="472" t="s">
        <v>541</v>
      </c>
      <c r="V18" s="475"/>
      <c r="W18" s="491" t="s">
        <v>541</v>
      </c>
      <c r="X18" s="475"/>
      <c r="Y18" s="475"/>
    </row>
    <row r="19" spans="1:25" hidden="1">
      <c r="A19" s="468"/>
      <c r="B19" s="468"/>
      <c r="C19" s="468"/>
      <c r="D19" s="492"/>
      <c r="E19" s="468" t="s">
        <v>345</v>
      </c>
      <c r="F19" s="468"/>
      <c r="G19" s="468"/>
      <c r="H19" s="468"/>
      <c r="I19" s="488"/>
      <c r="J19" s="468" t="s">
        <v>349</v>
      </c>
      <c r="K19" s="468"/>
      <c r="L19" s="468"/>
      <c r="M19" s="468"/>
      <c r="N19" s="468"/>
      <c r="P19" s="471"/>
      <c r="Q19" s="471"/>
      <c r="V19" s="475"/>
      <c r="W19" s="491" t="s">
        <v>542</v>
      </c>
      <c r="X19" s="475"/>
      <c r="Y19" s="475"/>
    </row>
    <row r="20" spans="1:25" hidden="1">
      <c r="A20" s="468"/>
      <c r="B20" s="468"/>
      <c r="C20" s="468"/>
      <c r="D20" s="492" t="s">
        <v>475</v>
      </c>
      <c r="E20" s="468" t="s">
        <v>346</v>
      </c>
      <c r="F20" s="468"/>
      <c r="G20" s="468"/>
      <c r="H20" s="468"/>
      <c r="I20" s="488"/>
      <c r="J20" s="468" t="s">
        <v>350</v>
      </c>
      <c r="K20" s="468"/>
      <c r="L20" s="468"/>
      <c r="M20" s="468"/>
      <c r="N20" s="468"/>
      <c r="P20" s="471" t="s">
        <v>403</v>
      </c>
      <c r="Q20" s="472" t="s">
        <v>1636</v>
      </c>
      <c r="V20" s="475"/>
      <c r="W20" s="491" t="s">
        <v>539</v>
      </c>
      <c r="X20" s="475"/>
      <c r="Y20" s="475"/>
    </row>
    <row r="21" spans="1:25" hidden="1">
      <c r="A21" s="468"/>
      <c r="B21" s="468"/>
      <c r="C21" s="468"/>
      <c r="D21" s="492"/>
      <c r="E21" s="468" t="s">
        <v>347</v>
      </c>
      <c r="F21" s="468"/>
      <c r="G21" s="468"/>
      <c r="H21" s="468"/>
      <c r="I21" s="488"/>
      <c r="J21" s="468" t="s">
        <v>351</v>
      </c>
      <c r="K21" s="468"/>
      <c r="L21" s="468"/>
      <c r="M21" s="468"/>
      <c r="N21" s="468"/>
      <c r="P21" s="471"/>
      <c r="Q21" s="471"/>
      <c r="V21" s="475"/>
      <c r="W21" s="491" t="s">
        <v>540</v>
      </c>
      <c r="X21" s="475"/>
      <c r="Y21" s="475"/>
    </row>
    <row r="22" spans="1:25" hidden="1">
      <c r="A22" s="468"/>
      <c r="B22" s="477" t="s">
        <v>424</v>
      </c>
      <c r="C22" s="468"/>
      <c r="D22" s="468"/>
      <c r="E22" s="478" t="s">
        <v>385</v>
      </c>
      <c r="F22" s="744"/>
      <c r="G22" s="744"/>
      <c r="H22" s="493"/>
      <c r="I22" s="468"/>
      <c r="J22" s="468"/>
      <c r="K22" s="468"/>
      <c r="L22" s="468"/>
      <c r="M22" s="468"/>
      <c r="N22" s="468"/>
      <c r="P22" s="471"/>
      <c r="Q22" s="471"/>
      <c r="V22" s="475"/>
      <c r="W22" s="487" t="s">
        <v>1637</v>
      </c>
      <c r="X22" s="475"/>
      <c r="Y22" s="475"/>
    </row>
    <row r="23" spans="1:25" hidden="1">
      <c r="A23" s="468"/>
      <c r="B23" s="477" t="s">
        <v>425</v>
      </c>
      <c r="C23" s="468"/>
      <c r="D23" s="468"/>
      <c r="E23" s="468"/>
      <c r="F23" s="468"/>
      <c r="G23" s="468"/>
      <c r="H23" s="468"/>
      <c r="I23" s="468"/>
      <c r="J23" s="494"/>
      <c r="K23" s="468"/>
      <c r="L23" s="468"/>
      <c r="M23" s="468"/>
      <c r="N23" s="468"/>
      <c r="P23" s="471"/>
      <c r="Q23" s="471"/>
      <c r="V23" s="475"/>
      <c r="W23" s="487" t="s">
        <v>1636</v>
      </c>
      <c r="X23" s="475"/>
      <c r="Y23" s="475"/>
    </row>
    <row r="24" spans="1:25" hidden="1">
      <c r="A24" s="468"/>
      <c r="B24" s="477" t="s">
        <v>1443</v>
      </c>
      <c r="C24" s="468"/>
      <c r="D24" s="468"/>
      <c r="E24" s="478">
        <v>15</v>
      </c>
      <c r="F24" s="468"/>
      <c r="G24" s="468"/>
      <c r="H24" s="468"/>
      <c r="I24" s="468"/>
      <c r="J24" s="494"/>
      <c r="K24" s="468"/>
      <c r="L24" s="468"/>
      <c r="M24" s="468"/>
      <c r="N24" s="468"/>
      <c r="V24" s="475"/>
      <c r="W24" s="487" t="s">
        <v>1638</v>
      </c>
      <c r="X24" s="475"/>
      <c r="Y24" s="475"/>
    </row>
    <row r="25" spans="1:25" hidden="1">
      <c r="A25" s="468"/>
      <c r="B25" s="495" t="s">
        <v>1445</v>
      </c>
      <c r="C25" s="468"/>
      <c r="D25" s="468"/>
      <c r="E25" s="478" t="s">
        <v>1447</v>
      </c>
      <c r="F25" s="468"/>
      <c r="G25" s="496"/>
      <c r="H25" s="468"/>
      <c r="I25" s="468"/>
      <c r="J25" s="494"/>
      <c r="K25" s="468"/>
      <c r="L25" s="468"/>
      <c r="M25" s="468"/>
      <c r="N25" s="468"/>
      <c r="V25" s="475"/>
      <c r="W25" s="475"/>
      <c r="X25" s="475"/>
      <c r="Y25" s="475"/>
    </row>
    <row r="26" spans="1:25">
      <c r="V26" s="475"/>
      <c r="W26" s="475"/>
      <c r="X26" s="475"/>
      <c r="Y26" s="475"/>
    </row>
    <row r="27" spans="1:25">
      <c r="B27" s="497" t="s">
        <v>238</v>
      </c>
      <c r="C27" s="498" t="s">
        <v>353</v>
      </c>
      <c r="D27" s="749" t="s">
        <v>361</v>
      </c>
      <c r="E27" s="749"/>
      <c r="F27" s="749"/>
      <c r="G27" s="749"/>
      <c r="H27" s="497" t="s">
        <v>354</v>
      </c>
      <c r="I27" s="750" t="s">
        <v>356</v>
      </c>
      <c r="J27" s="751"/>
      <c r="K27" s="497" t="s">
        <v>357</v>
      </c>
      <c r="L27" s="750" t="s">
        <v>242</v>
      </c>
      <c r="M27" s="751"/>
      <c r="N27" s="497" t="s">
        <v>355</v>
      </c>
      <c r="V27" s="475"/>
      <c r="W27" s="475"/>
      <c r="X27" s="475"/>
      <c r="Y27" s="475"/>
    </row>
    <row r="28" spans="1:25">
      <c r="B28" s="497" t="s">
        <v>0</v>
      </c>
      <c r="C28" s="755" t="s">
        <v>426</v>
      </c>
      <c r="D28" s="756"/>
      <c r="E28" s="756"/>
      <c r="F28" s="756"/>
      <c r="G28" s="756"/>
      <c r="H28" s="756"/>
      <c r="I28" s="756"/>
      <c r="J28" s="756"/>
      <c r="K28" s="756"/>
      <c r="L28" s="756"/>
      <c r="M28" s="756"/>
      <c r="N28" s="757"/>
    </row>
    <row r="29" spans="1:25" ht="15.75" customHeight="1">
      <c r="B29" s="488">
        <v>1</v>
      </c>
      <c r="C29" s="435" t="s">
        <v>362</v>
      </c>
      <c r="D29" s="752" t="s">
        <v>1639</v>
      </c>
      <c r="E29" s="753"/>
      <c r="F29" s="753"/>
      <c r="G29" s="754"/>
      <c r="H29" s="488" t="s">
        <v>422</v>
      </c>
      <c r="J29" s="523">
        <v>15000000</v>
      </c>
      <c r="K29" s="690">
        <v>0</v>
      </c>
      <c r="L29" s="523">
        <f t="shared" ref="L29:L35" si="0">+J29*K29</f>
        <v>0</v>
      </c>
      <c r="M29" s="524"/>
      <c r="N29" s="499"/>
    </row>
    <row r="30" spans="1:25" ht="15.75" customHeight="1">
      <c r="B30" s="488">
        <v>2</v>
      </c>
      <c r="C30" s="435" t="s">
        <v>1568</v>
      </c>
      <c r="D30" s="752" t="str">
        <f>VLOOKUP('Template tram'!D30,Sheet3!B:C,2,0)</f>
        <v>Cột tự đứng 18m (3 đốt 600x600)</v>
      </c>
      <c r="E30" s="753"/>
      <c r="F30" s="753"/>
      <c r="G30" s="754"/>
      <c r="H30" s="488" t="s">
        <v>422</v>
      </c>
      <c r="J30" s="523">
        <f>VLOOKUP(D30,'Capex VTNet 100521'!B:E,4,0)</f>
        <v>77344114.725964338</v>
      </c>
      <c r="K30" s="690">
        <f>VLOOKUP('Template tram'!D30,'Template tram'!$D$29:$K$42,8,0)</f>
        <v>1</v>
      </c>
      <c r="L30" s="523">
        <f t="shared" si="0"/>
        <v>77344114.725964338</v>
      </c>
      <c r="M30" s="524"/>
      <c r="N30" s="499"/>
    </row>
    <row r="31" spans="1:25" ht="15.75" customHeight="1">
      <c r="B31" s="488">
        <v>3</v>
      </c>
      <c r="C31" s="435" t="s">
        <v>1605</v>
      </c>
      <c r="D31" s="752" t="str">
        <f>VLOOKUP('Template tram'!D34,Sheet3!B:C,2,0)</f>
        <v>TH tiếp địa cột anten sử dụng 12 cọc thép L63x5)</v>
      </c>
      <c r="E31" s="753"/>
      <c r="F31" s="753"/>
      <c r="G31" s="754"/>
      <c r="H31" s="488" t="s">
        <v>422</v>
      </c>
      <c r="J31" s="523">
        <f>VLOOKUP(D31,'Capex VTNet 100521'!B:E,4,0)</f>
        <v>34075777.649999999</v>
      </c>
      <c r="K31" s="690">
        <f>VLOOKUP('Template tram'!D34,'Template tram'!$D$29:$K$42,8,0)</f>
        <v>1</v>
      </c>
      <c r="L31" s="523">
        <f t="shared" si="0"/>
        <v>34075777.649999999</v>
      </c>
      <c r="M31" s="524"/>
      <c r="N31" s="499"/>
      <c r="Q31" s="467" t="s">
        <v>1680</v>
      </c>
    </row>
    <row r="32" spans="1:25" ht="15.75" customHeight="1">
      <c r="B32" s="488">
        <v>4</v>
      </c>
      <c r="C32" s="450" t="s">
        <v>1610</v>
      </c>
      <c r="D32" s="752" t="str">
        <f>VLOOKUP('Template tram'!D35,Sheet3!B:C,2,0)</f>
        <v>Thi công kéo điện hạ thế 1 pha KC 400m</v>
      </c>
      <c r="E32" s="753"/>
      <c r="F32" s="753"/>
      <c r="G32" s="754"/>
      <c r="H32" s="488" t="s">
        <v>422</v>
      </c>
      <c r="J32" s="523">
        <f>VLOOKUP(D32,'Capex VTNet 100521'!B:E,4,0)</f>
        <v>77789326.950000003</v>
      </c>
      <c r="K32" s="690">
        <f>VLOOKUP('Template tram'!D35,'Template tram'!$D$29:$K$42,8,0)</f>
        <v>1</v>
      </c>
      <c r="L32" s="523">
        <f t="shared" si="0"/>
        <v>77789326.950000003</v>
      </c>
      <c r="M32" s="524"/>
      <c r="N32" s="499"/>
    </row>
    <row r="33" spans="2:19" ht="15.75" customHeight="1">
      <c r="B33" s="488">
        <v>5</v>
      </c>
      <c r="C33" s="435" t="s">
        <v>1621</v>
      </c>
      <c r="D33" s="752" t="str">
        <f>VLOOKUP('Template tram'!D33,Sheet3!B:C,2,0)</f>
        <v>Cung cấp Phòng máy cải tạo, ngăn vách kính (tạm tính 18 m2)</v>
      </c>
      <c r="E33" s="753"/>
      <c r="F33" s="753"/>
      <c r="G33" s="754"/>
      <c r="H33" s="488" t="s">
        <v>422</v>
      </c>
      <c r="J33" s="523">
        <f>VLOOKUP(D33,'Capex VTNet 100521'!B:E,4,0)</f>
        <v>29006992.799999997</v>
      </c>
      <c r="K33" s="690">
        <f>VLOOKUP('Template tram'!D31,'Template tram'!$D$29:$K$42,8,0)</f>
        <v>1</v>
      </c>
      <c r="L33" s="523">
        <f t="shared" si="0"/>
        <v>29006992.799999997</v>
      </c>
      <c r="M33" s="524"/>
      <c r="N33" s="499"/>
    </row>
    <row r="34" spans="2:19" ht="15.75" customHeight="1">
      <c r="B34" s="488">
        <v>6</v>
      </c>
      <c r="C34" s="435" t="s">
        <v>1629</v>
      </c>
      <c r="D34" s="752">
        <f>IF('Template tram'!E22="Không nguồn",0,IF(AND('Template tram'!E22="Có nguồn",'Template tram'!K48=0)=TRUE,'Capex VTNet 100521'!B66,'Capex VTNet 100521'!B67))</f>
        <v>0</v>
      </c>
      <c r="E34" s="753"/>
      <c r="F34" s="753"/>
      <c r="G34" s="754"/>
      <c r="H34" s="488" t="s">
        <v>422</v>
      </c>
      <c r="J34" s="523">
        <f>IF(D34=0,0,VLOOKUP(D34,'Capex VTNet 100521'!B:E,4,0))</f>
        <v>0</v>
      </c>
      <c r="K34" s="690">
        <f>IF('Template tram'!E22="Có nguồn",1,0)</f>
        <v>0</v>
      </c>
      <c r="L34" s="523">
        <f t="shared" si="0"/>
        <v>0</v>
      </c>
      <c r="M34" s="524"/>
      <c r="N34" s="499"/>
    </row>
    <row r="35" spans="2:19" ht="15.75" customHeight="1">
      <c r="B35" s="488">
        <v>7</v>
      </c>
      <c r="C35" s="435" t="s">
        <v>370</v>
      </c>
      <c r="D35" s="752" t="str">
        <f>+'Template tram'!D42</f>
        <v>Chi phí vật tư và nhân công lắp đặt điều hòa,….</v>
      </c>
      <c r="E35" s="753"/>
      <c r="F35" s="753"/>
      <c r="G35" s="754"/>
      <c r="H35" s="488" t="s">
        <v>422</v>
      </c>
      <c r="J35" s="523">
        <f>+'Template tram'!I42</f>
        <v>13000000</v>
      </c>
      <c r="K35" s="690">
        <f>+'Template tram'!K42</f>
        <v>1</v>
      </c>
      <c r="L35" s="523">
        <f t="shared" si="0"/>
        <v>13000000</v>
      </c>
      <c r="M35" s="524"/>
      <c r="N35" s="499"/>
    </row>
    <row r="36" spans="2:19" ht="15.75" customHeight="1">
      <c r="B36" s="488">
        <v>8</v>
      </c>
      <c r="C36" s="758" t="s">
        <v>457</v>
      </c>
      <c r="D36" s="759"/>
      <c r="E36" s="759"/>
      <c r="F36" s="759"/>
      <c r="G36" s="760"/>
      <c r="H36" s="500"/>
      <c r="I36" s="761"/>
      <c r="J36" s="762"/>
      <c r="K36" s="501"/>
      <c r="L36" s="525">
        <f>SUM(L29:L35)</f>
        <v>231216212.12596434</v>
      </c>
      <c r="M36" s="526"/>
      <c r="N36" s="502">
        <f>L36</f>
        <v>231216212.12596434</v>
      </c>
    </row>
    <row r="37" spans="2:19">
      <c r="B37" s="503" t="s">
        <v>25</v>
      </c>
      <c r="C37" s="763" t="s">
        <v>487</v>
      </c>
      <c r="D37" s="763"/>
      <c r="E37" s="763"/>
      <c r="F37" s="763"/>
      <c r="G37" s="763"/>
      <c r="H37" s="763"/>
      <c r="I37" s="763"/>
      <c r="J37" s="763"/>
      <c r="K37" s="763"/>
      <c r="L37" s="763"/>
      <c r="M37" s="763"/>
      <c r="N37" s="763"/>
    </row>
    <row r="38" spans="2:19">
      <c r="B38" s="504">
        <v>1</v>
      </c>
      <c r="C38" s="764" t="s">
        <v>524</v>
      </c>
      <c r="D38" s="764"/>
      <c r="E38" s="764"/>
      <c r="F38" s="764"/>
      <c r="G38" s="764"/>
      <c r="H38" s="505" t="s">
        <v>456</v>
      </c>
      <c r="I38" s="765">
        <f>+'Template tram'!I84</f>
        <v>1000000</v>
      </c>
      <c r="J38" s="766"/>
      <c r="K38" s="506">
        <v>1</v>
      </c>
      <c r="L38" s="767">
        <f>+I38*K38</f>
        <v>1000000</v>
      </c>
      <c r="M38" s="768"/>
      <c r="N38" s="505"/>
    </row>
    <row r="39" spans="2:19">
      <c r="B39" s="504">
        <v>2</v>
      </c>
      <c r="C39" s="764" t="s">
        <v>1640</v>
      </c>
      <c r="D39" s="764"/>
      <c r="E39" s="764"/>
      <c r="F39" s="764"/>
      <c r="G39" s="764"/>
      <c r="H39" s="505" t="s">
        <v>456</v>
      </c>
      <c r="I39" s="769">
        <f>+'Template tram'!I85</f>
        <v>2500000</v>
      </c>
      <c r="J39" s="770"/>
      <c r="K39" s="506"/>
      <c r="L39" s="507"/>
      <c r="M39" s="508"/>
      <c r="N39" s="505"/>
      <c r="P39" s="467" t="str">
        <f>CONCATENATE(Q12,Q18,Q16,Q20)</f>
        <v>Nhóm 2Thành phốDưới đấtTrạm RRU</v>
      </c>
    </row>
    <row r="40" spans="2:19" s="477" customFormat="1">
      <c r="B40" s="503" t="s">
        <v>26</v>
      </c>
      <c r="C40" s="763" t="s">
        <v>428</v>
      </c>
      <c r="D40" s="763"/>
      <c r="E40" s="763"/>
      <c r="F40" s="763"/>
      <c r="G40" s="763"/>
      <c r="H40" s="763"/>
      <c r="I40" s="763"/>
      <c r="J40" s="763"/>
      <c r="K40" s="763"/>
      <c r="L40" s="763"/>
      <c r="M40" s="763"/>
      <c r="N40" s="763"/>
      <c r="S40" s="509"/>
    </row>
    <row r="41" spans="2:19">
      <c r="B41" s="510">
        <v>1</v>
      </c>
      <c r="C41" s="511" t="s">
        <v>429</v>
      </c>
      <c r="D41" s="511"/>
      <c r="E41" s="512"/>
      <c r="F41" s="468"/>
      <c r="G41" s="468"/>
      <c r="H41" s="468"/>
      <c r="I41" s="468"/>
      <c r="J41" s="468"/>
      <c r="K41" s="468"/>
      <c r="L41" s="468"/>
      <c r="M41" s="468"/>
      <c r="N41" s="468"/>
    </row>
    <row r="42" spans="2:19">
      <c r="B42" s="513">
        <v>2</v>
      </c>
      <c r="C42" s="505" t="s">
        <v>430</v>
      </c>
      <c r="D42" s="505"/>
      <c r="E42" s="514"/>
      <c r="F42" s="468"/>
      <c r="G42" s="468"/>
      <c r="H42" s="468"/>
      <c r="I42" s="468"/>
      <c r="J42" s="468"/>
      <c r="K42" s="468"/>
      <c r="L42" s="468"/>
      <c r="M42" s="468"/>
      <c r="N42" s="468"/>
    </row>
    <row r="43" spans="2:19">
      <c r="B43" s="513">
        <v>3</v>
      </c>
      <c r="C43" s="515" t="s">
        <v>402</v>
      </c>
      <c r="D43" s="505"/>
      <c r="E43" s="516"/>
      <c r="F43" s="468"/>
      <c r="G43" s="468"/>
      <c r="H43" s="468"/>
      <c r="I43" s="468"/>
      <c r="J43" s="468"/>
      <c r="K43" s="468"/>
      <c r="L43" s="468"/>
      <c r="M43" s="468"/>
      <c r="N43" s="468"/>
    </row>
    <row r="44" spans="2:19">
      <c r="B44" s="513">
        <v>4</v>
      </c>
      <c r="C44" s="505" t="s">
        <v>431</v>
      </c>
      <c r="D44" s="505"/>
      <c r="E44" s="517"/>
      <c r="F44" s="771"/>
      <c r="G44" s="744"/>
      <c r="H44" s="518"/>
      <c r="I44" s="468"/>
      <c r="J44" s="518"/>
      <c r="K44" s="468"/>
      <c r="L44" s="468"/>
      <c r="M44" s="468"/>
      <c r="N44" s="468"/>
    </row>
    <row r="45" spans="2:19">
      <c r="B45" s="519">
        <v>5</v>
      </c>
      <c r="C45" s="520"/>
      <c r="D45" s="520"/>
      <c r="E45" s="521"/>
      <c r="F45" s="468"/>
      <c r="G45" s="468"/>
      <c r="H45" s="468"/>
      <c r="I45" s="468"/>
      <c r="J45" s="468"/>
      <c r="K45" s="468"/>
      <c r="L45" s="468"/>
      <c r="M45" s="468"/>
      <c r="N45" s="468"/>
    </row>
    <row r="46" spans="2:19">
      <c r="B46" s="468" t="s">
        <v>1641</v>
      </c>
      <c r="C46" s="522"/>
      <c r="D46" s="468"/>
      <c r="E46" s="468"/>
      <c r="F46" s="468"/>
      <c r="G46" s="468"/>
      <c r="H46" s="468"/>
      <c r="I46" s="468"/>
      <c r="J46" s="468"/>
      <c r="K46" s="468"/>
      <c r="L46" s="468"/>
      <c r="M46" s="468"/>
      <c r="N46" s="468"/>
    </row>
    <row r="47" spans="2:19">
      <c r="B47" s="468" t="s">
        <v>1467</v>
      </c>
      <c r="C47" s="468"/>
      <c r="D47" s="468"/>
      <c r="E47" s="468"/>
      <c r="F47" s="468"/>
      <c r="G47" s="468"/>
      <c r="H47" s="468"/>
      <c r="I47" s="468"/>
      <c r="J47" s="468"/>
      <c r="K47" s="468"/>
      <c r="L47" s="468"/>
      <c r="M47" s="468"/>
      <c r="N47" s="468"/>
    </row>
    <row r="48" spans="2:19">
      <c r="B48" s="468"/>
      <c r="C48" s="468"/>
      <c r="D48" s="468"/>
      <c r="E48" s="468"/>
      <c r="F48" s="468"/>
      <c r="G48" s="468"/>
      <c r="H48" s="468"/>
      <c r="I48" s="468"/>
      <c r="J48" s="468"/>
      <c r="K48" s="468"/>
      <c r="L48" s="468"/>
      <c r="M48" s="468"/>
      <c r="N48" s="468"/>
    </row>
    <row r="49" spans="2:14">
      <c r="B49" s="477"/>
      <c r="C49" s="743">
        <f>B4</f>
        <v>0</v>
      </c>
      <c r="D49" s="743"/>
      <c r="E49" s="743"/>
      <c r="F49" s="743" t="s">
        <v>1466</v>
      </c>
      <c r="G49" s="743"/>
      <c r="H49" s="743"/>
      <c r="I49" s="743"/>
      <c r="J49" s="743"/>
      <c r="K49" s="477"/>
      <c r="L49" s="743" t="s">
        <v>434</v>
      </c>
      <c r="M49" s="743"/>
      <c r="N49" s="743"/>
    </row>
  </sheetData>
  <dataConsolidate/>
  <mergeCells count="33">
    <mergeCell ref="C40:N40"/>
    <mergeCell ref="F44:G44"/>
    <mergeCell ref="C49:E49"/>
    <mergeCell ref="F49:J49"/>
    <mergeCell ref="L49:N49"/>
    <mergeCell ref="C37:N37"/>
    <mergeCell ref="C38:G38"/>
    <mergeCell ref="I38:J38"/>
    <mergeCell ref="L38:M38"/>
    <mergeCell ref="C39:G39"/>
    <mergeCell ref="I39:J39"/>
    <mergeCell ref="D35:G35"/>
    <mergeCell ref="C36:G36"/>
    <mergeCell ref="I36:J36"/>
    <mergeCell ref="D33:G33"/>
    <mergeCell ref="D34:G34"/>
    <mergeCell ref="D31:G31"/>
    <mergeCell ref="D32:G32"/>
    <mergeCell ref="C28:N28"/>
    <mergeCell ref="D29:G29"/>
    <mergeCell ref="D30:G30"/>
    <mergeCell ref="B11:N11"/>
    <mergeCell ref="G13:I13"/>
    <mergeCell ref="F22:G22"/>
    <mergeCell ref="D27:G27"/>
    <mergeCell ref="I27:J27"/>
    <mergeCell ref="L27:M27"/>
    <mergeCell ref="B6:N6"/>
    <mergeCell ref="A1:N1"/>
    <mergeCell ref="B3:F3"/>
    <mergeCell ref="J3:N3"/>
    <mergeCell ref="B4:F4"/>
    <mergeCell ref="J4:N4"/>
  </mergeCells>
  <conditionalFormatting sqref="E41">
    <cfRule type="cellIs" dxfId="2" priority="1" operator="lessThan">
      <formula>0</formula>
    </cfRule>
  </conditionalFormatting>
  <dataValidations disablePrompts="1" count="9">
    <dataValidation type="list" allowBlank="1" showInputMessage="1" showErrorMessage="1" sqref="E24">
      <formula1>$Q$9:$Q$10</formula1>
    </dataValidation>
    <dataValidation type="list" allowBlank="1" showInputMessage="1" showErrorMessage="1" sqref="Q16">
      <formula1>$W$15:$W$16</formula1>
    </dataValidation>
    <dataValidation type="list" allowBlank="1" showInputMessage="1" showErrorMessage="1" sqref="Q18">
      <formula1>$W$17:$W$21</formula1>
    </dataValidation>
    <dataValidation type="list" allowBlank="1" showInputMessage="1" showErrorMessage="1" sqref="Q20">
      <formula1>$W$22:$W$24</formula1>
    </dataValidation>
    <dataValidation type="list" allowBlank="1" showInputMessage="1" showErrorMessage="1" sqref="Q14">
      <formula1>$W$12:$W$14</formula1>
    </dataValidation>
    <dataValidation type="list" allowBlank="1" showInputMessage="1" showErrorMessage="1" sqref="E25">
      <formula1>#REF!</formula1>
    </dataValidation>
    <dataValidation type="list" allowBlank="1" showInputMessage="1" showErrorMessage="1" sqref="E22">
      <formula1>"Có nguồn,Không nguồn"</formula1>
    </dataValidation>
    <dataValidation type="list" allowBlank="1" showInputMessage="1" showErrorMessage="1" sqref="G16 J16 M16">
      <formula1>"Viettel, Mobi, Vina"</formula1>
    </dataValidation>
    <dataValidation type="list" allowBlank="1" showInputMessage="1" showErrorMessage="1" sqref="M22">
      <formula1>$R$24:$R$25</formula1>
    </dataValidation>
  </dataValidations>
  <pageMargins left="0.33" right="0.43" top="0.39" bottom="0.32" header="0.31496062992125984" footer="0.31496062992125984"/>
  <pageSetup paperSize="9" scale="70" orientation="landscape" verticalDpi="0"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'[1]Nhóm đơn giá thuê'!#REF!</xm:f>
          </x14:formula1>
          <xm:sqref>C13</xm:sqref>
        </x14:dataValidation>
        <x14:dataValidation type="list" allowBlank="1" showInputMessage="1" showErrorMessage="1">
          <x14:formula1>
            <xm:f>'Capex VTNet 100521'!$B$36:$B$42</xm:f>
          </x14:formula1>
          <xm:sqref>Q31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75"/>
  <sheetViews>
    <sheetView workbookViewId="0">
      <selection activeCell="I3" sqref="I3"/>
    </sheetView>
  </sheetViews>
  <sheetFormatPr defaultColWidth="8.85546875" defaultRowHeight="15"/>
  <cols>
    <col min="1" max="1" width="9.28515625" bestFit="1" customWidth="1"/>
    <col min="2" max="2" width="30.85546875" customWidth="1"/>
    <col min="3" max="3" width="17.7109375" customWidth="1"/>
    <col min="4" max="4" width="17.140625" customWidth="1"/>
    <col min="5" max="5" width="14.7109375" customWidth="1"/>
    <col min="6" max="6" width="13.85546875" customWidth="1"/>
    <col min="7" max="7" width="19.140625" customWidth="1"/>
    <col min="8" max="19" width="13.85546875" customWidth="1"/>
    <col min="20" max="20" width="16.85546875" bestFit="1" customWidth="1"/>
    <col min="22" max="22" width="9.28515625" bestFit="1" customWidth="1"/>
  </cols>
  <sheetData>
    <row r="1" spans="1:17" ht="25.5">
      <c r="E1" s="698">
        <f>+I2/F1</f>
        <v>0.29623095931303844</v>
      </c>
      <c r="F1" s="559">
        <f>+'Template tram'!L82-'Template tram'!L80</f>
        <v>209797392.20494735</v>
      </c>
      <c r="G1" s="774" t="s">
        <v>372</v>
      </c>
      <c r="H1" s="775"/>
      <c r="I1" s="616" t="s">
        <v>374</v>
      </c>
      <c r="J1" s="616" t="s">
        <v>387</v>
      </c>
      <c r="K1" s="617" t="s">
        <v>403</v>
      </c>
      <c r="L1" s="616" t="s">
        <v>1693</v>
      </c>
    </row>
    <row r="2" spans="1:17" ht="15.75">
      <c r="A2" s="63" t="s">
        <v>371</v>
      </c>
      <c r="B2" s="64" t="s">
        <v>372</v>
      </c>
      <c r="C2" s="63" t="s">
        <v>373</v>
      </c>
      <c r="D2" s="63" t="s">
        <v>1699</v>
      </c>
      <c r="E2" s="63" t="s">
        <v>1698</v>
      </c>
      <c r="F2" s="556" t="s">
        <v>1744</v>
      </c>
      <c r="G2" s="772" t="s">
        <v>388</v>
      </c>
      <c r="H2" s="773"/>
      <c r="I2" s="610">
        <f>+I3+I4</f>
        <v>62148482.754245333</v>
      </c>
      <c r="J2" s="610"/>
      <c r="K2" s="611" t="s">
        <v>1694</v>
      </c>
      <c r="L2" s="551">
        <v>207800</v>
      </c>
    </row>
    <row r="3" spans="1:17" ht="15.75">
      <c r="A3" s="73" t="s">
        <v>0</v>
      </c>
      <c r="B3" s="74" t="s">
        <v>419</v>
      </c>
      <c r="C3" s="73"/>
      <c r="D3" s="73"/>
      <c r="E3" s="73"/>
      <c r="F3" s="557"/>
      <c r="G3" s="772" t="s">
        <v>389</v>
      </c>
      <c r="H3" s="773"/>
      <c r="I3" s="610">
        <f>+'Template tram'!$H$22*('Template tram'!L30+'Template tram'!L31+'Template tram'!L34+'Template tram'!L35+'Template tram'!L36+'Template tram'!L37+'Template tram'!L38+'Template tram'!L39+'Template tram'!L40+'Template tram'!L41)+('Template tram'!L32+'Template tram'!L33+'Template tram'!L56+'Template tram'!L70)*0.95</f>
        <v>62148482.754245333</v>
      </c>
      <c r="J3" s="612">
        <v>7</v>
      </c>
      <c r="K3" s="611" t="s">
        <v>1695</v>
      </c>
      <c r="L3" s="551">
        <v>90000</v>
      </c>
    </row>
    <row r="4" spans="1:17" ht="15.75">
      <c r="A4" s="66">
        <v>1</v>
      </c>
      <c r="B4" s="67" t="s">
        <v>375</v>
      </c>
      <c r="C4" s="68" t="s">
        <v>376</v>
      </c>
      <c r="D4" s="183">
        <v>0.4</v>
      </c>
      <c r="E4" s="183">
        <v>0.4</v>
      </c>
      <c r="F4" s="556">
        <f>+$I$2*$E4</f>
        <v>24859393.101698134</v>
      </c>
      <c r="G4" s="772" t="s">
        <v>390</v>
      </c>
      <c r="H4" s="773"/>
      <c r="I4" s="610">
        <f>IF('Template tram'!$E$22="Có nguồn",'Template tram'!$L$53,0)</f>
        <v>0</v>
      </c>
      <c r="J4" s="610"/>
      <c r="K4" s="611" t="s">
        <v>1696</v>
      </c>
      <c r="L4" s="551">
        <v>207800</v>
      </c>
    </row>
    <row r="5" spans="1:17" ht="15.75">
      <c r="A5" s="66">
        <v>2</v>
      </c>
      <c r="B5" s="67" t="s">
        <v>377</v>
      </c>
      <c r="C5" s="68" t="s">
        <v>376</v>
      </c>
      <c r="D5" s="184">
        <f>1-D4</f>
        <v>0.6</v>
      </c>
      <c r="E5" s="184">
        <f>1-E4</f>
        <v>0.6</v>
      </c>
      <c r="F5" s="556">
        <f>+$I$2*$E5</f>
        <v>37289089.652547196</v>
      </c>
      <c r="G5" s="772" t="s">
        <v>391</v>
      </c>
      <c r="H5" s="773"/>
      <c r="I5" s="610">
        <f>IF('Template tram'!$E$22="Có nguồn",'Template tram'!L45,0)</f>
        <v>0</v>
      </c>
      <c r="J5" s="613">
        <v>7</v>
      </c>
      <c r="K5" s="611" t="s">
        <v>1697</v>
      </c>
      <c r="L5" s="551">
        <v>90000</v>
      </c>
    </row>
    <row r="6" spans="1:17" ht="15.75">
      <c r="A6" s="66">
        <v>4</v>
      </c>
      <c r="B6" s="67" t="s">
        <v>379</v>
      </c>
      <c r="C6" s="70" t="s">
        <v>378</v>
      </c>
      <c r="D6" s="281">
        <v>0.1641</v>
      </c>
      <c r="E6" s="281">
        <v>0.152776</v>
      </c>
      <c r="F6" s="558"/>
      <c r="G6" s="772" t="s">
        <v>392</v>
      </c>
      <c r="H6" s="773"/>
      <c r="I6" s="610">
        <f>IF('Template tram'!$E$22="Có nguồn",'Template tram'!L46,0)</f>
        <v>0</v>
      </c>
      <c r="J6" s="613">
        <v>7</v>
      </c>
      <c r="K6" s="614"/>
      <c r="L6" s="614"/>
    </row>
    <row r="7" spans="1:17" ht="15.75">
      <c r="A7" s="66">
        <v>5</v>
      </c>
      <c r="B7" s="67" t="s">
        <v>380</v>
      </c>
      <c r="C7" s="70" t="s">
        <v>378</v>
      </c>
      <c r="D7" s="183">
        <v>0.08</v>
      </c>
      <c r="E7" s="183">
        <v>0.08</v>
      </c>
      <c r="F7" s="558"/>
      <c r="G7" s="772" t="s">
        <v>393</v>
      </c>
      <c r="H7" s="773"/>
      <c r="I7" s="610">
        <f>IF('Template tram'!$E$22="Có nguồn",'Template tram'!L47,0)*0.7</f>
        <v>0</v>
      </c>
      <c r="J7" s="613">
        <v>4</v>
      </c>
      <c r="K7" s="614"/>
      <c r="L7" s="614"/>
    </row>
    <row r="8" spans="1:17" ht="15.75">
      <c r="A8" s="66">
        <v>6</v>
      </c>
      <c r="B8" s="67" t="s">
        <v>381</v>
      </c>
      <c r="C8" s="70" t="s">
        <v>378</v>
      </c>
      <c r="D8" s="183">
        <v>0.2</v>
      </c>
      <c r="E8" s="183">
        <v>0.2</v>
      </c>
      <c r="F8" s="558"/>
      <c r="G8" s="772" t="s">
        <v>394</v>
      </c>
      <c r="H8" s="773"/>
      <c r="I8" s="610">
        <f>IF('Template tram'!$E$22="Có nguồn",'Template tram'!L48,0)</f>
        <v>0</v>
      </c>
      <c r="J8" s="615">
        <v>7</v>
      </c>
      <c r="K8" s="614"/>
      <c r="L8" s="614"/>
    </row>
    <row r="9" spans="1:17" ht="15.75">
      <c r="A9" s="66">
        <v>7</v>
      </c>
      <c r="B9" s="67" t="s">
        <v>382</v>
      </c>
      <c r="C9" s="70" t="s">
        <v>383</v>
      </c>
      <c r="D9" s="71"/>
      <c r="E9" s="71"/>
      <c r="F9" s="558"/>
      <c r="G9" s="772" t="s">
        <v>395</v>
      </c>
      <c r="H9" s="773"/>
      <c r="I9" s="610">
        <f>IF('Template tram'!$E$22="Có nguồn",'Template tram'!L49,0)</f>
        <v>0</v>
      </c>
      <c r="J9" s="615">
        <v>7</v>
      </c>
      <c r="K9" s="614"/>
      <c r="L9" s="614"/>
    </row>
    <row r="10" spans="1:17" ht="15.75">
      <c r="A10" s="66">
        <v>9</v>
      </c>
      <c r="B10" s="69" t="s">
        <v>384</v>
      </c>
      <c r="C10" s="70" t="s">
        <v>383</v>
      </c>
      <c r="D10" s="71">
        <v>6</v>
      </c>
      <c r="E10" s="71">
        <v>6</v>
      </c>
      <c r="F10" s="558"/>
      <c r="G10" s="772" t="s">
        <v>396</v>
      </c>
      <c r="H10" s="773"/>
      <c r="I10" s="610">
        <f>IF('Template tram'!$E$22="Có nguồn",'Template tram'!L50,0)</f>
        <v>0</v>
      </c>
      <c r="J10" s="615">
        <v>7</v>
      </c>
      <c r="K10" s="614"/>
      <c r="L10" s="614"/>
    </row>
    <row r="11" spans="1:17" ht="15.75">
      <c r="A11" s="552"/>
      <c r="B11" s="553"/>
      <c r="C11" s="554"/>
      <c r="D11" s="555"/>
      <c r="E11" s="555"/>
      <c r="F11" s="558"/>
      <c r="G11" s="772" t="s">
        <v>398</v>
      </c>
      <c r="H11" s="773"/>
      <c r="I11" s="610">
        <f>IF('Template tram'!$E$22="Có nguồn",'Template tram'!L51,0)</f>
        <v>0</v>
      </c>
      <c r="J11" s="615">
        <v>7</v>
      </c>
      <c r="K11" s="614"/>
      <c r="L11" s="614"/>
    </row>
    <row r="12" spans="1:17" ht="15.75">
      <c r="A12" s="552"/>
      <c r="B12" s="553"/>
      <c r="C12" s="554"/>
      <c r="D12" s="555"/>
      <c r="E12" s="555"/>
      <c r="F12" s="558"/>
      <c r="G12" s="772" t="s">
        <v>399</v>
      </c>
      <c r="H12" s="773"/>
      <c r="I12" s="610">
        <f>IF('Template tram'!$E$22="Có nguồn",'Template tram'!L52,0)</f>
        <v>0</v>
      </c>
      <c r="J12" s="615">
        <v>7</v>
      </c>
      <c r="K12" s="614"/>
      <c r="L12" s="614"/>
    </row>
    <row r="13" spans="1:17" s="550" customFormat="1" ht="12.75">
      <c r="A13" s="783" t="s">
        <v>371</v>
      </c>
      <c r="B13" s="783" t="s">
        <v>592</v>
      </c>
      <c r="C13" s="784" t="s">
        <v>593</v>
      </c>
      <c r="D13" s="785"/>
      <c r="E13" s="786"/>
      <c r="F13" s="603"/>
      <c r="G13" s="603"/>
      <c r="H13" s="603"/>
      <c r="I13" s="603"/>
      <c r="J13" s="603"/>
      <c r="K13" s="603"/>
      <c r="L13" s="603"/>
      <c r="M13" s="603"/>
      <c r="N13" s="603"/>
      <c r="O13" s="603"/>
      <c r="P13" s="603"/>
      <c r="Q13" s="603"/>
    </row>
    <row r="14" spans="1:17" s="550" customFormat="1" ht="12.75">
      <c r="A14" s="783"/>
      <c r="B14" s="783"/>
      <c r="C14" s="604">
        <v>1</v>
      </c>
      <c r="D14" s="604">
        <v>2</v>
      </c>
      <c r="E14" s="604">
        <v>3</v>
      </c>
      <c r="F14" s="604">
        <v>4</v>
      </c>
      <c r="G14" s="604">
        <v>5</v>
      </c>
      <c r="H14" s="604">
        <v>6</v>
      </c>
      <c r="I14" s="604">
        <v>7</v>
      </c>
      <c r="J14" s="604">
        <v>8</v>
      </c>
      <c r="K14" s="604">
        <v>9</v>
      </c>
      <c r="L14" s="604">
        <v>10</v>
      </c>
      <c r="M14" s="604">
        <v>11</v>
      </c>
      <c r="N14" s="604">
        <v>12</v>
      </c>
      <c r="O14" s="604">
        <v>13</v>
      </c>
      <c r="P14" s="604">
        <v>14</v>
      </c>
      <c r="Q14" s="604">
        <v>15</v>
      </c>
    </row>
    <row r="15" spans="1:17" s="550" customFormat="1" ht="12.75">
      <c r="A15" s="605">
        <v>1</v>
      </c>
      <c r="B15" s="606" t="s">
        <v>594</v>
      </c>
      <c r="C15" s="607">
        <f>+D51</f>
        <v>37289089.652547196</v>
      </c>
      <c r="D15" s="607">
        <f>C20</f>
        <v>31074241.377122663</v>
      </c>
      <c r="E15" s="607">
        <f>D20</f>
        <v>24859393.10169813</v>
      </c>
      <c r="F15" s="607">
        <f>E20</f>
        <v>18644544.826273598</v>
      </c>
      <c r="G15" s="607">
        <f t="shared" ref="G15:Q15" si="0">F20</f>
        <v>12429696.550849065</v>
      </c>
      <c r="H15" s="607">
        <f t="shared" si="0"/>
        <v>6214848.2754245326</v>
      </c>
      <c r="I15" s="607"/>
      <c r="J15" s="607"/>
      <c r="K15" s="607"/>
      <c r="L15" s="607">
        <f t="shared" si="0"/>
        <v>0</v>
      </c>
      <c r="M15" s="607">
        <f t="shared" si="0"/>
        <v>0</v>
      </c>
      <c r="N15" s="607">
        <f t="shared" si="0"/>
        <v>0</v>
      </c>
      <c r="O15" s="607">
        <f t="shared" si="0"/>
        <v>0</v>
      </c>
      <c r="P15" s="607">
        <f t="shared" si="0"/>
        <v>0</v>
      </c>
      <c r="Q15" s="607">
        <f t="shared" si="0"/>
        <v>0</v>
      </c>
    </row>
    <row r="16" spans="1:17" s="550" customFormat="1" ht="12.75">
      <c r="A16" s="605">
        <v>2</v>
      </c>
      <c r="B16" s="606" t="s">
        <v>595</v>
      </c>
      <c r="C16" s="607">
        <v>0</v>
      </c>
      <c r="D16" s="607">
        <v>0</v>
      </c>
      <c r="E16" s="607">
        <v>0</v>
      </c>
      <c r="F16" s="607">
        <v>0</v>
      </c>
      <c r="G16" s="607">
        <v>0</v>
      </c>
      <c r="H16" s="607">
        <v>0</v>
      </c>
      <c r="I16" s="607"/>
      <c r="J16" s="607"/>
      <c r="K16" s="607"/>
      <c r="L16" s="607">
        <v>0</v>
      </c>
      <c r="M16" s="607">
        <v>0</v>
      </c>
      <c r="N16" s="607">
        <v>0</v>
      </c>
      <c r="O16" s="607">
        <v>0</v>
      </c>
      <c r="P16" s="607">
        <v>0</v>
      </c>
      <c r="Q16" s="607">
        <v>0</v>
      </c>
    </row>
    <row r="17" spans="1:21" s="550" customFormat="1" ht="12.75">
      <c r="A17" s="605">
        <v>3</v>
      </c>
      <c r="B17" s="606" t="s">
        <v>596</v>
      </c>
      <c r="C17" s="607">
        <f t="shared" ref="C17:H17" si="1">+$D$51/6</f>
        <v>6214848.2754245326</v>
      </c>
      <c r="D17" s="607">
        <f t="shared" si="1"/>
        <v>6214848.2754245326</v>
      </c>
      <c r="E17" s="607">
        <f t="shared" si="1"/>
        <v>6214848.2754245326</v>
      </c>
      <c r="F17" s="607">
        <f t="shared" si="1"/>
        <v>6214848.2754245326</v>
      </c>
      <c r="G17" s="607">
        <f t="shared" si="1"/>
        <v>6214848.2754245326</v>
      </c>
      <c r="H17" s="607">
        <f t="shared" si="1"/>
        <v>6214848.2754245326</v>
      </c>
      <c r="I17" s="607"/>
      <c r="J17" s="607"/>
      <c r="K17" s="607"/>
      <c r="L17" s="607">
        <f t="shared" ref="L17:Q17" si="2">IF(L22&gt;(L15+L18),L15,L22-L18)</f>
        <v>0</v>
      </c>
      <c r="M17" s="607">
        <f t="shared" si="2"/>
        <v>0</v>
      </c>
      <c r="N17" s="607">
        <f t="shared" si="2"/>
        <v>0</v>
      </c>
      <c r="O17" s="607">
        <f t="shared" si="2"/>
        <v>0</v>
      </c>
      <c r="P17" s="607">
        <f t="shared" si="2"/>
        <v>0</v>
      </c>
      <c r="Q17" s="607">
        <f t="shared" si="2"/>
        <v>0</v>
      </c>
    </row>
    <row r="18" spans="1:21" s="550" customFormat="1" ht="12.75">
      <c r="A18" s="605">
        <v>4</v>
      </c>
      <c r="B18" s="606" t="s">
        <v>597</v>
      </c>
      <c r="C18" s="607">
        <f t="shared" ref="C18:H18" si="3">+$D$7*C15</f>
        <v>2983127.1722037755</v>
      </c>
      <c r="D18" s="607">
        <f t="shared" si="3"/>
        <v>2485939.3101698132</v>
      </c>
      <c r="E18" s="607">
        <f t="shared" si="3"/>
        <v>1988751.4481358505</v>
      </c>
      <c r="F18" s="607">
        <f t="shared" si="3"/>
        <v>1491563.5861018877</v>
      </c>
      <c r="G18" s="607">
        <f t="shared" si="3"/>
        <v>994375.72406792524</v>
      </c>
      <c r="H18" s="607">
        <f t="shared" si="3"/>
        <v>497187.86203396262</v>
      </c>
      <c r="I18" s="607"/>
      <c r="J18" s="607"/>
      <c r="K18" s="607"/>
      <c r="L18" s="607">
        <f>L15*'[2]Giả định'!$E$10</f>
        <v>0</v>
      </c>
      <c r="M18" s="607">
        <f>M15*'[2]Giả định'!$E$10</f>
        <v>0</v>
      </c>
      <c r="N18" s="607">
        <f>N15*'[2]Giả định'!$E$10</f>
        <v>0</v>
      </c>
      <c r="O18" s="607">
        <f>O15*'[2]Giả định'!$E$10</f>
        <v>0</v>
      </c>
      <c r="P18" s="607">
        <f>P15*'[2]Giả định'!$E$10</f>
        <v>0</v>
      </c>
      <c r="Q18" s="607">
        <f>Q15*'[2]Giả định'!$E$10</f>
        <v>0</v>
      </c>
    </row>
    <row r="19" spans="1:21" s="550" customFormat="1" ht="12.75">
      <c r="A19" s="605">
        <v>5</v>
      </c>
      <c r="B19" s="606" t="s">
        <v>598</v>
      </c>
      <c r="C19" s="607">
        <f>+C17+C18</f>
        <v>9197975.4476283081</v>
      </c>
      <c r="D19" s="607">
        <f>+D17+D18</f>
        <v>8700787.5855943449</v>
      </c>
      <c r="E19" s="607">
        <f t="shared" ref="E19:Q19" si="4">+E17+E18</f>
        <v>8203599.7235603835</v>
      </c>
      <c r="F19" s="607">
        <f t="shared" si="4"/>
        <v>7706411.8615264203</v>
      </c>
      <c r="G19" s="607">
        <f>+G17+G18</f>
        <v>7209223.9994924581</v>
      </c>
      <c r="H19" s="607">
        <f>+H17+H18</f>
        <v>6712036.1374584949</v>
      </c>
      <c r="I19" s="607"/>
      <c r="J19" s="607"/>
      <c r="K19" s="607"/>
      <c r="L19" s="607">
        <f t="shared" si="4"/>
        <v>0</v>
      </c>
      <c r="M19" s="607">
        <f t="shared" si="4"/>
        <v>0</v>
      </c>
      <c r="N19" s="607">
        <f t="shared" si="4"/>
        <v>0</v>
      </c>
      <c r="O19" s="607">
        <f t="shared" si="4"/>
        <v>0</v>
      </c>
      <c r="P19" s="607">
        <f t="shared" si="4"/>
        <v>0</v>
      </c>
      <c r="Q19" s="607">
        <f t="shared" si="4"/>
        <v>0</v>
      </c>
    </row>
    <row r="20" spans="1:21">
      <c r="A20" s="605">
        <v>6</v>
      </c>
      <c r="B20" s="606" t="s">
        <v>599</v>
      </c>
      <c r="C20" s="608">
        <f>C15+C16-C17</f>
        <v>31074241.377122663</v>
      </c>
      <c r="D20" s="607">
        <f t="shared" ref="D20:Q20" si="5">D15+D16-D17</f>
        <v>24859393.10169813</v>
      </c>
      <c r="E20" s="609">
        <f t="shared" si="5"/>
        <v>18644544.826273598</v>
      </c>
      <c r="F20" s="607">
        <f>F15+F16-F17</f>
        <v>12429696.550849065</v>
      </c>
      <c r="G20" s="607">
        <f>G15+G16-G17</f>
        <v>6214848.2754245326</v>
      </c>
      <c r="H20" s="607">
        <f>H15+H16-H17</f>
        <v>0</v>
      </c>
      <c r="I20" s="607"/>
      <c r="J20" s="607"/>
      <c r="K20" s="607"/>
      <c r="L20" s="607">
        <f t="shared" si="5"/>
        <v>0</v>
      </c>
      <c r="M20" s="607">
        <f t="shared" si="5"/>
        <v>0</v>
      </c>
      <c r="N20" s="607">
        <f t="shared" si="5"/>
        <v>0</v>
      </c>
      <c r="O20" s="607">
        <f t="shared" si="5"/>
        <v>0</v>
      </c>
      <c r="P20" s="607">
        <f t="shared" si="5"/>
        <v>0</v>
      </c>
      <c r="Q20" s="607">
        <f t="shared" si="5"/>
        <v>0</v>
      </c>
    </row>
    <row r="21" spans="1:21">
      <c r="A21" s="627"/>
      <c r="B21" s="628"/>
      <c r="C21" s="629"/>
      <c r="D21" s="630"/>
      <c r="E21" s="631"/>
      <c r="F21" s="630"/>
      <c r="G21" s="630"/>
      <c r="H21" s="630"/>
      <c r="I21" s="630"/>
      <c r="J21" s="630"/>
      <c r="K21" s="630"/>
      <c r="L21" s="630"/>
      <c r="M21" s="630"/>
      <c r="N21" s="630"/>
      <c r="O21" s="630"/>
      <c r="P21" s="630"/>
      <c r="Q21" s="630"/>
    </row>
    <row r="22" spans="1:21" s="181" customFormat="1" ht="12.75">
      <c r="A22" s="787" t="s">
        <v>1700</v>
      </c>
      <c r="B22" s="787"/>
      <c r="C22" s="787"/>
      <c r="D22" s="787"/>
      <c r="E22" s="787"/>
      <c r="F22" s="787"/>
      <c r="G22" s="787"/>
      <c r="H22" s="787"/>
      <c r="I22" s="787"/>
      <c r="J22" s="787"/>
      <c r="K22" s="787"/>
      <c r="L22" s="787"/>
      <c r="M22" s="787"/>
      <c r="N22" s="787"/>
      <c r="O22" s="787"/>
      <c r="P22" s="787"/>
      <c r="Q22" s="787"/>
      <c r="R22" s="560"/>
      <c r="S22" s="561"/>
      <c r="T22" s="561"/>
    </row>
    <row r="23" spans="1:21" s="181" customFormat="1" ht="12.75">
      <c r="A23" s="562"/>
      <c r="B23" s="562"/>
      <c r="C23" s="562"/>
      <c r="D23" s="562"/>
      <c r="E23" s="562"/>
      <c r="F23" s="562"/>
      <c r="G23" s="562"/>
      <c r="H23" s="562"/>
      <c r="I23" s="562"/>
      <c r="J23" s="562"/>
      <c r="K23" s="562"/>
      <c r="L23" s="562"/>
      <c r="M23" s="562"/>
      <c r="N23" s="562"/>
      <c r="O23" s="562"/>
      <c r="P23" s="788"/>
      <c r="Q23" s="788"/>
      <c r="R23" s="776" t="s">
        <v>1545</v>
      </c>
      <c r="S23" s="776"/>
      <c r="T23" s="563"/>
    </row>
    <row r="24" spans="1:21" s="181" customFormat="1" ht="31.5" customHeight="1">
      <c r="A24" s="777" t="s">
        <v>371</v>
      </c>
      <c r="B24" s="777" t="s">
        <v>1701</v>
      </c>
      <c r="C24" s="778" t="s">
        <v>1702</v>
      </c>
      <c r="D24" s="625" t="s">
        <v>1703</v>
      </c>
      <c r="E24" s="780" t="s">
        <v>1704</v>
      </c>
      <c r="F24" s="781"/>
      <c r="G24" s="781"/>
      <c r="H24" s="781"/>
      <c r="I24" s="781"/>
      <c r="J24" s="781"/>
      <c r="K24" s="781"/>
      <c r="L24" s="781"/>
      <c r="M24" s="781"/>
      <c r="N24" s="781"/>
      <c r="O24" s="781"/>
      <c r="P24" s="781"/>
      <c r="Q24" s="781"/>
      <c r="R24" s="781"/>
      <c r="S24" s="782"/>
      <c r="T24" s="588"/>
    </row>
    <row r="25" spans="1:21" s="181" customFormat="1" ht="12.75">
      <c r="A25" s="777"/>
      <c r="B25" s="777"/>
      <c r="C25" s="779"/>
      <c r="D25" s="625">
        <v>0</v>
      </c>
      <c r="E25" s="625">
        <v>1</v>
      </c>
      <c r="F25" s="625">
        <f t="shared" ref="F25:S26" si="6">+E25+1</f>
        <v>2</v>
      </c>
      <c r="G25" s="625">
        <f t="shared" si="6"/>
        <v>3</v>
      </c>
      <c r="H25" s="625">
        <f t="shared" si="6"/>
        <v>4</v>
      </c>
      <c r="I25" s="625">
        <f t="shared" si="6"/>
        <v>5</v>
      </c>
      <c r="J25" s="625">
        <f t="shared" si="6"/>
        <v>6</v>
      </c>
      <c r="K25" s="625">
        <f t="shared" si="6"/>
        <v>7</v>
      </c>
      <c r="L25" s="625">
        <f t="shared" si="6"/>
        <v>8</v>
      </c>
      <c r="M25" s="625">
        <f t="shared" si="6"/>
        <v>9</v>
      </c>
      <c r="N25" s="625">
        <f t="shared" si="6"/>
        <v>10</v>
      </c>
      <c r="O25" s="625">
        <f t="shared" si="6"/>
        <v>11</v>
      </c>
      <c r="P25" s="625">
        <f t="shared" si="6"/>
        <v>12</v>
      </c>
      <c r="Q25" s="625">
        <f t="shared" si="6"/>
        <v>13</v>
      </c>
      <c r="R25" s="625">
        <f t="shared" si="6"/>
        <v>14</v>
      </c>
      <c r="S25" s="625">
        <f t="shared" si="6"/>
        <v>15</v>
      </c>
      <c r="T25" s="561"/>
    </row>
    <row r="26" spans="1:21" s="181" customFormat="1" ht="12.75">
      <c r="A26" s="625"/>
      <c r="B26" s="625"/>
      <c r="C26" s="626"/>
      <c r="D26" s="625" t="s">
        <v>383</v>
      </c>
      <c r="E26" s="625">
        <v>1</v>
      </c>
      <c r="F26" s="625">
        <f t="shared" si="6"/>
        <v>2</v>
      </c>
      <c r="G26" s="625">
        <f t="shared" si="6"/>
        <v>3</v>
      </c>
      <c r="H26" s="625">
        <f t="shared" si="6"/>
        <v>4</v>
      </c>
      <c r="I26" s="625">
        <f t="shared" si="6"/>
        <v>5</v>
      </c>
      <c r="J26" s="625">
        <f t="shared" si="6"/>
        <v>6</v>
      </c>
      <c r="K26" s="625">
        <f t="shared" si="6"/>
        <v>7</v>
      </c>
      <c r="L26" s="625">
        <f t="shared" si="6"/>
        <v>8</v>
      </c>
      <c r="M26" s="625">
        <f t="shared" si="6"/>
        <v>9</v>
      </c>
      <c r="N26" s="625">
        <f t="shared" si="6"/>
        <v>10</v>
      </c>
      <c r="O26" s="625">
        <f t="shared" si="6"/>
        <v>11</v>
      </c>
      <c r="P26" s="625">
        <f t="shared" si="6"/>
        <v>12</v>
      </c>
      <c r="Q26" s="625">
        <f t="shared" si="6"/>
        <v>13</v>
      </c>
      <c r="R26" s="625">
        <f t="shared" si="6"/>
        <v>14</v>
      </c>
      <c r="S26" s="625">
        <f t="shared" si="6"/>
        <v>15</v>
      </c>
      <c r="T26" s="561"/>
    </row>
    <row r="27" spans="1:21" s="569" customFormat="1" ht="12.75">
      <c r="A27" s="564" t="s">
        <v>0</v>
      </c>
      <c r="B27" s="565" t="s">
        <v>1705</v>
      </c>
      <c r="C27" s="566">
        <f t="shared" ref="C27:C39" si="7">+SUM(D27:S27)</f>
        <v>778751974.29993165</v>
      </c>
      <c r="D27" s="566">
        <v>0</v>
      </c>
      <c r="E27" s="567">
        <f>IF('Template tram'!$E$25="Chào giá thông thường",'Template tram'!$H$25,'Template tram'!$G$25)*12</f>
        <v>51916798.286662124</v>
      </c>
      <c r="F27" s="567">
        <f>IF('Template tram'!$E$25="Chào giá thông thường",'Template tram'!$H$25,'Template tram'!$G$25)*12</f>
        <v>51916798.286662124</v>
      </c>
      <c r="G27" s="567">
        <f>IF('Template tram'!$E$25="Chào giá thông thường",'Template tram'!$H$25,'Template tram'!$G$25)*12</f>
        <v>51916798.286662124</v>
      </c>
      <c r="H27" s="567">
        <f>IF('Template tram'!$E$25="Chào giá thông thường",'Template tram'!$H$25,'Template tram'!$G$25)*12</f>
        <v>51916798.286662124</v>
      </c>
      <c r="I27" s="567">
        <f>IF('Template tram'!$E$25="Chào giá thông thường",'Template tram'!$H$25,'Template tram'!$G$25)*12</f>
        <v>51916798.286662124</v>
      </c>
      <c r="J27" s="567">
        <f>IF('Template tram'!$E$25="Chào giá thông thường",'Template tram'!$H$25,'Template tram'!$G$25)*12</f>
        <v>51916798.286662124</v>
      </c>
      <c r="K27" s="567">
        <f>IF('Template tram'!$E$25="Chào giá thông thường",'Template tram'!$H$25,'Template tram'!$G$25)*12</f>
        <v>51916798.286662124</v>
      </c>
      <c r="L27" s="567">
        <f>IF('Template tram'!$E$25="Chào giá thông thường",'Template tram'!$H$25,'Template tram'!$G$25)*12</f>
        <v>51916798.286662124</v>
      </c>
      <c r="M27" s="567">
        <f>IF('Template tram'!$E$25="Chào giá thông thường",'Template tram'!$H$25,'Template tram'!$G$25)*12</f>
        <v>51916798.286662124</v>
      </c>
      <c r="N27" s="567">
        <f>IF('Template tram'!$E$25="Chào giá thông thường",'Template tram'!$H$25,'Template tram'!$G$25)*12</f>
        <v>51916798.286662124</v>
      </c>
      <c r="O27" s="567">
        <f>IF('Template tram'!$E$25="Chào giá thông thường",'Template tram'!$H$25,'Template tram'!$G$25)*12</f>
        <v>51916798.286662124</v>
      </c>
      <c r="P27" s="567">
        <f>IF('Template tram'!$E$25="Chào giá thông thường",'Template tram'!$H$25,'Template tram'!$G$25)*12</f>
        <v>51916798.286662124</v>
      </c>
      <c r="Q27" s="567">
        <f>IF('Template tram'!$E$25="Chào giá thông thường",'Template tram'!$H$25,'Template tram'!$G$25)*12</f>
        <v>51916798.286662124</v>
      </c>
      <c r="R27" s="567">
        <f>IF('Template tram'!$E$25="Chào giá thông thường",'Template tram'!$H$25,'Template tram'!$G$25)*12</f>
        <v>51916798.286662124</v>
      </c>
      <c r="S27" s="567">
        <f>IF('Template tram'!$E$25="Chào giá thông thường",'Template tram'!$H$25,'Template tram'!$G$25)*12</f>
        <v>51916798.286662124</v>
      </c>
      <c r="T27" s="568"/>
    </row>
    <row r="28" spans="1:21" s="569" customFormat="1" ht="12.75">
      <c r="A28" s="564" t="s">
        <v>25</v>
      </c>
      <c r="B28" s="565" t="s">
        <v>1706</v>
      </c>
      <c r="C28" s="566">
        <f t="shared" si="7"/>
        <v>377815594.67523944</v>
      </c>
      <c r="D28" s="566">
        <v>0</v>
      </c>
      <c r="E28" s="567">
        <f t="shared" ref="E28:S28" si="8">+E29+E35+E36</f>
        <v>31599892.972600397</v>
      </c>
      <c r="F28" s="567">
        <f t="shared" si="8"/>
        <v>31102705.110566434</v>
      </c>
      <c r="G28" s="567">
        <f t="shared" si="8"/>
        <v>30605517.24853247</v>
      </c>
      <c r="H28" s="567">
        <f t="shared" si="8"/>
        <v>30108329.386498511</v>
      </c>
      <c r="I28" s="567">
        <f t="shared" si="8"/>
        <v>29611141.524464548</v>
      </c>
      <c r="J28" s="567">
        <f t="shared" si="8"/>
        <v>29713953.662430584</v>
      </c>
      <c r="K28" s="567">
        <f>+K29+K35+K36</f>
        <v>29216765.800396621</v>
      </c>
      <c r="L28" s="567">
        <f t="shared" si="8"/>
        <v>20338411.121218719</v>
      </c>
      <c r="M28" s="567">
        <f t="shared" si="8"/>
        <v>20338411.121218719</v>
      </c>
      <c r="N28" s="567">
        <f t="shared" si="8"/>
        <v>20338411.121218719</v>
      </c>
      <c r="O28" s="567">
        <f t="shared" si="8"/>
        <v>20968411.121218719</v>
      </c>
      <c r="P28" s="567">
        <f t="shared" si="8"/>
        <v>20968411.121218719</v>
      </c>
      <c r="Q28" s="567">
        <f t="shared" si="8"/>
        <v>20968411.121218719</v>
      </c>
      <c r="R28" s="567">
        <f t="shared" si="8"/>
        <v>20968411.121218719</v>
      </c>
      <c r="S28" s="567">
        <f t="shared" si="8"/>
        <v>20968411.121218719</v>
      </c>
      <c r="T28" s="570"/>
      <c r="U28" s="566">
        <v>846233.30803558917</v>
      </c>
    </row>
    <row r="29" spans="1:21" s="181" customFormat="1" ht="12.75">
      <c r="A29" s="571">
        <v>1</v>
      </c>
      <c r="B29" s="574" t="s">
        <v>1707</v>
      </c>
      <c r="C29" s="573">
        <f t="shared" si="7"/>
        <v>305226166.81828076</v>
      </c>
      <c r="D29" s="573">
        <v>0</v>
      </c>
      <c r="E29" s="575">
        <f t="shared" ref="E29:S29" si="9">+SUM(E30:E34)</f>
        <v>19738411.121218719</v>
      </c>
      <c r="F29" s="575">
        <f t="shared" si="9"/>
        <v>19738411.121218719</v>
      </c>
      <c r="G29" s="575">
        <f t="shared" si="9"/>
        <v>19738411.121218719</v>
      </c>
      <c r="H29" s="575">
        <f t="shared" si="9"/>
        <v>19738411.121218719</v>
      </c>
      <c r="I29" s="575">
        <f t="shared" si="9"/>
        <v>19738411.121218719</v>
      </c>
      <c r="J29" s="575">
        <f t="shared" si="9"/>
        <v>20338411.121218719</v>
      </c>
      <c r="K29" s="575">
        <f t="shared" si="9"/>
        <v>20338411.121218719</v>
      </c>
      <c r="L29" s="575">
        <f t="shared" si="9"/>
        <v>20338411.121218719</v>
      </c>
      <c r="M29" s="575">
        <f t="shared" si="9"/>
        <v>20338411.121218719</v>
      </c>
      <c r="N29" s="575">
        <f t="shared" si="9"/>
        <v>20338411.121218719</v>
      </c>
      <c r="O29" s="575">
        <f t="shared" si="9"/>
        <v>20968411.121218719</v>
      </c>
      <c r="P29" s="575">
        <f t="shared" si="9"/>
        <v>20968411.121218719</v>
      </c>
      <c r="Q29" s="575">
        <f t="shared" si="9"/>
        <v>20968411.121218719</v>
      </c>
      <c r="R29" s="575">
        <f t="shared" si="9"/>
        <v>20968411.121218719</v>
      </c>
      <c r="S29" s="575">
        <f t="shared" si="9"/>
        <v>20968411.121218719</v>
      </c>
      <c r="T29" s="570"/>
      <c r="U29" s="573">
        <v>577483.83488332247</v>
      </c>
    </row>
    <row r="30" spans="1:21" s="181" customFormat="1" ht="12.75">
      <c r="A30" s="571" t="s">
        <v>1</v>
      </c>
      <c r="B30" s="574" t="s">
        <v>1708</v>
      </c>
      <c r="C30" s="573">
        <f t="shared" si="7"/>
        <v>0</v>
      </c>
      <c r="D30" s="573">
        <v>0</v>
      </c>
      <c r="E30" s="575">
        <v>0</v>
      </c>
      <c r="F30" s="575">
        <v>0</v>
      </c>
      <c r="G30" s="575">
        <v>0</v>
      </c>
      <c r="H30" s="575">
        <v>0</v>
      </c>
      <c r="I30" s="575">
        <v>0</v>
      </c>
      <c r="J30" s="575">
        <v>0</v>
      </c>
      <c r="K30" s="575">
        <v>0</v>
      </c>
      <c r="L30" s="575">
        <v>0</v>
      </c>
      <c r="M30" s="575">
        <v>0</v>
      </c>
      <c r="N30" s="575">
        <v>0</v>
      </c>
      <c r="O30" s="575">
        <v>0</v>
      </c>
      <c r="P30" s="575">
        <v>0</v>
      </c>
      <c r="Q30" s="575">
        <v>0</v>
      </c>
      <c r="R30" s="575">
        <v>0</v>
      </c>
      <c r="S30" s="575">
        <v>0</v>
      </c>
      <c r="T30" s="570"/>
      <c r="U30" s="573">
        <v>600</v>
      </c>
    </row>
    <row r="31" spans="1:21" s="181" customFormat="1" ht="12.75">
      <c r="A31" s="571" t="s">
        <v>2</v>
      </c>
      <c r="B31" s="574" t="s">
        <v>1709</v>
      </c>
      <c r="C31" s="573">
        <f t="shared" si="7"/>
        <v>74808000</v>
      </c>
      <c r="D31" s="573">
        <v>0</v>
      </c>
      <c r="E31" s="575">
        <f>IF(AND('Template tram'!Q20="trạm RRU",VLOOKUP('Template tram'!D30,Sheet3!B:D,3,0)=1)=TRUE,'Hiệu quả'!$L$3*2*12,'Hiệu quả'!$L$2*2*12)</f>
        <v>4987200</v>
      </c>
      <c r="F31" s="575">
        <f>+E31</f>
        <v>4987200</v>
      </c>
      <c r="G31" s="575">
        <f t="shared" ref="G31:S31" si="10">+F31</f>
        <v>4987200</v>
      </c>
      <c r="H31" s="575">
        <f t="shared" si="10"/>
        <v>4987200</v>
      </c>
      <c r="I31" s="575">
        <f t="shared" si="10"/>
        <v>4987200</v>
      </c>
      <c r="J31" s="575">
        <f t="shared" si="10"/>
        <v>4987200</v>
      </c>
      <c r="K31" s="575">
        <f t="shared" si="10"/>
        <v>4987200</v>
      </c>
      <c r="L31" s="575">
        <f t="shared" si="10"/>
        <v>4987200</v>
      </c>
      <c r="M31" s="575">
        <f t="shared" si="10"/>
        <v>4987200</v>
      </c>
      <c r="N31" s="575">
        <f t="shared" si="10"/>
        <v>4987200</v>
      </c>
      <c r="O31" s="575">
        <f t="shared" si="10"/>
        <v>4987200</v>
      </c>
      <c r="P31" s="575">
        <f t="shared" si="10"/>
        <v>4987200</v>
      </c>
      <c r="Q31" s="575">
        <f t="shared" si="10"/>
        <v>4987200</v>
      </c>
      <c r="R31" s="575">
        <f t="shared" si="10"/>
        <v>4987200</v>
      </c>
      <c r="S31" s="575">
        <f t="shared" si="10"/>
        <v>4987200</v>
      </c>
      <c r="T31" s="570"/>
      <c r="U31" s="573">
        <v>123954.57129427492</v>
      </c>
    </row>
    <row r="32" spans="1:21" s="181" customFormat="1" ht="12.75">
      <c r="A32" s="571" t="s">
        <v>3</v>
      </c>
      <c r="B32" s="574" t="s">
        <v>1710</v>
      </c>
      <c r="C32" s="573">
        <f t="shared" si="7"/>
        <v>189150000</v>
      </c>
      <c r="D32" s="573">
        <v>0</v>
      </c>
      <c r="E32" s="575">
        <f>+'Template tram'!$I$84*12</f>
        <v>12000000</v>
      </c>
      <c r="F32" s="575">
        <f>+'Template tram'!$I$84*12</f>
        <v>12000000</v>
      </c>
      <c r="G32" s="575">
        <f>+'Template tram'!$I$84*12</f>
        <v>12000000</v>
      </c>
      <c r="H32" s="575">
        <f>+'Template tram'!$I$84*12</f>
        <v>12000000</v>
      </c>
      <c r="I32" s="575">
        <f>+'Template tram'!$I$84*12</f>
        <v>12000000</v>
      </c>
      <c r="J32" s="575">
        <f>+'Template tram'!$I$84*12*1.05</f>
        <v>12600000</v>
      </c>
      <c r="K32" s="575">
        <f>+'Template tram'!$I$84*12*1.05</f>
        <v>12600000</v>
      </c>
      <c r="L32" s="575">
        <f>+'Template tram'!$I$84*12*1.05</f>
        <v>12600000</v>
      </c>
      <c r="M32" s="575">
        <f>+'Template tram'!$I$84*12*1.05</f>
        <v>12600000</v>
      </c>
      <c r="N32" s="575">
        <f>+'Template tram'!$I$84*12*1.05</f>
        <v>12600000</v>
      </c>
      <c r="O32" s="575">
        <f>+'Template tram'!$I$84*12*1.05*1.05</f>
        <v>13230000</v>
      </c>
      <c r="P32" s="575">
        <f>+'Template tram'!$I$84*12*1.05*1.05</f>
        <v>13230000</v>
      </c>
      <c r="Q32" s="575">
        <f>+'Template tram'!$I$84*12*1.05*1.05</f>
        <v>13230000</v>
      </c>
      <c r="R32" s="575">
        <f>+'Template tram'!$I$84*12*1.05*1.05</f>
        <v>13230000</v>
      </c>
      <c r="S32" s="575">
        <f>+'Template tram'!$I$84*12*1.05*1.05</f>
        <v>13230000</v>
      </c>
      <c r="T32" s="570"/>
      <c r="U32" s="573">
        <v>381364.23</v>
      </c>
    </row>
    <row r="33" spans="1:21" s="181" customFormat="1" ht="12.75">
      <c r="A33" s="571" t="s">
        <v>4</v>
      </c>
      <c r="B33" s="574" t="s">
        <v>1711</v>
      </c>
      <c r="C33" s="573">
        <f t="shared" si="7"/>
        <v>38937598.714996591</v>
      </c>
      <c r="D33" s="573">
        <v>0</v>
      </c>
      <c r="E33" s="575">
        <f>+E27*0.05</f>
        <v>2595839.9143331065</v>
      </c>
      <c r="F33" s="575">
        <f t="shared" ref="F33:S33" si="11">+F27*0.05</f>
        <v>2595839.9143331065</v>
      </c>
      <c r="G33" s="575">
        <f t="shared" si="11"/>
        <v>2595839.9143331065</v>
      </c>
      <c r="H33" s="575">
        <f t="shared" si="11"/>
        <v>2595839.9143331065</v>
      </c>
      <c r="I33" s="575">
        <f t="shared" si="11"/>
        <v>2595839.9143331065</v>
      </c>
      <c r="J33" s="575">
        <f t="shared" si="11"/>
        <v>2595839.9143331065</v>
      </c>
      <c r="K33" s="575">
        <f t="shared" si="11"/>
        <v>2595839.9143331065</v>
      </c>
      <c r="L33" s="575">
        <f t="shared" si="11"/>
        <v>2595839.9143331065</v>
      </c>
      <c r="M33" s="575">
        <f t="shared" si="11"/>
        <v>2595839.9143331065</v>
      </c>
      <c r="N33" s="575">
        <f t="shared" si="11"/>
        <v>2595839.9143331065</v>
      </c>
      <c r="O33" s="575">
        <f t="shared" si="11"/>
        <v>2595839.9143331065</v>
      </c>
      <c r="P33" s="575">
        <f t="shared" si="11"/>
        <v>2595839.9143331065</v>
      </c>
      <c r="Q33" s="575">
        <f t="shared" si="11"/>
        <v>2595839.9143331065</v>
      </c>
      <c r="R33" s="575">
        <f t="shared" si="11"/>
        <v>2595839.9143331065</v>
      </c>
      <c r="S33" s="575">
        <f t="shared" si="11"/>
        <v>2595839.9143331065</v>
      </c>
      <c r="T33" s="570"/>
      <c r="U33" s="573">
        <v>50271.179435683967</v>
      </c>
    </row>
    <row r="34" spans="1:21" s="181" customFormat="1" ht="12.75">
      <c r="A34" s="571" t="s">
        <v>5</v>
      </c>
      <c r="B34" s="574" t="s">
        <v>1712</v>
      </c>
      <c r="C34" s="573">
        <f t="shared" si="7"/>
        <v>2330568.1032841997</v>
      </c>
      <c r="D34" s="573">
        <v>0</v>
      </c>
      <c r="E34" s="575">
        <f>0.25%*$I$2</f>
        <v>155371.20688561333</v>
      </c>
      <c r="F34" s="575">
        <f t="shared" ref="F34:S34" si="12">0.25%*$I$2</f>
        <v>155371.20688561333</v>
      </c>
      <c r="G34" s="575">
        <f t="shared" si="12"/>
        <v>155371.20688561333</v>
      </c>
      <c r="H34" s="575">
        <f t="shared" si="12"/>
        <v>155371.20688561333</v>
      </c>
      <c r="I34" s="575">
        <f t="shared" si="12"/>
        <v>155371.20688561333</v>
      </c>
      <c r="J34" s="575">
        <f t="shared" si="12"/>
        <v>155371.20688561333</v>
      </c>
      <c r="K34" s="575">
        <f t="shared" si="12"/>
        <v>155371.20688561333</v>
      </c>
      <c r="L34" s="575">
        <f t="shared" si="12"/>
        <v>155371.20688561333</v>
      </c>
      <c r="M34" s="575">
        <f t="shared" si="12"/>
        <v>155371.20688561333</v>
      </c>
      <c r="N34" s="575">
        <f t="shared" si="12"/>
        <v>155371.20688561333</v>
      </c>
      <c r="O34" s="575">
        <f t="shared" si="12"/>
        <v>155371.20688561333</v>
      </c>
      <c r="P34" s="575">
        <f t="shared" si="12"/>
        <v>155371.20688561333</v>
      </c>
      <c r="Q34" s="575">
        <f t="shared" si="12"/>
        <v>155371.20688561333</v>
      </c>
      <c r="R34" s="575">
        <f t="shared" si="12"/>
        <v>155371.20688561333</v>
      </c>
      <c r="S34" s="575">
        <f t="shared" si="12"/>
        <v>155371.20688561333</v>
      </c>
      <c r="T34" s="570"/>
      <c r="U34" s="573">
        <v>6723.5621533636377</v>
      </c>
    </row>
    <row r="35" spans="1:21" s="181" customFormat="1" ht="12.75">
      <c r="A35" s="571">
        <v>2</v>
      </c>
      <c r="B35" s="574" t="s">
        <v>1713</v>
      </c>
      <c r="C35" s="573">
        <f>+SUM(D35:S35)</f>
        <v>62148482.754245326</v>
      </c>
      <c r="D35" s="573">
        <v>0</v>
      </c>
      <c r="E35" s="575">
        <f>+'Khấu hao'!D19</f>
        <v>8878354.6791779045</v>
      </c>
      <c r="F35" s="575">
        <f>+'Khấu hao'!E19</f>
        <v>8878354.6791779045</v>
      </c>
      <c r="G35" s="575">
        <f>+'Khấu hao'!F19</f>
        <v>8878354.6791779045</v>
      </c>
      <c r="H35" s="575">
        <f>+'Khấu hao'!G19</f>
        <v>8878354.6791779045</v>
      </c>
      <c r="I35" s="575">
        <f>+'Khấu hao'!H19</f>
        <v>8878354.6791779045</v>
      </c>
      <c r="J35" s="575">
        <f>+'Khấu hao'!I19</f>
        <v>8878354.6791779045</v>
      </c>
      <c r="K35" s="575">
        <f>+'Khấu hao'!J19</f>
        <v>8878354.6791779045</v>
      </c>
      <c r="L35" s="575">
        <f>+'Khấu hao'!K19</f>
        <v>0</v>
      </c>
      <c r="M35" s="575">
        <f>+'Khấu hao'!L19</f>
        <v>0</v>
      </c>
      <c r="N35" s="575">
        <f>+'Khấu hao'!M19</f>
        <v>0</v>
      </c>
      <c r="O35" s="575">
        <f>+'Khấu hao'!N19</f>
        <v>0</v>
      </c>
      <c r="P35" s="575">
        <f>+'Khấu hao'!O19</f>
        <v>0</v>
      </c>
      <c r="Q35" s="575">
        <f>+'Khấu hao'!P19</f>
        <v>0</v>
      </c>
      <c r="R35" s="575">
        <f>+'Khấu hao'!Q19</f>
        <v>0</v>
      </c>
      <c r="S35" s="575">
        <f>+'Khấu hao'!R19</f>
        <v>0</v>
      </c>
      <c r="T35" s="570"/>
      <c r="U35" s="573">
        <v>222147.89466939922</v>
      </c>
    </row>
    <row r="36" spans="1:21" s="181" customFormat="1" ht="12.75">
      <c r="A36" s="571">
        <v>3</v>
      </c>
      <c r="B36" s="574" t="s">
        <v>1714</v>
      </c>
      <c r="C36" s="573">
        <f t="shared" si="7"/>
        <v>10440945.102713214</v>
      </c>
      <c r="D36" s="573">
        <v>0</v>
      </c>
      <c r="E36" s="575">
        <f>+C18</f>
        <v>2983127.1722037755</v>
      </c>
      <c r="F36" s="575">
        <f t="shared" ref="F36:S36" si="13">+D18</f>
        <v>2485939.3101698132</v>
      </c>
      <c r="G36" s="575">
        <f t="shared" si="13"/>
        <v>1988751.4481358505</v>
      </c>
      <c r="H36" s="575">
        <f t="shared" si="13"/>
        <v>1491563.5861018877</v>
      </c>
      <c r="I36" s="575">
        <f t="shared" si="13"/>
        <v>994375.72406792524</v>
      </c>
      <c r="J36" s="575">
        <f t="shared" si="13"/>
        <v>497187.86203396262</v>
      </c>
      <c r="K36" s="575">
        <f t="shared" si="13"/>
        <v>0</v>
      </c>
      <c r="L36" s="575">
        <f t="shared" si="13"/>
        <v>0</v>
      </c>
      <c r="M36" s="575">
        <f t="shared" si="13"/>
        <v>0</v>
      </c>
      <c r="N36" s="575">
        <f t="shared" si="13"/>
        <v>0</v>
      </c>
      <c r="O36" s="575">
        <f t="shared" si="13"/>
        <v>0</v>
      </c>
      <c r="P36" s="575">
        <f t="shared" si="13"/>
        <v>0</v>
      </c>
      <c r="Q36" s="575">
        <f t="shared" si="13"/>
        <v>0</v>
      </c>
      <c r="R36" s="575">
        <f t="shared" si="13"/>
        <v>0</v>
      </c>
      <c r="S36" s="575">
        <f t="shared" si="13"/>
        <v>0</v>
      </c>
      <c r="T36" s="570"/>
      <c r="U36" s="573">
        <v>46601.578482867633</v>
      </c>
    </row>
    <row r="37" spans="1:21" s="569" customFormat="1" ht="12.75">
      <c r="A37" s="564" t="s">
        <v>26</v>
      </c>
      <c r="B37" s="565" t="s">
        <v>1715</v>
      </c>
      <c r="C37" s="566">
        <f t="shared" si="7"/>
        <v>400936379.62469268</v>
      </c>
      <c r="D37" s="566">
        <v>0</v>
      </c>
      <c r="E37" s="567">
        <f t="shared" ref="E37:S37" si="14">+E27-E28</f>
        <v>20316905.314061727</v>
      </c>
      <c r="F37" s="567">
        <f t="shared" si="14"/>
        <v>20814093.176095691</v>
      </c>
      <c r="G37" s="567">
        <f t="shared" si="14"/>
        <v>21311281.038129654</v>
      </c>
      <c r="H37" s="567">
        <f t="shared" si="14"/>
        <v>21808468.900163613</v>
      </c>
      <c r="I37" s="567">
        <f t="shared" si="14"/>
        <v>22305656.762197576</v>
      </c>
      <c r="J37" s="567">
        <f t="shared" si="14"/>
        <v>22202844.62423154</v>
      </c>
      <c r="K37" s="567">
        <f t="shared" si="14"/>
        <v>22700032.486265503</v>
      </c>
      <c r="L37" s="567">
        <f>+L27-L28</f>
        <v>31578387.165443406</v>
      </c>
      <c r="M37" s="567">
        <f t="shared" si="14"/>
        <v>31578387.165443406</v>
      </c>
      <c r="N37" s="567">
        <f t="shared" si="14"/>
        <v>31578387.165443406</v>
      </c>
      <c r="O37" s="567">
        <f t="shared" si="14"/>
        <v>30948387.165443406</v>
      </c>
      <c r="P37" s="567">
        <f t="shared" si="14"/>
        <v>30948387.165443406</v>
      </c>
      <c r="Q37" s="567">
        <f t="shared" si="14"/>
        <v>30948387.165443406</v>
      </c>
      <c r="R37" s="567">
        <f t="shared" si="14"/>
        <v>30948387.165443406</v>
      </c>
      <c r="S37" s="567">
        <f t="shared" si="14"/>
        <v>30948387.165443406</v>
      </c>
      <c r="T37" s="568"/>
    </row>
    <row r="38" spans="1:21" s="181" customFormat="1" ht="12.75">
      <c r="A38" s="571"/>
      <c r="B38" s="574" t="s">
        <v>1716</v>
      </c>
      <c r="C38" s="573">
        <f t="shared" si="7"/>
        <v>400936379.62469268</v>
      </c>
      <c r="D38" s="573">
        <v>0</v>
      </c>
      <c r="E38" s="576">
        <f t="shared" ref="E38:S38" si="15">+SUM(E37:E37)</f>
        <v>20316905.314061727</v>
      </c>
      <c r="F38" s="576">
        <f t="shared" si="15"/>
        <v>20814093.176095691</v>
      </c>
      <c r="G38" s="576">
        <f t="shared" si="15"/>
        <v>21311281.038129654</v>
      </c>
      <c r="H38" s="576">
        <f t="shared" si="15"/>
        <v>21808468.900163613</v>
      </c>
      <c r="I38" s="576">
        <f t="shared" si="15"/>
        <v>22305656.762197576</v>
      </c>
      <c r="J38" s="576">
        <f t="shared" si="15"/>
        <v>22202844.62423154</v>
      </c>
      <c r="K38" s="576">
        <f t="shared" si="15"/>
        <v>22700032.486265503</v>
      </c>
      <c r="L38" s="576">
        <f t="shared" si="15"/>
        <v>31578387.165443406</v>
      </c>
      <c r="M38" s="576">
        <f t="shared" si="15"/>
        <v>31578387.165443406</v>
      </c>
      <c r="N38" s="576">
        <f t="shared" si="15"/>
        <v>31578387.165443406</v>
      </c>
      <c r="O38" s="576">
        <f t="shared" si="15"/>
        <v>30948387.165443406</v>
      </c>
      <c r="P38" s="576">
        <f t="shared" si="15"/>
        <v>30948387.165443406</v>
      </c>
      <c r="Q38" s="576">
        <f t="shared" si="15"/>
        <v>30948387.165443406</v>
      </c>
      <c r="R38" s="576">
        <f t="shared" si="15"/>
        <v>30948387.165443406</v>
      </c>
      <c r="S38" s="576">
        <f t="shared" si="15"/>
        <v>30948387.165443406</v>
      </c>
      <c r="T38" s="561"/>
    </row>
    <row r="39" spans="1:21" s="181" customFormat="1" ht="12.75">
      <c r="A39" s="571"/>
      <c r="B39" s="574" t="s">
        <v>1692</v>
      </c>
      <c r="C39" s="573">
        <f t="shared" si="7"/>
        <v>80187275.9249385</v>
      </c>
      <c r="D39" s="573">
        <v>0</v>
      </c>
      <c r="E39" s="576">
        <f>IF(E38&lt;0,0,E38*0.2)</f>
        <v>4063381.0628123456</v>
      </c>
      <c r="F39" s="576">
        <f t="shared" ref="F39:S39" si="16">IF(F38&lt;0,0,F38*0.2)</f>
        <v>4162818.6352191381</v>
      </c>
      <c r="G39" s="576">
        <f>IF(G38&lt;0,0,G38*0.2)</f>
        <v>4262256.2076259311</v>
      </c>
      <c r="H39" s="576">
        <f t="shared" si="16"/>
        <v>4361693.7800327232</v>
      </c>
      <c r="I39" s="576">
        <f t="shared" si="16"/>
        <v>4461131.3524395153</v>
      </c>
      <c r="J39" s="576">
        <f t="shared" si="16"/>
        <v>4440568.9248463083</v>
      </c>
      <c r="K39" s="576">
        <f t="shared" si="16"/>
        <v>4540006.4972531004</v>
      </c>
      <c r="L39" s="576">
        <f t="shared" si="16"/>
        <v>6315677.4330886817</v>
      </c>
      <c r="M39" s="576">
        <f t="shared" si="16"/>
        <v>6315677.4330886817</v>
      </c>
      <c r="N39" s="576">
        <f t="shared" si="16"/>
        <v>6315677.4330886817</v>
      </c>
      <c r="O39" s="576">
        <f t="shared" si="16"/>
        <v>6189677.4330886817</v>
      </c>
      <c r="P39" s="576">
        <f t="shared" si="16"/>
        <v>6189677.4330886817</v>
      </c>
      <c r="Q39" s="576">
        <f t="shared" si="16"/>
        <v>6189677.4330886817</v>
      </c>
      <c r="R39" s="576">
        <f t="shared" si="16"/>
        <v>6189677.4330886817</v>
      </c>
      <c r="S39" s="576">
        <f t="shared" si="16"/>
        <v>6189677.4330886817</v>
      </c>
      <c r="T39" s="561"/>
    </row>
    <row r="40" spans="1:21" s="569" customFormat="1" ht="12.75">
      <c r="A40" s="564" t="s">
        <v>110</v>
      </c>
      <c r="B40" s="565" t="s">
        <v>1717</v>
      </c>
      <c r="C40" s="566">
        <f>+SUM(E40:S40)</f>
        <v>320749103.699754</v>
      </c>
      <c r="D40" s="566">
        <f>+SUM(E40:S40)</f>
        <v>320749103.699754</v>
      </c>
      <c r="E40" s="567">
        <f t="shared" ref="E40:S40" si="17">+E37-E39</f>
        <v>16253524.251249382</v>
      </c>
      <c r="F40" s="567">
        <f t="shared" si="17"/>
        <v>16651274.540876552</v>
      </c>
      <c r="G40" s="567">
        <f t="shared" si="17"/>
        <v>17049024.830503725</v>
      </c>
      <c r="H40" s="567">
        <f t="shared" si="17"/>
        <v>17446775.120130889</v>
      </c>
      <c r="I40" s="567">
        <f t="shared" si="17"/>
        <v>17844525.409758061</v>
      </c>
      <c r="J40" s="567">
        <f t="shared" si="17"/>
        <v>17762275.699385233</v>
      </c>
      <c r="K40" s="567">
        <f t="shared" si="17"/>
        <v>18160025.989012402</v>
      </c>
      <c r="L40" s="567">
        <f>+L37-L39</f>
        <v>25262709.732354723</v>
      </c>
      <c r="M40" s="567">
        <f t="shared" si="17"/>
        <v>25262709.732354723</v>
      </c>
      <c r="N40" s="567">
        <f t="shared" si="17"/>
        <v>25262709.732354723</v>
      </c>
      <c r="O40" s="567">
        <f t="shared" si="17"/>
        <v>24758709.732354723</v>
      </c>
      <c r="P40" s="567">
        <f t="shared" si="17"/>
        <v>24758709.732354723</v>
      </c>
      <c r="Q40" s="567">
        <f t="shared" si="17"/>
        <v>24758709.732354723</v>
      </c>
      <c r="R40" s="567">
        <f t="shared" si="17"/>
        <v>24758709.732354723</v>
      </c>
      <c r="S40" s="567">
        <f t="shared" si="17"/>
        <v>24758709.732354723</v>
      </c>
      <c r="T40" s="568"/>
    </row>
    <row r="41" spans="1:21" s="181" customFormat="1" ht="12.75" hidden="1">
      <c r="A41" s="571"/>
      <c r="B41" s="574" t="s">
        <v>1718</v>
      </c>
      <c r="C41" s="573">
        <f>+SUM(D41:N41)</f>
        <v>189000677.56923983</v>
      </c>
      <c r="D41" s="573">
        <f>+SUM(E41:O41)</f>
        <v>97091556.024799019</v>
      </c>
      <c r="E41" s="576">
        <f t="shared" ref="E41:S41" si="18">E40*E66</f>
        <v>14099464.467727799</v>
      </c>
      <c r="F41" s="576">
        <f t="shared" si="18"/>
        <v>12530189.209051978</v>
      </c>
      <c r="G41" s="576">
        <f t="shared" si="18"/>
        <v>11129220.952670241</v>
      </c>
      <c r="H41" s="576">
        <f t="shared" si="18"/>
        <v>9879511.2138889581</v>
      </c>
      <c r="I41" s="576">
        <f t="shared" si="18"/>
        <v>8765574.2141653243</v>
      </c>
      <c r="J41" s="576">
        <f t="shared" si="18"/>
        <v>7568835.2064289143</v>
      </c>
      <c r="K41" s="576">
        <f t="shared" si="18"/>
        <v>6712773.3263170524</v>
      </c>
      <c r="L41" s="576">
        <f t="shared" si="18"/>
        <v>8100662.2041195463</v>
      </c>
      <c r="M41" s="576">
        <f t="shared" si="18"/>
        <v>7027091.3031842671</v>
      </c>
      <c r="N41" s="576">
        <f t="shared" si="18"/>
        <v>6095799.4468867043</v>
      </c>
      <c r="O41" s="576">
        <f t="shared" si="18"/>
        <v>5182434.4803582327</v>
      </c>
      <c r="P41" s="576">
        <f t="shared" si="18"/>
        <v>4495612.7472798135</v>
      </c>
      <c r="Q41" s="576">
        <f t="shared" si="18"/>
        <v>3899814.6624147384</v>
      </c>
      <c r="R41" s="576">
        <f t="shared" si="18"/>
        <v>3382976.972468839</v>
      </c>
      <c r="S41" s="576">
        <f t="shared" si="18"/>
        <v>2934635.1524223606</v>
      </c>
      <c r="T41" s="561"/>
    </row>
    <row r="42" spans="1:21" s="569" customFormat="1" ht="12.75" hidden="1">
      <c r="A42" s="564" t="s">
        <v>112</v>
      </c>
      <c r="B42" s="565" t="s">
        <v>1719</v>
      </c>
      <c r="C42" s="566"/>
      <c r="D42" s="566"/>
      <c r="E42" s="567"/>
      <c r="F42" s="567"/>
      <c r="G42" s="567"/>
      <c r="H42" s="567"/>
      <c r="I42" s="567"/>
      <c r="J42" s="567"/>
      <c r="K42" s="567"/>
      <c r="L42" s="567"/>
      <c r="M42" s="567"/>
      <c r="N42" s="567"/>
      <c r="O42" s="567"/>
      <c r="P42" s="567"/>
      <c r="Q42" s="567"/>
      <c r="R42" s="567"/>
      <c r="S42" s="567"/>
      <c r="T42" s="568"/>
    </row>
    <row r="43" spans="1:21" s="181" customFormat="1" ht="12.75" hidden="1">
      <c r="A43" s="571"/>
      <c r="B43" s="572" t="s">
        <v>1720</v>
      </c>
      <c r="C43" s="577" t="e">
        <f t="shared" ref="C43:R43" si="19">+C40/D25</f>
        <v>#DIV/0!</v>
      </c>
      <c r="D43" s="577">
        <f>+D40/E25</f>
        <v>320749103.699754</v>
      </c>
      <c r="E43" s="578">
        <f t="shared" si="19"/>
        <v>8126762.1256246911</v>
      </c>
      <c r="F43" s="578">
        <f t="shared" si="19"/>
        <v>5550424.8469588505</v>
      </c>
      <c r="G43" s="578">
        <f t="shared" si="19"/>
        <v>4262256.2076259311</v>
      </c>
      <c r="H43" s="578">
        <f t="shared" si="19"/>
        <v>3489355.0240261778</v>
      </c>
      <c r="I43" s="578">
        <f t="shared" si="19"/>
        <v>2974087.5682930104</v>
      </c>
      <c r="J43" s="578">
        <f t="shared" si="19"/>
        <v>2537467.9570550332</v>
      </c>
      <c r="K43" s="578">
        <f t="shared" si="19"/>
        <v>2270003.2486265502</v>
      </c>
      <c r="L43" s="578">
        <f t="shared" si="19"/>
        <v>2806967.7480394137</v>
      </c>
      <c r="M43" s="578">
        <f t="shared" si="19"/>
        <v>2526270.9732354721</v>
      </c>
      <c r="N43" s="578">
        <f t="shared" si="19"/>
        <v>2296609.975668611</v>
      </c>
      <c r="O43" s="578">
        <f t="shared" si="19"/>
        <v>2063225.8110295602</v>
      </c>
      <c r="P43" s="578">
        <f t="shared" si="19"/>
        <v>1904516.1332580557</v>
      </c>
      <c r="Q43" s="578">
        <f t="shared" si="19"/>
        <v>1768479.266596766</v>
      </c>
      <c r="R43" s="578">
        <f t="shared" si="19"/>
        <v>1650580.6488236482</v>
      </c>
      <c r="S43" s="578" t="e">
        <f>+S40/#REF!</f>
        <v>#REF!</v>
      </c>
      <c r="T43" s="568"/>
    </row>
    <row r="44" spans="1:21" s="181" customFormat="1" ht="12.75" hidden="1">
      <c r="A44" s="571"/>
      <c r="B44" s="572" t="s">
        <v>1721</v>
      </c>
      <c r="C44" s="577">
        <f>+C40/D50</f>
        <v>12.902531545625052</v>
      </c>
      <c r="D44" s="577" t="e">
        <f>+D40/E50</f>
        <v>#DIV/0!</v>
      </c>
      <c r="E44" s="579" t="e">
        <f>D41/E50</f>
        <v>#DIV/0!</v>
      </c>
      <c r="F44" s="576"/>
      <c r="G44" s="576"/>
      <c r="H44" s="576"/>
      <c r="I44" s="576"/>
      <c r="J44" s="576"/>
      <c r="K44" s="576"/>
      <c r="L44" s="576"/>
      <c r="M44" s="576"/>
      <c r="N44" s="576"/>
      <c r="O44" s="576"/>
      <c r="P44" s="576"/>
      <c r="Q44" s="576"/>
      <c r="R44" s="576"/>
      <c r="S44" s="576"/>
      <c r="T44" s="568"/>
    </row>
    <row r="45" spans="1:21" s="181" customFormat="1" ht="12.75" hidden="1">
      <c r="A45" s="571"/>
      <c r="B45" s="572" t="s">
        <v>1722</v>
      </c>
      <c r="C45" s="577">
        <f>+C40/D47</f>
        <v>5.1610126182500213</v>
      </c>
      <c r="D45" s="577" t="e">
        <f>+D40/E47</f>
        <v>#DIV/0!</v>
      </c>
      <c r="E45" s="576"/>
      <c r="F45" s="576"/>
      <c r="G45" s="576"/>
      <c r="H45" s="576"/>
      <c r="I45" s="576"/>
      <c r="J45" s="576"/>
      <c r="K45" s="576"/>
      <c r="L45" s="576"/>
      <c r="M45" s="576"/>
      <c r="N45" s="576"/>
      <c r="O45" s="576"/>
      <c r="P45" s="576"/>
      <c r="Q45" s="576"/>
      <c r="R45" s="576"/>
      <c r="S45" s="576"/>
      <c r="T45" s="568"/>
    </row>
    <row r="46" spans="1:21" s="569" customFormat="1" ht="12.75">
      <c r="A46" s="564" t="s">
        <v>112</v>
      </c>
      <c r="B46" s="565" t="s">
        <v>1723</v>
      </c>
      <c r="C46" s="566"/>
      <c r="D46" s="567"/>
      <c r="E46" s="567"/>
      <c r="F46" s="567"/>
      <c r="G46" s="567"/>
      <c r="H46" s="567"/>
      <c r="I46" s="567"/>
      <c r="J46" s="567"/>
      <c r="K46" s="567"/>
      <c r="L46" s="567"/>
      <c r="M46" s="567"/>
      <c r="N46" s="567"/>
      <c r="O46" s="567"/>
      <c r="P46" s="567"/>
      <c r="Q46" s="567"/>
      <c r="R46" s="567"/>
      <c r="S46" s="567"/>
      <c r="T46" s="568"/>
    </row>
    <row r="47" spans="1:21" s="181" customFormat="1" ht="12.75">
      <c r="A47" s="571"/>
      <c r="B47" s="572" t="s">
        <v>388</v>
      </c>
      <c r="C47" s="580">
        <v>1</v>
      </c>
      <c r="D47" s="573">
        <f>+D48+D49</f>
        <v>62148482.754245333</v>
      </c>
      <c r="E47" s="573"/>
      <c r="F47" s="576"/>
      <c r="G47" s="576"/>
      <c r="H47" s="576"/>
      <c r="I47" s="576"/>
      <c r="J47" s="576">
        <f>+I7</f>
        <v>0</v>
      </c>
      <c r="K47" s="576"/>
      <c r="L47" s="576"/>
      <c r="M47" s="576"/>
      <c r="N47" s="576">
        <v>0</v>
      </c>
      <c r="O47" s="576">
        <f>+J47</f>
        <v>0</v>
      </c>
      <c r="P47" s="581"/>
      <c r="Q47" s="581"/>
      <c r="R47" s="581"/>
      <c r="S47" s="581"/>
      <c r="T47" s="568"/>
    </row>
    <row r="48" spans="1:21" s="181" customFormat="1" ht="12.75">
      <c r="A48" s="571"/>
      <c r="B48" s="572" t="s">
        <v>426</v>
      </c>
      <c r="C48" s="580"/>
      <c r="D48" s="573">
        <f>+I3</f>
        <v>62148482.754245333</v>
      </c>
      <c r="E48" s="573"/>
      <c r="F48" s="576"/>
      <c r="G48" s="576"/>
      <c r="H48" s="576"/>
      <c r="I48" s="576"/>
      <c r="J48" s="576"/>
      <c r="K48" s="576"/>
      <c r="L48" s="576"/>
      <c r="M48" s="576"/>
      <c r="N48" s="576"/>
      <c r="O48" s="576"/>
      <c r="P48" s="581"/>
      <c r="Q48" s="581"/>
      <c r="R48" s="581"/>
      <c r="S48" s="581"/>
      <c r="T48" s="568"/>
    </row>
    <row r="49" spans="1:20" s="181" customFormat="1" ht="12.75">
      <c r="A49" s="571"/>
      <c r="B49" s="572" t="s">
        <v>418</v>
      </c>
      <c r="C49" s="580"/>
      <c r="D49" s="573">
        <f>+I4</f>
        <v>0</v>
      </c>
      <c r="E49" s="573"/>
      <c r="F49" s="576"/>
      <c r="G49" s="576"/>
      <c r="H49" s="576"/>
      <c r="I49" s="576"/>
      <c r="J49" s="576"/>
      <c r="K49" s="576"/>
      <c r="L49" s="576"/>
      <c r="M49" s="576"/>
      <c r="N49" s="576"/>
      <c r="O49" s="576"/>
      <c r="P49" s="581"/>
      <c r="Q49" s="581"/>
      <c r="R49" s="581"/>
      <c r="S49" s="581"/>
      <c r="T49" s="568"/>
    </row>
    <row r="50" spans="1:20" s="181" customFormat="1" ht="12.75">
      <c r="A50" s="571"/>
      <c r="B50" s="572" t="s">
        <v>1724</v>
      </c>
      <c r="C50" s="580">
        <f>+D4</f>
        <v>0.4</v>
      </c>
      <c r="D50" s="602">
        <f>+$D$47*$C50</f>
        <v>24859393.101698134</v>
      </c>
      <c r="E50" s="573"/>
      <c r="F50" s="579"/>
      <c r="G50" s="579"/>
      <c r="H50" s="579"/>
      <c r="I50" s="579"/>
      <c r="J50" s="579"/>
      <c r="K50" s="579"/>
      <c r="L50" s="579"/>
      <c r="M50" s="579"/>
      <c r="N50" s="579"/>
      <c r="O50" s="579"/>
      <c r="P50" s="581"/>
      <c r="Q50" s="581"/>
      <c r="R50" s="581"/>
      <c r="S50" s="581"/>
      <c r="T50" s="568"/>
    </row>
    <row r="51" spans="1:20" s="181" customFormat="1" ht="12.75">
      <c r="A51" s="571"/>
      <c r="B51" s="572" t="s">
        <v>1725</v>
      </c>
      <c r="C51" s="580">
        <f>+C47-C50</f>
        <v>0.6</v>
      </c>
      <c r="D51" s="602">
        <f>+$D$47*$C51</f>
        <v>37289089.652547196</v>
      </c>
      <c r="E51" s="573"/>
      <c r="F51" s="576"/>
      <c r="G51" s="576"/>
      <c r="H51" s="576"/>
      <c r="I51" s="576"/>
      <c r="J51" s="576"/>
      <c r="K51" s="576"/>
      <c r="L51" s="576"/>
      <c r="M51" s="576"/>
      <c r="N51" s="576"/>
      <c r="O51" s="576"/>
      <c r="P51" s="581"/>
      <c r="Q51" s="581"/>
      <c r="R51" s="581"/>
      <c r="S51" s="581"/>
      <c r="T51" s="568"/>
    </row>
    <row r="52" spans="1:20" s="181" customFormat="1" ht="12.75">
      <c r="A52" s="571"/>
      <c r="B52" s="582" t="s">
        <v>1743</v>
      </c>
      <c r="C52" s="583"/>
      <c r="D52" s="583">
        <v>0.1091</v>
      </c>
      <c r="E52" s="584"/>
      <c r="F52" s="584"/>
      <c r="G52" s="584"/>
      <c r="H52" s="584"/>
      <c r="I52" s="584"/>
      <c r="J52" s="584"/>
      <c r="K52" s="584"/>
      <c r="L52" s="584"/>
      <c r="M52" s="584"/>
      <c r="N52" s="584"/>
      <c r="O52" s="584"/>
      <c r="P52" s="584"/>
      <c r="Q52" s="584"/>
      <c r="R52" s="584"/>
      <c r="S52" s="584"/>
      <c r="T52" s="568"/>
    </row>
    <row r="53" spans="1:20" s="181" customFormat="1" ht="12.75">
      <c r="A53" s="571"/>
      <c r="B53" s="585" t="s">
        <v>1726</v>
      </c>
      <c r="C53" s="583"/>
      <c r="D53" s="583">
        <f>+E6</f>
        <v>0.152776</v>
      </c>
      <c r="E53" s="584"/>
      <c r="F53" s="584"/>
      <c r="G53" s="584"/>
      <c r="H53" s="584"/>
      <c r="I53" s="584"/>
      <c r="J53" s="584"/>
      <c r="K53" s="584"/>
      <c r="L53" s="584"/>
      <c r="M53" s="584"/>
      <c r="N53" s="584"/>
      <c r="O53" s="584"/>
      <c r="P53" s="584"/>
      <c r="Q53" s="584"/>
      <c r="R53" s="584"/>
      <c r="S53" s="584"/>
      <c r="T53" s="568"/>
    </row>
    <row r="54" spans="1:20" s="181" customFormat="1" ht="12.75">
      <c r="A54" s="571"/>
      <c r="B54" s="585" t="s">
        <v>1727</v>
      </c>
      <c r="C54" s="586"/>
      <c r="D54" s="586">
        <f>+E7</f>
        <v>0.08</v>
      </c>
      <c r="E54" s="584"/>
      <c r="F54" s="584"/>
      <c r="G54" s="584"/>
      <c r="H54" s="584"/>
      <c r="I54" s="584"/>
      <c r="J54" s="584"/>
      <c r="K54" s="584"/>
      <c r="L54" s="584"/>
      <c r="M54" s="584"/>
      <c r="N54" s="584"/>
      <c r="O54" s="584"/>
      <c r="P54" s="584"/>
      <c r="Q54" s="584"/>
      <c r="R54" s="584"/>
      <c r="S54" s="584"/>
      <c r="T54" s="568"/>
    </row>
    <row r="55" spans="1:20" s="569" customFormat="1" ht="12.75" hidden="1">
      <c r="A55" s="587">
        <v>1</v>
      </c>
      <c r="B55" s="588" t="s">
        <v>1728</v>
      </c>
      <c r="C55" s="589"/>
      <c r="D55" s="589"/>
      <c r="E55" s="589"/>
      <c r="F55" s="590"/>
      <c r="G55" s="590"/>
      <c r="H55" s="590"/>
      <c r="I55" s="590"/>
      <c r="J55" s="590"/>
      <c r="K55" s="590"/>
      <c r="L55" s="590"/>
      <c r="M55" s="590"/>
      <c r="N55" s="590"/>
      <c r="O55" s="590"/>
      <c r="P55" s="590"/>
      <c r="Q55" s="590"/>
      <c r="R55" s="590"/>
      <c r="S55" s="590"/>
      <c r="T55" s="591"/>
    </row>
    <row r="56" spans="1:20" s="181" customFormat="1" ht="12.75" hidden="1">
      <c r="A56" s="571"/>
      <c r="B56" s="592" t="s">
        <v>1729</v>
      </c>
      <c r="C56" s="593" t="s">
        <v>1730</v>
      </c>
      <c r="D56" s="594">
        <f>1/(1+$D$35)^D25</f>
        <v>1</v>
      </c>
      <c r="E56" s="594">
        <f>1/(1+$D$52)^E25</f>
        <v>0.90163195383644401</v>
      </c>
      <c r="F56" s="594">
        <f t="shared" ref="F56:S56" si="20">1/(1+$D$52)^F25</f>
        <v>0.81294018017892344</v>
      </c>
      <c r="G56" s="594">
        <f t="shared" si="20"/>
        <v>0.73297284300687349</v>
      </c>
      <c r="H56" s="594">
        <f t="shared" si="20"/>
        <v>0.6608717365493405</v>
      </c>
      <c r="I56" s="594">
        <f t="shared" si="20"/>
        <v>0.59586307506026548</v>
      </c>
      <c r="J56" s="594">
        <f t="shared" si="20"/>
        <v>0.5372491885855788</v>
      </c>
      <c r="K56" s="594">
        <f t="shared" si="20"/>
        <v>0.48440103560145953</v>
      </c>
      <c r="L56" s="594">
        <f t="shared" si="20"/>
        <v>0.43675145216974087</v>
      </c>
      <c r="M56" s="594">
        <f t="shared" si="20"/>
        <v>0.39378906516070772</v>
      </c>
      <c r="N56" s="594">
        <f t="shared" si="20"/>
        <v>0.35505280422027558</v>
      </c>
      <c r="O56" s="594">
        <f t="shared" si="20"/>
        <v>0.32012695358423549</v>
      </c>
      <c r="P56" s="594">
        <f t="shared" si="20"/>
        <v>0.28863669063586289</v>
      </c>
      <c r="Q56" s="594">
        <f t="shared" si="20"/>
        <v>0.26024406332689826</v>
      </c>
      <c r="R56" s="594">
        <f t="shared" si="20"/>
        <v>0.23464436329176655</v>
      </c>
      <c r="S56" s="594">
        <f t="shared" si="20"/>
        <v>0.2115628557314638</v>
      </c>
      <c r="T56" s="568"/>
    </row>
    <row r="57" spans="1:20" s="181" customFormat="1" ht="33.75" hidden="1" customHeight="1">
      <c r="A57" s="595" t="s">
        <v>1731</v>
      </c>
      <c r="B57" s="572" t="s">
        <v>1691</v>
      </c>
      <c r="C57" s="573"/>
      <c r="D57" s="576">
        <f>-(+D47)</f>
        <v>-62148482.754245333</v>
      </c>
      <c r="E57" s="576">
        <f t="shared" ref="E57:Q57" si="21">-E47+E40+E35+E36*(1-0.2)</f>
        <v>27518380.668190308</v>
      </c>
      <c r="F57" s="576">
        <f t="shared" si="21"/>
        <v>27518380.668190304</v>
      </c>
      <c r="G57" s="576">
        <f t="shared" si="21"/>
        <v>27518380.668190308</v>
      </c>
      <c r="H57" s="576">
        <f t="shared" si="21"/>
        <v>27518380.6681903</v>
      </c>
      <c r="I57" s="576">
        <f t="shared" si="21"/>
        <v>27518380.668190304</v>
      </c>
      <c r="J57" s="576">
        <f t="shared" si="21"/>
        <v>27038380.668190304</v>
      </c>
      <c r="K57" s="576">
        <f t="shared" si="21"/>
        <v>27038380.668190308</v>
      </c>
      <c r="L57" s="576">
        <f t="shared" si="21"/>
        <v>25262709.732354723</v>
      </c>
      <c r="M57" s="576">
        <f t="shared" si="21"/>
        <v>25262709.732354723</v>
      </c>
      <c r="N57" s="576">
        <f t="shared" si="21"/>
        <v>25262709.732354723</v>
      </c>
      <c r="O57" s="576">
        <f t="shared" si="21"/>
        <v>24758709.732354723</v>
      </c>
      <c r="P57" s="576">
        <f t="shared" si="21"/>
        <v>24758709.732354723</v>
      </c>
      <c r="Q57" s="576">
        <f t="shared" si="21"/>
        <v>24758709.732354723</v>
      </c>
      <c r="R57" s="576">
        <f>+R47+R40+R35+R36*(1-0.2)</f>
        <v>24758709.732354723</v>
      </c>
      <c r="S57" s="576">
        <f>+S47+S40+S35+S36*(1-0.2)</f>
        <v>24758709.732354723</v>
      </c>
      <c r="T57" s="568"/>
    </row>
    <row r="58" spans="1:20" s="181" customFormat="1" ht="12.75" hidden="1">
      <c r="A58" s="571"/>
      <c r="B58" s="572" t="s">
        <v>1732</v>
      </c>
      <c r="C58" s="573"/>
      <c r="D58" s="573">
        <f>+D57</f>
        <v>-62148482.754245333</v>
      </c>
      <c r="E58" s="576">
        <f>+E57</f>
        <v>27518380.668190308</v>
      </c>
      <c r="F58" s="576">
        <f>+E58+F57</f>
        <v>55036761.336380616</v>
      </c>
      <c r="G58" s="576">
        <f t="shared" ref="G58:S58" si="22">+F58+G57</f>
        <v>82555142.004570931</v>
      </c>
      <c r="H58" s="576">
        <f t="shared" si="22"/>
        <v>110073522.67276123</v>
      </c>
      <c r="I58" s="576">
        <f t="shared" si="22"/>
        <v>137591903.34095153</v>
      </c>
      <c r="J58" s="576">
        <f t="shared" si="22"/>
        <v>164630284.00914183</v>
      </c>
      <c r="K58" s="576">
        <f t="shared" si="22"/>
        <v>191668664.67733213</v>
      </c>
      <c r="L58" s="576">
        <f t="shared" si="22"/>
        <v>216931374.40968686</v>
      </c>
      <c r="M58" s="576">
        <f t="shared" si="22"/>
        <v>242194084.14204159</v>
      </c>
      <c r="N58" s="576">
        <f t="shared" si="22"/>
        <v>267456793.87439632</v>
      </c>
      <c r="O58" s="576">
        <f t="shared" si="22"/>
        <v>292215503.60675102</v>
      </c>
      <c r="P58" s="576">
        <f t="shared" si="22"/>
        <v>316974213.33910573</v>
      </c>
      <c r="Q58" s="576">
        <f t="shared" si="22"/>
        <v>341732923.07146043</v>
      </c>
      <c r="R58" s="576">
        <f t="shared" si="22"/>
        <v>366491632.80381513</v>
      </c>
      <c r="S58" s="576">
        <f t="shared" si="22"/>
        <v>391250342.53616983</v>
      </c>
      <c r="T58" s="568"/>
    </row>
    <row r="59" spans="1:20" s="181" customFormat="1" ht="12.75" hidden="1">
      <c r="A59" s="571"/>
      <c r="B59" s="572" t="s">
        <v>1733</v>
      </c>
      <c r="C59" s="573"/>
      <c r="D59" s="576">
        <f>+D57*D56</f>
        <v>-62148482.754245333</v>
      </c>
      <c r="E59" s="576">
        <f>+E57*E56</f>
        <v>24811451.328275457</v>
      </c>
      <c r="F59" s="576">
        <f t="shared" ref="F59:S59" si="23">+F57*F56</f>
        <v>22370797.338630829</v>
      </c>
      <c r="G59" s="576">
        <f t="shared" si="23"/>
        <v>20170225.713308837</v>
      </c>
      <c r="H59" s="576">
        <f t="shared" si="23"/>
        <v>18186120.019212727</v>
      </c>
      <c r="I59" s="576">
        <f t="shared" si="23"/>
        <v>16397186.925626839</v>
      </c>
      <c r="J59" s="576">
        <f t="shared" si="23"/>
        <v>14526348.07465324</v>
      </c>
      <c r="K59" s="576">
        <f t="shared" si="23"/>
        <v>13097419.596657868</v>
      </c>
      <c r="L59" s="576">
        <f t="shared" si="23"/>
        <v>11033525.16134857</v>
      </c>
      <c r="M59" s="576">
        <f t="shared" si="23"/>
        <v>9948178.8489302788</v>
      </c>
      <c r="N59" s="576">
        <f t="shared" si="23"/>
        <v>8969595.9326753914</v>
      </c>
      <c r="O59" s="576">
        <f t="shared" si="23"/>
        <v>7925930.3212950798</v>
      </c>
      <c r="P59" s="576">
        <f t="shared" si="23"/>
        <v>7146272.041560798</v>
      </c>
      <c r="Q59" s="576">
        <f t="shared" si="23"/>
        <v>6443307.2234792151</v>
      </c>
      <c r="R59" s="576">
        <f t="shared" si="23"/>
        <v>5809491.6810740381</v>
      </c>
      <c r="S59" s="576">
        <f t="shared" si="23"/>
        <v>5238023.3352033505</v>
      </c>
      <c r="T59" s="568"/>
    </row>
    <row r="60" spans="1:20" s="181" customFormat="1" ht="12.75" hidden="1">
      <c r="A60" s="571"/>
      <c r="B60" s="572" t="s">
        <v>1734</v>
      </c>
      <c r="C60" s="573"/>
      <c r="D60" s="573">
        <f>+D59</f>
        <v>-62148482.754245333</v>
      </c>
      <c r="E60" s="576">
        <f>D60+E59</f>
        <v>-37337031.425969876</v>
      </c>
      <c r="F60" s="576">
        <f>+E60+F59</f>
        <v>-14966234.087339047</v>
      </c>
      <c r="G60" s="576">
        <f t="shared" ref="G60:R60" si="24">+F60+G59</f>
        <v>5203991.6259697899</v>
      </c>
      <c r="H60" s="576">
        <f>+G60+H59</f>
        <v>23390111.645182516</v>
      </c>
      <c r="I60" s="576">
        <f t="shared" si="24"/>
        <v>39787298.570809357</v>
      </c>
      <c r="J60" s="576">
        <f t="shared" si="24"/>
        <v>54313646.645462595</v>
      </c>
      <c r="K60" s="576">
        <f t="shared" si="24"/>
        <v>67411066.24212046</v>
      </c>
      <c r="L60" s="576">
        <f t="shared" si="24"/>
        <v>78444591.403469026</v>
      </c>
      <c r="M60" s="576">
        <f t="shared" si="24"/>
        <v>88392770.25239931</v>
      </c>
      <c r="N60" s="576">
        <f t="shared" si="24"/>
        <v>97362366.185074702</v>
      </c>
      <c r="O60" s="576">
        <f t="shared" si="24"/>
        <v>105288296.50636978</v>
      </c>
      <c r="P60" s="576">
        <f t="shared" si="24"/>
        <v>112434568.54793058</v>
      </c>
      <c r="Q60" s="576">
        <f t="shared" si="24"/>
        <v>118877875.77140979</v>
      </c>
      <c r="R60" s="576">
        <f t="shared" si="24"/>
        <v>124687367.45248383</v>
      </c>
      <c r="S60" s="576">
        <f>+R60+S59</f>
        <v>129925390.78768718</v>
      </c>
      <c r="T60" s="568"/>
    </row>
    <row r="61" spans="1:20" s="597" customFormat="1" ht="12.75" hidden="1">
      <c r="A61" s="571"/>
      <c r="B61" s="592" t="s">
        <v>1735</v>
      </c>
      <c r="C61" s="596"/>
      <c r="D61" s="596">
        <f>+S60</f>
        <v>129925390.78768718</v>
      </c>
      <c r="E61" s="596"/>
      <c r="F61" s="581"/>
      <c r="G61" s="581"/>
      <c r="H61" s="581"/>
      <c r="I61" s="581"/>
      <c r="J61" s="581"/>
      <c r="K61" s="581"/>
      <c r="L61" s="581"/>
      <c r="M61" s="581"/>
      <c r="N61" s="581"/>
      <c r="O61" s="581"/>
      <c r="P61" s="581"/>
      <c r="Q61" s="581"/>
      <c r="R61" s="581"/>
      <c r="S61" s="581"/>
      <c r="T61" s="561"/>
    </row>
    <row r="62" spans="1:20" s="597" customFormat="1" ht="12.75" hidden="1">
      <c r="A62" s="571"/>
      <c r="B62" s="592" t="s">
        <v>1736</v>
      </c>
      <c r="C62" s="598"/>
      <c r="D62" s="598">
        <f>IRR(D57:S57,20%)</f>
        <v>0.43732985777920197</v>
      </c>
      <c r="E62" s="598"/>
      <c r="F62" s="581"/>
      <c r="G62" s="581"/>
      <c r="H62" s="581"/>
      <c r="I62" s="581"/>
      <c r="J62" s="581"/>
      <c r="K62" s="581"/>
      <c r="L62" s="581"/>
      <c r="M62" s="581"/>
      <c r="N62" s="581"/>
      <c r="O62" s="581"/>
      <c r="P62" s="581"/>
      <c r="Q62" s="581"/>
      <c r="R62" s="581"/>
      <c r="S62" s="581"/>
      <c r="T62" s="561"/>
    </row>
    <row r="63" spans="1:20" s="597" customFormat="1" ht="12.75" hidden="1">
      <c r="A63" s="571"/>
      <c r="B63" s="592" t="s">
        <v>1737</v>
      </c>
      <c r="C63" s="581"/>
      <c r="D63" s="599">
        <f>SUM(E63:S63)</f>
        <v>2.2584353165113913</v>
      </c>
      <c r="E63" s="600">
        <f>IF(AND(D58&lt;0,E58&lt;0),1,IF(AND(D58&lt;0,E58&gt;0),-D58/E57,0))</f>
        <v>2.2584353165113913</v>
      </c>
      <c r="F63" s="600">
        <f>IF(AND(E58&lt;0,F58&lt;0),1,IF(AND(E58&lt;0,F58&gt;0),-E58/F57,0))</f>
        <v>0</v>
      </c>
      <c r="G63" s="600">
        <f>IF(AND(F58&lt;0,G58&lt;0),1,IF(AND(F58&lt;0,G58&gt;0),-F58/G57,0))</f>
        <v>0</v>
      </c>
      <c r="H63" s="600">
        <f t="shared" ref="H63:S63" si="25">IF(AND(G58&lt;0,H58&lt;0),1,IF(AND(G58&lt;0,H58&gt;0),-G58/H57,0))</f>
        <v>0</v>
      </c>
      <c r="I63" s="600">
        <f>IF(AND(H58&lt;0,I58&lt;0),1,IF(AND(H58&lt;0,I58&gt;0),-H58/I57,0))</f>
        <v>0</v>
      </c>
      <c r="J63" s="600">
        <f t="shared" si="25"/>
        <v>0</v>
      </c>
      <c r="K63" s="600">
        <f t="shared" si="25"/>
        <v>0</v>
      </c>
      <c r="L63" s="600">
        <f t="shared" si="25"/>
        <v>0</v>
      </c>
      <c r="M63" s="600">
        <f t="shared" si="25"/>
        <v>0</v>
      </c>
      <c r="N63" s="600">
        <f t="shared" si="25"/>
        <v>0</v>
      </c>
      <c r="O63" s="600">
        <f t="shared" si="25"/>
        <v>0</v>
      </c>
      <c r="P63" s="600">
        <f t="shared" si="25"/>
        <v>0</v>
      </c>
      <c r="Q63" s="600">
        <f t="shared" si="25"/>
        <v>0</v>
      </c>
      <c r="R63" s="600">
        <f t="shared" si="25"/>
        <v>0</v>
      </c>
      <c r="S63" s="600">
        <f t="shared" si="25"/>
        <v>0</v>
      </c>
      <c r="T63" s="561"/>
    </row>
    <row r="64" spans="1:20" s="597" customFormat="1" ht="12.75" hidden="1">
      <c r="A64" s="571"/>
      <c r="B64" s="592" t="s">
        <v>1738</v>
      </c>
      <c r="C64" s="581"/>
      <c r="D64" s="599">
        <f>SUM(E64:R64)</f>
        <v>2.7419963613725917</v>
      </c>
      <c r="E64" s="600">
        <f>IF(AND(D60&lt;0,E60&lt;0),1,IF(AND(D60&lt;0,E60&gt;0),-D60/E59,0))</f>
        <v>1</v>
      </c>
      <c r="F64" s="600">
        <f>IF(AND(E60&lt;0,F60&lt;0),1,IF(AND(E60&lt;0,F60&gt;0),-E60/F59,0))</f>
        <v>1</v>
      </c>
      <c r="G64" s="600">
        <f t="shared" ref="G64:S64" si="26">IF(AND(F60&lt;0,G60&lt;0),1,IF(AND(F60&lt;0,G60&gt;0),-F60/G59,0))</f>
        <v>0.74199636137259184</v>
      </c>
      <c r="H64" s="600">
        <f t="shared" si="26"/>
        <v>0</v>
      </c>
      <c r="I64" s="600">
        <f t="shared" si="26"/>
        <v>0</v>
      </c>
      <c r="J64" s="600">
        <f t="shared" si="26"/>
        <v>0</v>
      </c>
      <c r="K64" s="600">
        <f t="shared" si="26"/>
        <v>0</v>
      </c>
      <c r="L64" s="600">
        <f t="shared" si="26"/>
        <v>0</v>
      </c>
      <c r="M64" s="600">
        <f t="shared" si="26"/>
        <v>0</v>
      </c>
      <c r="N64" s="600">
        <f t="shared" si="26"/>
        <v>0</v>
      </c>
      <c r="O64" s="600">
        <f t="shared" si="26"/>
        <v>0</v>
      </c>
      <c r="P64" s="600">
        <f t="shared" si="26"/>
        <v>0</v>
      </c>
      <c r="Q64" s="600">
        <f t="shared" si="26"/>
        <v>0</v>
      </c>
      <c r="R64" s="600">
        <f t="shared" si="26"/>
        <v>0</v>
      </c>
      <c r="S64" s="600">
        <f t="shared" si="26"/>
        <v>0</v>
      </c>
      <c r="T64" s="561"/>
    </row>
    <row r="65" spans="1:20" s="569" customFormat="1" ht="32.25" customHeight="1">
      <c r="A65" s="618">
        <v>2</v>
      </c>
      <c r="B65" s="619" t="s">
        <v>1739</v>
      </c>
      <c r="C65" s="620"/>
      <c r="D65" s="620"/>
      <c r="E65" s="620"/>
      <c r="F65" s="621"/>
      <c r="G65" s="621"/>
      <c r="H65" s="621"/>
      <c r="I65" s="621"/>
      <c r="J65" s="621"/>
      <c r="K65" s="621"/>
      <c r="L65" s="621"/>
      <c r="M65" s="621"/>
      <c r="N65" s="621"/>
      <c r="O65" s="621"/>
      <c r="P65" s="621"/>
      <c r="Q65" s="621"/>
      <c r="R65" s="621"/>
      <c r="S65" s="621"/>
      <c r="T65" s="591"/>
    </row>
    <row r="66" spans="1:20" s="181" customFormat="1" ht="12.75">
      <c r="A66" s="571"/>
      <c r="B66" s="592" t="s">
        <v>1729</v>
      </c>
      <c r="C66" s="593" t="s">
        <v>1740</v>
      </c>
      <c r="D66" s="594">
        <f>1/(1+$D$36)^D25</f>
        <v>1</v>
      </c>
      <c r="E66" s="594">
        <f>1/(1+$D$53)^E25</f>
        <v>0.86747121730500976</v>
      </c>
      <c r="F66" s="594">
        <f t="shared" ref="F66:S66" si="27">1/(1+$D$53)^F25</f>
        <v>0.75250631285263558</v>
      </c>
      <c r="G66" s="594">
        <f t="shared" si="27"/>
        <v>0.65277756723998037</v>
      </c>
      <c r="H66" s="594">
        <f t="shared" si="27"/>
        <v>0.56626575088306863</v>
      </c>
      <c r="I66" s="594">
        <f t="shared" si="27"/>
        <v>0.49121924023667096</v>
      </c>
      <c r="J66" s="594">
        <f t="shared" si="27"/>
        <v>0.42611855229174705</v>
      </c>
      <c r="K66" s="594">
        <f t="shared" si="27"/>
        <v>0.36964557927277031</v>
      </c>
      <c r="L66" s="594">
        <f t="shared" si="27"/>
        <v>0.3206569006231656</v>
      </c>
      <c r="M66" s="594">
        <f t="shared" si="27"/>
        <v>0.27816063192082902</v>
      </c>
      <c r="N66" s="594">
        <f t="shared" si="27"/>
        <v>0.24129634197869235</v>
      </c>
      <c r="O66" s="594">
        <f t="shared" si="27"/>
        <v>0.20931763150750216</v>
      </c>
      <c r="P66" s="594">
        <f t="shared" si="27"/>
        <v>0.1815770206072144</v>
      </c>
      <c r="Q66" s="594">
        <f t="shared" si="27"/>
        <v>0.15751283910075711</v>
      </c>
      <c r="R66" s="594">
        <f t="shared" si="27"/>
        <v>0.13663785427590192</v>
      </c>
      <c r="S66" s="594">
        <f t="shared" si="27"/>
        <v>0.11852940577866117</v>
      </c>
      <c r="T66" s="568"/>
    </row>
    <row r="67" spans="1:20" s="181" customFormat="1" ht="12.75">
      <c r="A67" s="571"/>
      <c r="B67" s="572" t="s">
        <v>1741</v>
      </c>
      <c r="C67" s="601"/>
      <c r="D67" s="601"/>
      <c r="E67" s="576">
        <f>C17</f>
        <v>6214848.2754245326</v>
      </c>
      <c r="F67" s="576">
        <f t="shared" ref="F67:S67" si="28">D17</f>
        <v>6214848.2754245326</v>
      </c>
      <c r="G67" s="576">
        <f t="shared" si="28"/>
        <v>6214848.2754245326</v>
      </c>
      <c r="H67" s="576">
        <f t="shared" si="28"/>
        <v>6214848.2754245326</v>
      </c>
      <c r="I67" s="576">
        <f t="shared" si="28"/>
        <v>6214848.2754245326</v>
      </c>
      <c r="J67" s="576">
        <f t="shared" si="28"/>
        <v>6214848.2754245326</v>
      </c>
      <c r="K67" s="576">
        <f t="shared" si="28"/>
        <v>0</v>
      </c>
      <c r="L67" s="576">
        <f t="shared" si="28"/>
        <v>0</v>
      </c>
      <c r="M67" s="576">
        <f t="shared" si="28"/>
        <v>0</v>
      </c>
      <c r="N67" s="576">
        <f t="shared" si="28"/>
        <v>0</v>
      </c>
      <c r="O67" s="576">
        <f t="shared" si="28"/>
        <v>0</v>
      </c>
      <c r="P67" s="576">
        <f t="shared" si="28"/>
        <v>0</v>
      </c>
      <c r="Q67" s="576">
        <f t="shared" si="28"/>
        <v>0</v>
      </c>
      <c r="R67" s="576">
        <f t="shared" si="28"/>
        <v>0</v>
      </c>
      <c r="S67" s="576">
        <f t="shared" si="28"/>
        <v>0</v>
      </c>
      <c r="T67" s="568"/>
    </row>
    <row r="68" spans="1:20" s="181" customFormat="1" ht="33.75" customHeight="1">
      <c r="A68" s="595" t="s">
        <v>1742</v>
      </c>
      <c r="B68" s="572" t="s">
        <v>1691</v>
      </c>
      <c r="C68" s="601"/>
      <c r="D68" s="601">
        <f>-(D50)</f>
        <v>-24859393.101698134</v>
      </c>
      <c r="E68" s="576">
        <f>-E47+E40+E35-E67</f>
        <v>18917030.655002754</v>
      </c>
      <c r="F68" s="576">
        <f t="shared" ref="F68:Q68" si="29">-F47+F40+F35-F67</f>
        <v>19314780.944629923</v>
      </c>
      <c r="G68" s="576">
        <f t="shared" si="29"/>
        <v>19712531.234257095</v>
      </c>
      <c r="H68" s="576">
        <f t="shared" si="29"/>
        <v>20110281.523884259</v>
      </c>
      <c r="I68" s="576">
        <f t="shared" si="29"/>
        <v>20508031.813511431</v>
      </c>
      <c r="J68" s="576">
        <f t="shared" si="29"/>
        <v>20425782.103138603</v>
      </c>
      <c r="K68" s="576">
        <f t="shared" si="29"/>
        <v>27038380.668190308</v>
      </c>
      <c r="L68" s="576">
        <f t="shared" si="29"/>
        <v>25262709.732354723</v>
      </c>
      <c r="M68" s="576">
        <f t="shared" si="29"/>
        <v>25262709.732354723</v>
      </c>
      <c r="N68" s="576">
        <f t="shared" si="29"/>
        <v>25262709.732354723</v>
      </c>
      <c r="O68" s="576">
        <f t="shared" si="29"/>
        <v>24758709.732354723</v>
      </c>
      <c r="P68" s="576">
        <f t="shared" si="29"/>
        <v>24758709.732354723</v>
      </c>
      <c r="Q68" s="576">
        <f t="shared" si="29"/>
        <v>24758709.732354723</v>
      </c>
      <c r="R68" s="576">
        <f>+R47+R40+R35-R67</f>
        <v>24758709.732354723</v>
      </c>
      <c r="S68" s="576">
        <f>+S47+S40+S35-S67</f>
        <v>24758709.732354723</v>
      </c>
      <c r="T68" s="568"/>
    </row>
    <row r="69" spans="1:20" s="181" customFormat="1" ht="12.75">
      <c r="A69" s="571"/>
      <c r="B69" s="572" t="s">
        <v>1732</v>
      </c>
      <c r="C69" s="573"/>
      <c r="D69" s="573">
        <f>+D68</f>
        <v>-24859393.101698134</v>
      </c>
      <c r="E69" s="576">
        <f>D69+E68</f>
        <v>-5942362.4466953799</v>
      </c>
      <c r="F69" s="576">
        <f>+E69+F68</f>
        <v>13372418.497934543</v>
      </c>
      <c r="G69" s="576">
        <f t="shared" ref="G69:N69" si="30">+F69+G68</f>
        <v>33084949.732191637</v>
      </c>
      <c r="H69" s="576">
        <f t="shared" si="30"/>
        <v>53195231.256075896</v>
      </c>
      <c r="I69" s="576">
        <f t="shared" si="30"/>
        <v>73703263.06958732</v>
      </c>
      <c r="J69" s="576">
        <f t="shared" si="30"/>
        <v>94129045.172725916</v>
      </c>
      <c r="K69" s="576">
        <f t="shared" si="30"/>
        <v>121167425.84091622</v>
      </c>
      <c r="L69" s="576">
        <f t="shared" si="30"/>
        <v>146430135.57327095</v>
      </c>
      <c r="M69" s="576">
        <f t="shared" si="30"/>
        <v>171692845.30562568</v>
      </c>
      <c r="N69" s="576">
        <f t="shared" si="30"/>
        <v>196955555.03798041</v>
      </c>
      <c r="O69" s="576">
        <f>+N69+O68</f>
        <v>221714264.77033514</v>
      </c>
      <c r="P69" s="576">
        <f>+O69+P68</f>
        <v>246472974.50268987</v>
      </c>
      <c r="Q69" s="576">
        <f>+P69+Q68</f>
        <v>271231684.2350446</v>
      </c>
      <c r="R69" s="576">
        <f>+Q69+R68</f>
        <v>295990393.9673993</v>
      </c>
      <c r="S69" s="576">
        <f>+R69+S68</f>
        <v>320749103.699754</v>
      </c>
      <c r="T69" s="568"/>
    </row>
    <row r="70" spans="1:20" s="181" customFormat="1" ht="12.75">
      <c r="A70" s="571"/>
      <c r="B70" s="572" t="s">
        <v>1733</v>
      </c>
      <c r="C70" s="573"/>
      <c r="D70" s="573">
        <f>+D68*D66</f>
        <v>-24859393.101698134</v>
      </c>
      <c r="E70" s="576">
        <f>+E68*E66</f>
        <v>16409979.610091425</v>
      </c>
      <c r="F70" s="576">
        <f>+F68*F66</f>
        <v>14534494.592199808</v>
      </c>
      <c r="G70" s="576">
        <f t="shared" ref="G70:R70" si="31">+G68*G66</f>
        <v>12867898.183240473</v>
      </c>
      <c r="H70" s="576">
        <f t="shared" si="31"/>
        <v>11387763.667592222</v>
      </c>
      <c r="I70" s="576">
        <f t="shared" si="31"/>
        <v>10073939.806182563</v>
      </c>
      <c r="J70" s="576">
        <f t="shared" si="31"/>
        <v>8703804.6992160976</v>
      </c>
      <c r="K70" s="576">
        <f t="shared" si="31"/>
        <v>9994617.8846908808</v>
      </c>
      <c r="L70" s="576">
        <f t="shared" si="31"/>
        <v>8100662.2041195463</v>
      </c>
      <c r="M70" s="576">
        <f t="shared" si="31"/>
        <v>7027091.3031842671</v>
      </c>
      <c r="N70" s="576">
        <f t="shared" si="31"/>
        <v>6095799.4468867043</v>
      </c>
      <c r="O70" s="576">
        <f t="shared" si="31"/>
        <v>5182434.4803582327</v>
      </c>
      <c r="P70" s="576">
        <f t="shared" si="31"/>
        <v>4495612.7472798135</v>
      </c>
      <c r="Q70" s="576">
        <f t="shared" si="31"/>
        <v>3899814.6624147384</v>
      </c>
      <c r="R70" s="576">
        <f t="shared" si="31"/>
        <v>3382976.972468839</v>
      </c>
      <c r="S70" s="576">
        <f>+S68*S66</f>
        <v>2934635.1524223606</v>
      </c>
      <c r="T70" s="568"/>
    </row>
    <row r="71" spans="1:20" s="561" customFormat="1" ht="12.75">
      <c r="A71" s="571"/>
      <c r="B71" s="572" t="s">
        <v>1734</v>
      </c>
      <c r="C71" s="573"/>
      <c r="D71" s="573">
        <f>+D70</f>
        <v>-24859393.101698134</v>
      </c>
      <c r="E71" s="576">
        <f>D71+E70</f>
        <v>-8449413.4916067086</v>
      </c>
      <c r="F71" s="576">
        <f>+E71+F70</f>
        <v>6085081.1005930994</v>
      </c>
      <c r="G71" s="576">
        <f>+F71+G70</f>
        <v>18952979.283833571</v>
      </c>
      <c r="H71" s="576">
        <f t="shared" ref="H71:N71" si="32">+G71+H70</f>
        <v>30340742.951425791</v>
      </c>
      <c r="I71" s="576">
        <f t="shared" si="32"/>
        <v>40414682.757608354</v>
      </c>
      <c r="J71" s="576">
        <f t="shared" si="32"/>
        <v>49118487.456824452</v>
      </c>
      <c r="K71" s="576">
        <f t="shared" si="32"/>
        <v>59113105.341515332</v>
      </c>
      <c r="L71" s="576">
        <f t="shared" si="32"/>
        <v>67213767.545634881</v>
      </c>
      <c r="M71" s="576">
        <f t="shared" si="32"/>
        <v>74240858.848819152</v>
      </c>
      <c r="N71" s="576">
        <f t="shared" si="32"/>
        <v>80336658.295705855</v>
      </c>
      <c r="O71" s="576">
        <f>+N71+O70</f>
        <v>85519092.776064083</v>
      </c>
      <c r="P71" s="576">
        <f>+O71+P70</f>
        <v>90014705.523343891</v>
      </c>
      <c r="Q71" s="576">
        <f>+P71+Q70</f>
        <v>93914520.185758635</v>
      </c>
      <c r="R71" s="576">
        <f>+Q71+R70</f>
        <v>97297497.158227473</v>
      </c>
      <c r="S71" s="576">
        <f>+R71+S70</f>
        <v>100232132.31064983</v>
      </c>
      <c r="T71" s="568"/>
    </row>
    <row r="72" spans="1:20" s="597" customFormat="1" ht="12.75">
      <c r="A72" s="571"/>
      <c r="B72" s="592" t="s">
        <v>1735</v>
      </c>
      <c r="C72" s="596"/>
      <c r="D72" s="573">
        <f>+S71</f>
        <v>100232132.31064983</v>
      </c>
      <c r="E72" s="596"/>
      <c r="F72" s="581"/>
      <c r="G72" s="581"/>
      <c r="H72" s="581"/>
      <c r="I72" s="581"/>
      <c r="J72" s="581"/>
      <c r="K72" s="581"/>
      <c r="L72" s="581"/>
      <c r="M72" s="581"/>
      <c r="N72" s="581"/>
      <c r="O72" s="581"/>
      <c r="P72" s="581"/>
      <c r="Q72" s="581"/>
      <c r="R72" s="581"/>
      <c r="S72" s="581"/>
      <c r="T72" s="561"/>
    </row>
    <row r="73" spans="1:20" s="597" customFormat="1" ht="12.75">
      <c r="A73" s="571"/>
      <c r="B73" s="592" t="s">
        <v>1736</v>
      </c>
      <c r="C73" s="598"/>
      <c r="D73" s="598">
        <f>IRR(D68:S68,20%)</f>
        <v>0.78587569580960892</v>
      </c>
      <c r="E73" s="598"/>
      <c r="F73" s="581"/>
      <c r="G73" s="581"/>
      <c r="H73" s="581"/>
      <c r="I73" s="581"/>
      <c r="J73" s="581"/>
      <c r="K73" s="581"/>
      <c r="L73" s="581"/>
      <c r="M73" s="581"/>
      <c r="N73" s="581"/>
      <c r="O73" s="581"/>
      <c r="P73" s="581"/>
      <c r="Q73" s="581"/>
      <c r="R73" s="581"/>
      <c r="S73" s="581"/>
      <c r="T73" s="561"/>
    </row>
    <row r="74" spans="1:20" s="597" customFormat="1" ht="12.75">
      <c r="A74" s="571"/>
      <c r="B74" s="592" t="s">
        <v>1737</v>
      </c>
      <c r="C74" s="581"/>
      <c r="D74" s="599">
        <f>SUM(E74:T74)</f>
        <v>1.3076588061614818</v>
      </c>
      <c r="E74" s="600">
        <f>IF(AND(D69&lt;0,E69&lt;0),1,IF(AND(D69&lt;0,E69&gt;0),-D69/E68,0))</f>
        <v>1</v>
      </c>
      <c r="F74" s="600">
        <f t="shared" ref="F74:L74" si="33">IF(AND(E69&lt;0,F69&lt;0),1,IF(AND(E69&lt;0,F69&gt;0),-E69/F68,0))</f>
        <v>0.30765880616148183</v>
      </c>
      <c r="G74" s="600">
        <f t="shared" si="33"/>
        <v>0</v>
      </c>
      <c r="H74" s="600">
        <f t="shared" si="33"/>
        <v>0</v>
      </c>
      <c r="I74" s="600">
        <f t="shared" si="33"/>
        <v>0</v>
      </c>
      <c r="J74" s="600">
        <f t="shared" si="33"/>
        <v>0</v>
      </c>
      <c r="K74" s="600">
        <f t="shared" si="33"/>
        <v>0</v>
      </c>
      <c r="L74" s="600">
        <f t="shared" si="33"/>
        <v>0</v>
      </c>
      <c r="M74" s="600">
        <f t="shared" ref="M74:S74" si="34">IF(AND(L69&lt;0,M69&lt;0),1,IF(AND(L69&lt;0,M69&gt;0),-L69/M68,0))</f>
        <v>0</v>
      </c>
      <c r="N74" s="600">
        <f t="shared" si="34"/>
        <v>0</v>
      </c>
      <c r="O74" s="600">
        <f t="shared" si="34"/>
        <v>0</v>
      </c>
      <c r="P74" s="600">
        <f t="shared" si="34"/>
        <v>0</v>
      </c>
      <c r="Q74" s="600">
        <f t="shared" si="34"/>
        <v>0</v>
      </c>
      <c r="R74" s="600">
        <f t="shared" si="34"/>
        <v>0</v>
      </c>
      <c r="S74" s="600">
        <f t="shared" si="34"/>
        <v>0</v>
      </c>
      <c r="T74" s="561"/>
    </row>
    <row r="75" spans="1:20" s="597" customFormat="1" ht="12.75">
      <c r="A75" s="571"/>
      <c r="B75" s="592" t="s">
        <v>1738</v>
      </c>
      <c r="C75" s="581"/>
      <c r="D75" s="599">
        <f>SUM(E75:T75)</f>
        <v>1.5813352117617654</v>
      </c>
      <c r="E75" s="600">
        <f>IF(AND(D71&lt;0,E71&lt;0),1,IF(AND(D71&lt;0,E71&gt;0),-D71/E70,0))</f>
        <v>1</v>
      </c>
      <c r="F75" s="600">
        <f>IF(AND(E71&lt;0,F71&lt;0),1,IF(AND(E71&lt;0,F71&gt;0),-E71/F70,0))</f>
        <v>0.58133521176176539</v>
      </c>
      <c r="G75" s="600">
        <f t="shared" ref="G75:S75" si="35">IF(AND(F71&lt;0,G71&lt;0),1,IF(AND(F71&lt;0,G71&gt;0),-F71/G70,0))</f>
        <v>0</v>
      </c>
      <c r="H75" s="600">
        <f t="shared" si="35"/>
        <v>0</v>
      </c>
      <c r="I75" s="600">
        <f t="shared" si="35"/>
        <v>0</v>
      </c>
      <c r="J75" s="600">
        <f t="shared" si="35"/>
        <v>0</v>
      </c>
      <c r="K75" s="600">
        <f t="shared" si="35"/>
        <v>0</v>
      </c>
      <c r="L75" s="600">
        <f t="shared" si="35"/>
        <v>0</v>
      </c>
      <c r="M75" s="600">
        <f>IF(AND(L71&lt;0,M71&lt;0),1,IF(AND(L71&lt;0,M71&gt;0),-L71/M70,0))</f>
        <v>0</v>
      </c>
      <c r="N75" s="600">
        <f t="shared" si="35"/>
        <v>0</v>
      </c>
      <c r="O75" s="600">
        <f t="shared" si="35"/>
        <v>0</v>
      </c>
      <c r="P75" s="600">
        <f t="shared" si="35"/>
        <v>0</v>
      </c>
      <c r="Q75" s="600">
        <f t="shared" si="35"/>
        <v>0</v>
      </c>
      <c r="R75" s="600">
        <f t="shared" si="35"/>
        <v>0</v>
      </c>
      <c r="S75" s="600">
        <f t="shared" si="35"/>
        <v>0</v>
      </c>
      <c r="T75" s="561"/>
    </row>
  </sheetData>
  <mergeCells count="22">
    <mergeCell ref="A13:A14"/>
    <mergeCell ref="B13:B14"/>
    <mergeCell ref="C13:E13"/>
    <mergeCell ref="A22:Q22"/>
    <mergeCell ref="P23:Q23"/>
    <mergeCell ref="R23:S23"/>
    <mergeCell ref="A24:A25"/>
    <mergeCell ref="B24:B25"/>
    <mergeCell ref="C24:C25"/>
    <mergeCell ref="E24:S24"/>
    <mergeCell ref="G1:H1"/>
    <mergeCell ref="G2:H2"/>
    <mergeCell ref="G3:H3"/>
    <mergeCell ref="G4:H4"/>
    <mergeCell ref="G5:H5"/>
    <mergeCell ref="G11:H11"/>
    <mergeCell ref="G12:H12"/>
    <mergeCell ref="G6:H6"/>
    <mergeCell ref="G7:H7"/>
    <mergeCell ref="G8:H8"/>
    <mergeCell ref="G9:H9"/>
    <mergeCell ref="G10:H10"/>
  </mergeCells>
  <pageMargins left="0.7" right="0.7" top="0.75" bottom="0.75" header="0.3" footer="0.3"/>
  <ignoredErrors>
    <ignoredError sqref="D70: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Template tram</vt:lpstr>
      <vt:lpstr>Chào giá</vt:lpstr>
      <vt:lpstr>Sheet4</vt:lpstr>
      <vt:lpstr>Sheet5</vt:lpstr>
      <vt:lpstr>WACC</vt:lpstr>
      <vt:lpstr>OPEX</vt:lpstr>
      <vt:lpstr>TH CPXL</vt:lpstr>
      <vt:lpstr>Đầu vào</vt:lpstr>
      <vt:lpstr>Hiệu quả</vt:lpstr>
      <vt:lpstr>Gui VTNet</vt:lpstr>
      <vt:lpstr>Khấu hao</vt:lpstr>
      <vt:lpstr>Capex_VCC cũ</vt:lpstr>
      <vt:lpstr>Capex_VCC</vt:lpstr>
      <vt:lpstr>Capex VTNet 100521</vt:lpstr>
      <vt:lpstr>Sheet3</vt:lpstr>
      <vt:lpstr>Dgia thue VTNet</vt:lpstr>
      <vt:lpstr>Giá Thuê TTr theo 1477</vt:lpstr>
      <vt:lpstr>Chi phi xin đấu nối điện + GPMB</vt:lpstr>
      <vt:lpstr>Tỷ lệ giao khoán</vt:lpstr>
      <vt:lpstr>Capex nguon</vt:lpstr>
      <vt:lpstr>Sheet2</vt:lpstr>
      <vt:lpstr>Sheet1</vt:lpstr>
      <vt:lpstr>'Chào giá'!Print_Area</vt:lpstr>
      <vt:lpstr>'Đầu vào'!Print_Area</vt:lpstr>
      <vt:lpstr>'Template tram'!Print_Area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huypq30</cp:lastModifiedBy>
  <cp:lastPrinted>2021-05-27T02:38:31Z</cp:lastPrinted>
  <dcterms:created xsi:type="dcterms:W3CDTF">2018-12-27T06:38:40Z</dcterms:created>
  <dcterms:modified xsi:type="dcterms:W3CDTF">2021-06-28T12:41:51Z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cd909e15-4e18-4219-8b83-8d5aa1e2e1ab</vt:lpwstr>
  </property>
</Properties>
</file>